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35" yWindow="390" windowWidth="13260" windowHeight="11475" tabRatio="776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Print_Area" localSheetId="0">'прил.№1 доходы'!$A$1:$N$150</definedName>
    <definedName name="_xlnm.Print_Area" localSheetId="1">'прил.№2 Рд,пр'!$A$1:$K$54</definedName>
    <definedName name="_xlnm.Print_Area" localSheetId="2">'ПРил.№3 Рд,пр, ЦС,ВР'!$A$1:$M$947</definedName>
    <definedName name="_xlnm.Print_Area" localSheetId="3">'Прил.№4 ведомств.'!$A$1:$O$1104</definedName>
    <definedName name="_xlnm.Print_Area" localSheetId="4">'Прил.№5 ведомств.старая'!$A$1:$H$975</definedName>
    <definedName name="_xlnm.Print_Area" localSheetId="5">'прил.№5 МП'!$A$1:$N$629</definedName>
    <definedName name="_xlnm.Print_Area" localSheetId="6">'прил.№6 МП старая'!$A$1:$G$534</definedName>
    <definedName name="_xlnm.Print_Area" localSheetId="8">'прил.№7 источники'!$A$1:$L$18</definedName>
  </definedNames>
  <calcPr calcId="125725" concurrentCalc="0" concurrentManualCount="1"/>
</workbook>
</file>

<file path=xl/calcChain.xml><?xml version="1.0" encoding="utf-8"?>
<calcChain xmlns="http://schemas.openxmlformats.org/spreadsheetml/2006/main">
  <c r="N150" i="1"/>
  <c r="M150"/>
  <c r="H47" i="6"/>
  <c r="H46"/>
  <c r="H45"/>
  <c r="H44"/>
  <c r="H43"/>
  <c r="H42"/>
  <c r="H41"/>
  <c r="H40"/>
  <c r="H39"/>
  <c r="H38"/>
  <c r="H37"/>
  <c r="H36"/>
  <c r="H35"/>
  <c r="H34"/>
  <c r="H33"/>
  <c r="H27"/>
  <c r="H26"/>
  <c r="H25"/>
  <c r="H24"/>
  <c r="H23"/>
  <c r="H22"/>
  <c r="H21"/>
  <c r="H20"/>
  <c r="H19"/>
  <c r="I17"/>
  <c r="I16"/>
  <c r="I15"/>
  <c r="H17"/>
  <c r="H16"/>
  <c r="N29" i="5"/>
  <c r="N78"/>
  <c r="N87"/>
  <c r="N91"/>
  <c r="N95"/>
  <c r="N96"/>
  <c r="N97"/>
  <c r="N127"/>
  <c r="N128"/>
  <c r="N151"/>
  <c r="N152"/>
  <c r="N155"/>
  <c r="N159"/>
  <c r="N163"/>
  <c r="N167"/>
  <c r="N198"/>
  <c r="N199"/>
  <c r="N202"/>
  <c r="N203"/>
  <c r="N217"/>
  <c r="N220"/>
  <c r="N221"/>
  <c r="N225"/>
  <c r="N226"/>
  <c r="N227"/>
  <c r="N309"/>
  <c r="N310"/>
  <c r="N313"/>
  <c r="N314"/>
  <c r="N367"/>
  <c r="N368"/>
  <c r="N371"/>
  <c r="N372"/>
  <c r="N375"/>
  <c r="N376"/>
  <c r="N423"/>
  <c r="N427"/>
  <c r="N431"/>
  <c r="N435"/>
  <c r="N439"/>
  <c r="N453"/>
  <c r="N454"/>
  <c r="N521"/>
  <c r="N542"/>
  <c r="N566"/>
  <c r="N577"/>
  <c r="K17" i="2"/>
  <c r="M30" i="3"/>
  <c r="M71"/>
  <c r="M73"/>
  <c r="M150"/>
  <c r="M293"/>
  <c r="M298"/>
  <c r="M318"/>
  <c r="M338"/>
  <c r="M432"/>
  <c r="M467"/>
  <c r="M478"/>
  <c r="M481"/>
  <c r="M485"/>
  <c r="M488"/>
  <c r="M517"/>
  <c r="M520"/>
  <c r="M523"/>
  <c r="M563"/>
  <c r="M564"/>
  <c r="M565"/>
  <c r="M566"/>
  <c r="M567"/>
  <c r="M568"/>
  <c r="M583"/>
  <c r="M584"/>
  <c r="M585"/>
  <c r="M586"/>
  <c r="M587"/>
  <c r="M588"/>
  <c r="M589"/>
  <c r="M590"/>
  <c r="M591"/>
  <c r="M670"/>
  <c r="M673"/>
  <c r="M676"/>
  <c r="M698"/>
  <c r="M703"/>
  <c r="M706"/>
  <c r="M709"/>
  <c r="M715"/>
  <c r="M719"/>
  <c r="M720"/>
  <c r="M721"/>
  <c r="M733"/>
  <c r="M735"/>
  <c r="M738"/>
  <c r="M825"/>
  <c r="M830"/>
  <c r="M858"/>
  <c r="M859"/>
  <c r="M860"/>
  <c r="M864"/>
  <c r="O23" i="4"/>
  <c r="O28"/>
  <c r="O38"/>
  <c r="O43"/>
  <c r="O54"/>
  <c r="O62"/>
  <c r="O67"/>
  <c r="O74"/>
  <c r="O88"/>
  <c r="O92"/>
  <c r="O96"/>
  <c r="O100"/>
  <c r="O101"/>
  <c r="O102"/>
  <c r="O103"/>
  <c r="O106"/>
  <c r="O113"/>
  <c r="O124"/>
  <c r="O138"/>
  <c r="O141"/>
  <c r="O144"/>
  <c r="O147"/>
  <c r="O155"/>
  <c r="O157"/>
  <c r="O160"/>
  <c r="O167"/>
  <c r="O177"/>
  <c r="O185"/>
  <c r="O194"/>
  <c r="O199"/>
  <c r="O212"/>
  <c r="O224"/>
  <c r="I27" i="6"/>
  <c r="I26"/>
  <c r="I25"/>
  <c r="I24"/>
  <c r="I23"/>
  <c r="I22"/>
  <c r="I21"/>
  <c r="I20"/>
  <c r="I19"/>
  <c r="O229" i="4"/>
  <c r="O254"/>
  <c r="O257"/>
  <c r="O260"/>
  <c r="O263"/>
  <c r="O266"/>
  <c r="O270"/>
  <c r="O275"/>
  <c r="O279"/>
  <c r="O292"/>
  <c r="O295"/>
  <c r="O298"/>
  <c r="O301"/>
  <c r="O304"/>
  <c r="O307"/>
  <c r="O310"/>
  <c r="O327"/>
  <c r="O337"/>
  <c r="O340"/>
  <c r="O343"/>
  <c r="O346"/>
  <c r="O349"/>
  <c r="O352"/>
  <c r="O355"/>
  <c r="O357"/>
  <c r="O359"/>
  <c r="O366"/>
  <c r="O368"/>
  <c r="O371"/>
  <c r="O374"/>
  <c r="O377"/>
  <c r="O380"/>
  <c r="O383"/>
  <c r="O386"/>
  <c r="O389"/>
  <c r="O393"/>
  <c r="O403"/>
  <c r="O414"/>
  <c r="O419"/>
  <c r="O422"/>
  <c r="O425"/>
  <c r="O428"/>
  <c r="O431"/>
  <c r="O434"/>
  <c r="O438"/>
  <c r="O443"/>
  <c r="O445"/>
  <c r="O451"/>
  <c r="O453"/>
  <c r="O464"/>
  <c r="O471"/>
  <c r="O475"/>
  <c r="O479"/>
  <c r="O481"/>
  <c r="O485"/>
  <c r="O493"/>
  <c r="O494"/>
  <c r="O495"/>
  <c r="O496"/>
  <c r="O499"/>
  <c r="O502"/>
  <c r="O505"/>
  <c r="O507"/>
  <c r="O511"/>
  <c r="O516"/>
  <c r="O519"/>
  <c r="O523"/>
  <c r="O527"/>
  <c r="O535"/>
  <c r="O544"/>
  <c r="O557"/>
  <c r="O561"/>
  <c r="O564"/>
  <c r="O577"/>
  <c r="O580"/>
  <c r="O585"/>
  <c r="O589"/>
  <c r="O600"/>
  <c r="O603"/>
  <c r="O606"/>
  <c r="O609"/>
  <c r="O612"/>
  <c r="O615"/>
  <c r="O620"/>
  <c r="O645"/>
  <c r="O648"/>
  <c r="O651"/>
  <c r="O654"/>
  <c r="O660"/>
  <c r="O663"/>
  <c r="O669"/>
  <c r="O672"/>
  <c r="O677"/>
  <c r="O680"/>
  <c r="O714"/>
  <c r="O717"/>
  <c r="O722"/>
  <c r="O734"/>
  <c r="O748"/>
  <c r="O750"/>
  <c r="O755"/>
  <c r="O775"/>
  <c r="O785"/>
  <c r="O788"/>
  <c r="O791"/>
  <c r="O794"/>
  <c r="O802"/>
  <c r="O818"/>
  <c r="O821"/>
  <c r="O824"/>
  <c r="O827"/>
  <c r="O831"/>
  <c r="O836"/>
  <c r="O849"/>
  <c r="O851"/>
  <c r="O855"/>
  <c r="O866"/>
  <c r="O872"/>
  <c r="O874"/>
  <c r="O881"/>
  <c r="O902"/>
  <c r="O906"/>
  <c r="O912"/>
  <c r="O917"/>
  <c r="O928"/>
  <c r="O937"/>
  <c r="O945"/>
  <c r="O951"/>
  <c r="O957"/>
  <c r="O958"/>
  <c r="O964"/>
  <c r="O970"/>
  <c r="O975"/>
  <c r="O978"/>
  <c r="O981"/>
  <c r="O985"/>
  <c r="O987"/>
  <c r="O990"/>
  <c r="O993"/>
  <c r="O996"/>
  <c r="O1000"/>
  <c r="O1011"/>
  <c r="O1018"/>
  <c r="O1021"/>
  <c r="O1027"/>
  <c r="O1029"/>
  <c r="O1035"/>
  <c r="O1038"/>
  <c r="O1040"/>
  <c r="O1047"/>
  <c r="O1055"/>
  <c r="O1057"/>
  <c r="O1063"/>
  <c r="O1065"/>
  <c r="O1067"/>
  <c r="O1073"/>
  <c r="O1075"/>
  <c r="O1080"/>
  <c r="O1085"/>
  <c r="O1099"/>
  <c r="O1103"/>
  <c r="L844" i="3"/>
  <c r="K844"/>
  <c r="L833"/>
  <c r="K833"/>
  <c r="L309"/>
  <c r="K309"/>
  <c r="M539" i="4"/>
  <c r="O539"/>
  <c r="M537"/>
  <c r="O537"/>
  <c r="K14" i="7"/>
  <c r="M833" i="3"/>
  <c r="H15" i="6"/>
  <c r="H14"/>
  <c r="H13"/>
  <c r="M309" i="3"/>
  <c r="M844"/>
  <c r="H12" i="6"/>
  <c r="H11"/>
  <c r="H32"/>
  <c r="I14"/>
  <c r="I13"/>
  <c r="M627" i="5"/>
  <c r="M620"/>
  <c r="M614"/>
  <c r="M613"/>
  <c r="M612"/>
  <c r="M607"/>
  <c r="M602"/>
  <c r="M598"/>
  <c r="M595"/>
  <c r="M588"/>
  <c r="M585"/>
  <c r="M582"/>
  <c r="M579"/>
  <c r="M576"/>
  <c r="M574"/>
  <c r="M569"/>
  <c r="M565"/>
  <c r="M563"/>
  <c r="M560"/>
  <c r="M557"/>
  <c r="M555"/>
  <c r="M552"/>
  <c r="M541"/>
  <c r="M536"/>
  <c r="M533"/>
  <c r="M531"/>
  <c r="M528"/>
  <c r="M525"/>
  <c r="M520"/>
  <c r="M514"/>
  <c r="M511"/>
  <c r="M505"/>
  <c r="M498"/>
  <c r="M495"/>
  <c r="M492"/>
  <c r="M489"/>
  <c r="M487"/>
  <c r="M480"/>
  <c r="M477"/>
  <c r="M474"/>
  <c r="M472"/>
  <c r="M469"/>
  <c r="M461"/>
  <c r="M455"/>
  <c r="M452"/>
  <c r="M450"/>
  <c r="M447"/>
  <c r="M446"/>
  <c r="M444"/>
  <c r="M441"/>
  <c r="M438"/>
  <c r="M434"/>
  <c r="M430"/>
  <c r="M426"/>
  <c r="M422"/>
  <c r="M421"/>
  <c r="M420"/>
  <c r="M413"/>
  <c r="M410"/>
  <c r="M407"/>
  <c r="M404"/>
  <c r="M401"/>
  <c r="M398"/>
  <c r="M395"/>
  <c r="M388"/>
  <c r="M385"/>
  <c r="M382"/>
  <c r="M379"/>
  <c r="M374"/>
  <c r="M373"/>
  <c r="M370"/>
  <c r="M366"/>
  <c r="M365"/>
  <c r="M364"/>
  <c r="M354"/>
  <c r="M347"/>
  <c r="M344"/>
  <c r="M343"/>
  <c r="M341"/>
  <c r="M338"/>
  <c r="M335"/>
  <c r="M330"/>
  <c r="M329"/>
  <c r="M323"/>
  <c r="M320"/>
  <c r="M317"/>
  <c r="M312"/>
  <c r="M308"/>
  <c r="M307"/>
  <c r="M306"/>
  <c r="M305"/>
  <c r="M302"/>
  <c r="M294"/>
  <c r="M287"/>
  <c r="M281"/>
  <c r="M280"/>
  <c r="M272"/>
  <c r="M265"/>
  <c r="M262"/>
  <c r="M258"/>
  <c r="M256"/>
  <c r="M253"/>
  <c r="M246"/>
  <c r="M240"/>
  <c r="M239"/>
  <c r="M233"/>
  <c r="M224"/>
  <c r="M219"/>
  <c r="M218"/>
  <c r="M216"/>
  <c r="M213"/>
  <c r="M211"/>
  <c r="M208"/>
  <c r="M201"/>
  <c r="M197"/>
  <c r="M194"/>
  <c r="M191"/>
  <c r="M188"/>
  <c r="M185"/>
  <c r="M182"/>
  <c r="M179"/>
  <c r="M176"/>
  <c r="M173"/>
  <c r="M166"/>
  <c r="M164"/>
  <c r="M162"/>
  <c r="M158"/>
  <c r="M154"/>
  <c r="M150"/>
  <c r="M146"/>
  <c r="M143"/>
  <c r="M142"/>
  <c r="M140"/>
  <c r="M137"/>
  <c r="M134"/>
  <c r="M131"/>
  <c r="M126"/>
  <c r="M120"/>
  <c r="M116"/>
  <c r="M112"/>
  <c r="M104"/>
  <c r="M94"/>
  <c r="M90"/>
  <c r="M88"/>
  <c r="M86"/>
  <c r="M83"/>
  <c r="M80"/>
  <c r="M77"/>
  <c r="M71"/>
  <c r="M64"/>
  <c r="M57"/>
  <c r="M55"/>
  <c r="M48"/>
  <c r="M41"/>
  <c r="M34"/>
  <c r="M31"/>
  <c r="M28"/>
  <c r="M26"/>
  <c r="M18"/>
  <c r="M16"/>
  <c r="N1102" i="4"/>
  <c r="N1100"/>
  <c r="N1098"/>
  <c r="N1091"/>
  <c r="N1084"/>
  <c r="N1079"/>
  <c r="N1074"/>
  <c r="N1072"/>
  <c r="N1066"/>
  <c r="N1064"/>
  <c r="N1062"/>
  <c r="N1056"/>
  <c r="N1046"/>
  <c r="N1039"/>
  <c r="N1037"/>
  <c r="N1034"/>
  <c r="N1030"/>
  <c r="N1028"/>
  <c r="N1026"/>
  <c r="N1020"/>
  <c r="N1017"/>
  <c r="N1013"/>
  <c r="N1010"/>
  <c r="N1007"/>
  <c r="N1005"/>
  <c r="N1004"/>
  <c r="N999"/>
  <c r="N995"/>
  <c r="N992"/>
  <c r="N989"/>
  <c r="N986"/>
  <c r="N984"/>
  <c r="N980"/>
  <c r="N977"/>
  <c r="N974"/>
  <c r="N972"/>
  <c r="N969"/>
  <c r="N968"/>
  <c r="N963"/>
  <c r="N960"/>
  <c r="N956"/>
  <c r="N954"/>
  <c r="N950"/>
  <c r="N947"/>
  <c r="N944"/>
  <c r="N943"/>
  <c r="N940"/>
  <c r="N936"/>
  <c r="N934"/>
  <c r="N930"/>
  <c r="N927"/>
  <c r="N925"/>
  <c r="N922"/>
  <c r="N919"/>
  <c r="N916"/>
  <c r="N911"/>
  <c r="N908"/>
  <c r="N905"/>
  <c r="N901"/>
  <c r="N894"/>
  <c r="N892"/>
  <c r="N887"/>
  <c r="N880"/>
  <c r="N873"/>
  <c r="N871"/>
  <c r="N869"/>
  <c r="N865"/>
  <c r="N858"/>
  <c r="N856"/>
  <c r="N854"/>
  <c r="N850"/>
  <c r="N848"/>
  <c r="N841"/>
  <c r="N835"/>
  <c r="N834"/>
  <c r="N830"/>
  <c r="N826"/>
  <c r="N823"/>
  <c r="N820"/>
  <c r="N817"/>
  <c r="N814"/>
  <c r="N807"/>
  <c r="N804"/>
  <c r="N803"/>
  <c r="N801"/>
  <c r="N796"/>
  <c r="N793"/>
  <c r="N790"/>
  <c r="N787"/>
  <c r="N784"/>
  <c r="N781"/>
  <c r="N780"/>
  <c r="N774"/>
  <c r="N767"/>
  <c r="N765"/>
  <c r="N763"/>
  <c r="N760"/>
  <c r="N756"/>
  <c r="N754"/>
  <c r="N749"/>
  <c r="N747"/>
  <c r="N745"/>
  <c r="N744"/>
  <c r="N739"/>
  <c r="N733"/>
  <c r="N732"/>
  <c r="N727"/>
  <c r="N724"/>
  <c r="N721"/>
  <c r="N716"/>
  <c r="N715"/>
  <c r="N713"/>
  <c r="N712"/>
  <c r="N711"/>
  <c r="N709"/>
  <c r="N703"/>
  <c r="L541" i="3"/>
  <c r="N700" i="4"/>
  <c r="N697"/>
  <c r="N694"/>
  <c r="N691"/>
  <c r="N688"/>
  <c r="N687"/>
  <c r="N685"/>
  <c r="N683"/>
  <c r="N682"/>
  <c r="N679"/>
  <c r="N676"/>
  <c r="N675"/>
  <c r="N671"/>
  <c r="N668"/>
  <c r="N665"/>
  <c r="N662"/>
  <c r="N659"/>
  <c r="N656"/>
  <c r="N653"/>
  <c r="N650"/>
  <c r="N647"/>
  <c r="N644"/>
  <c r="N635"/>
  <c r="N634"/>
  <c r="N631"/>
  <c r="N628"/>
  <c r="N625"/>
  <c r="N624"/>
  <c r="N622"/>
  <c r="N619"/>
  <c r="N618"/>
  <c r="N614"/>
  <c r="N611"/>
  <c r="N608"/>
  <c r="N607"/>
  <c r="N605"/>
  <c r="N604"/>
  <c r="N602"/>
  <c r="N601"/>
  <c r="N599"/>
  <c r="N598"/>
  <c r="N595"/>
  <c r="N588"/>
  <c r="N584"/>
  <c r="N579"/>
  <c r="N576"/>
  <c r="N569"/>
  <c r="N563"/>
  <c r="N560"/>
  <c r="N556"/>
  <c r="N555"/>
  <c r="N548"/>
  <c r="N543"/>
  <c r="N538"/>
  <c r="N536"/>
  <c r="N534"/>
  <c r="N526"/>
  <c r="N525"/>
  <c r="N522"/>
  <c r="N518"/>
  <c r="N517"/>
  <c r="N515"/>
  <c r="N514"/>
  <c r="N510"/>
  <c r="N506"/>
  <c r="N504"/>
  <c r="N503"/>
  <c r="N501"/>
  <c r="N498"/>
  <c r="N497"/>
  <c r="N492"/>
  <c r="N488"/>
  <c r="N484"/>
  <c r="N480"/>
  <c r="N478"/>
  <c r="N474"/>
  <c r="N473"/>
  <c r="N470"/>
  <c r="N466"/>
  <c r="N463"/>
  <c r="N461"/>
  <c r="N459"/>
  <c r="N452"/>
  <c r="N450"/>
  <c r="N448"/>
  <c r="N444"/>
  <c r="N442"/>
  <c r="N437"/>
  <c r="N436"/>
  <c r="N433"/>
  <c r="N430"/>
  <c r="N427"/>
  <c r="N424"/>
  <c r="N421"/>
  <c r="N418"/>
  <c r="N413"/>
  <c r="N410"/>
  <c r="N407"/>
  <c r="N404"/>
  <c r="N402"/>
  <c r="N400"/>
  <c r="N398"/>
  <c r="N392"/>
  <c r="N391"/>
  <c r="N388"/>
  <c r="N385"/>
  <c r="N382"/>
  <c r="N379"/>
  <c r="N376"/>
  <c r="N373"/>
  <c r="N370"/>
  <c r="N367"/>
  <c r="N365"/>
  <c r="N362"/>
  <c r="N358"/>
  <c r="N356"/>
  <c r="N354"/>
  <c r="N353"/>
  <c r="N351"/>
  <c r="N348"/>
  <c r="N347"/>
  <c r="N345"/>
  <c r="N342"/>
  <c r="N341"/>
  <c r="N339"/>
  <c r="N336"/>
  <c r="N335"/>
  <c r="N333"/>
  <c r="N326"/>
  <c r="N320"/>
  <c r="N317"/>
  <c r="N314"/>
  <c r="N309"/>
  <c r="N306"/>
  <c r="N303"/>
  <c r="N300"/>
  <c r="N297"/>
  <c r="N294"/>
  <c r="N291"/>
  <c r="N288"/>
  <c r="N281"/>
  <c r="N278"/>
  <c r="N274"/>
  <c r="N269"/>
  <c r="N268"/>
  <c r="N265"/>
  <c r="N262"/>
  <c r="N259"/>
  <c r="N256"/>
  <c r="N253"/>
  <c r="N249"/>
  <c r="N241"/>
  <c r="N239"/>
  <c r="N234"/>
  <c r="N233"/>
  <c r="N228"/>
  <c r="N223"/>
  <c r="N216"/>
  <c r="N214"/>
  <c r="N211"/>
  <c r="N206"/>
  <c r="N201"/>
  <c r="N198"/>
  <c r="N193"/>
  <c r="N190"/>
  <c r="N184"/>
  <c r="N181"/>
  <c r="N179"/>
  <c r="N176"/>
  <c r="N173"/>
  <c r="N172"/>
  <c r="N166"/>
  <c r="N159"/>
  <c r="N158"/>
  <c r="N156"/>
  <c r="N154"/>
  <c r="N151"/>
  <c r="N149"/>
  <c r="N146"/>
  <c r="N145"/>
  <c r="N143"/>
  <c r="N142"/>
  <c r="N140"/>
  <c r="N139"/>
  <c r="N137"/>
  <c r="N136"/>
  <c r="N133"/>
  <c r="N131"/>
  <c r="N128"/>
  <c r="N126"/>
  <c r="N123"/>
  <c r="N121"/>
  <c r="N117"/>
  <c r="N115"/>
  <c r="N112"/>
  <c r="L148" i="3"/>
  <c r="N110" i="4"/>
  <c r="N105"/>
  <c r="N99"/>
  <c r="N95"/>
  <c r="N94"/>
  <c r="N91"/>
  <c r="N87"/>
  <c r="N84"/>
  <c r="N79"/>
  <c r="N78"/>
  <c r="N75"/>
  <c r="N73"/>
  <c r="N70"/>
  <c r="N66"/>
  <c r="N61"/>
  <c r="N59"/>
  <c r="N53"/>
  <c r="N51"/>
  <c r="N47"/>
  <c r="N45"/>
  <c r="N42"/>
  <c r="N39"/>
  <c r="N37"/>
  <c r="N35"/>
  <c r="N27"/>
  <c r="N22"/>
  <c r="N20"/>
  <c r="N18"/>
  <c r="L946" i="3"/>
  <c r="L944"/>
  <c r="L942"/>
  <c r="L935"/>
  <c r="L933"/>
  <c r="L931"/>
  <c r="L927"/>
  <c r="L925"/>
  <c r="L918"/>
  <c r="L912"/>
  <c r="L907"/>
  <c r="L903"/>
  <c r="L900"/>
  <c r="L897"/>
  <c r="L894"/>
  <c r="L891"/>
  <c r="L884"/>
  <c r="L880"/>
  <c r="L878"/>
  <c r="L869"/>
  <c r="L863"/>
  <c r="L857"/>
  <c r="L855"/>
  <c r="L852"/>
  <c r="L849"/>
  <c r="L843"/>
  <c r="L840"/>
  <c r="L836"/>
  <c r="L832"/>
  <c r="L829"/>
  <c r="L827"/>
  <c r="L824"/>
  <c r="L821"/>
  <c r="L817"/>
  <c r="L813"/>
  <c r="L811"/>
  <c r="L807"/>
  <c r="L803"/>
  <c r="L799"/>
  <c r="L796"/>
  <c r="L794"/>
  <c r="L792"/>
  <c r="L786"/>
  <c r="L779"/>
  <c r="L777"/>
  <c r="L771"/>
  <c r="L769"/>
  <c r="L764"/>
  <c r="L760"/>
  <c r="L757"/>
  <c r="L754"/>
  <c r="L749"/>
  <c r="L743"/>
  <c r="L737"/>
  <c r="L734"/>
  <c r="L732"/>
  <c r="L731"/>
  <c r="L728"/>
  <c r="L724"/>
  <c r="L718"/>
  <c r="L714"/>
  <c r="L711"/>
  <c r="L708"/>
  <c r="L705"/>
  <c r="L702"/>
  <c r="L700"/>
  <c r="L697"/>
  <c r="L695"/>
  <c r="L691"/>
  <c r="L688"/>
  <c r="L685"/>
  <c r="L682"/>
  <c r="L679"/>
  <c r="L675"/>
  <c r="L672"/>
  <c r="L669"/>
  <c r="L667"/>
  <c r="L664"/>
  <c r="L657"/>
  <c r="L655"/>
  <c r="L653"/>
  <c r="L650"/>
  <c r="L646"/>
  <c r="L642"/>
  <c r="L640"/>
  <c r="L635"/>
  <c r="L633"/>
  <c r="L630"/>
  <c r="L625"/>
  <c r="L620"/>
  <c r="L614"/>
  <c r="L608"/>
  <c r="L603"/>
  <c r="L600"/>
  <c r="L597"/>
  <c r="L594"/>
  <c r="L577"/>
  <c r="L574"/>
  <c r="L571"/>
  <c r="L562"/>
  <c r="L557"/>
  <c r="L554"/>
  <c r="L550"/>
  <c r="L544"/>
  <c r="L538"/>
  <c r="L529"/>
  <c r="L526"/>
  <c r="L522"/>
  <c r="L521"/>
  <c r="L519"/>
  <c r="L516"/>
  <c r="L515"/>
  <c r="L512"/>
  <c r="L509"/>
  <c r="L506"/>
  <c r="L503"/>
  <c r="L500"/>
  <c r="L497"/>
  <c r="L494"/>
  <c r="L491"/>
  <c r="L487"/>
  <c r="L484"/>
  <c r="L483"/>
  <c r="L480"/>
  <c r="L477"/>
  <c r="L466"/>
  <c r="L464"/>
  <c r="L461"/>
  <c r="L458"/>
  <c r="L455"/>
  <c r="L450"/>
  <c r="L447"/>
  <c r="L444"/>
  <c r="L441"/>
  <c r="L438"/>
  <c r="L435"/>
  <c r="L431"/>
  <c r="L428"/>
  <c r="L421"/>
  <c r="L419"/>
  <c r="L416"/>
  <c r="L412"/>
  <c r="L410"/>
  <c r="L408"/>
  <c r="L402"/>
  <c r="L399"/>
  <c r="L395"/>
  <c r="L392"/>
  <c r="L386"/>
  <c r="L381"/>
  <c r="L377"/>
  <c r="L374"/>
  <c r="L371"/>
  <c r="L368"/>
  <c r="L366"/>
  <c r="L362"/>
  <c r="L359"/>
  <c r="L356"/>
  <c r="L354"/>
  <c r="L351"/>
  <c r="L345"/>
  <c r="L344"/>
  <c r="L342"/>
  <c r="L339"/>
  <c r="L336"/>
  <c r="L332"/>
  <c r="L329"/>
  <c r="L326"/>
  <c r="L317"/>
  <c r="L316"/>
  <c r="L315"/>
  <c r="L312"/>
  <c r="L308"/>
  <c r="L307"/>
  <c r="L304"/>
  <c r="L301"/>
  <c r="L297"/>
  <c r="L292"/>
  <c r="L291"/>
  <c r="L288"/>
  <c r="L285"/>
  <c r="L282"/>
  <c r="L280"/>
  <c r="L273"/>
  <c r="L271"/>
  <c r="L268"/>
  <c r="L263"/>
  <c r="L258"/>
  <c r="L256"/>
  <c r="L251"/>
  <c r="L242"/>
  <c r="L237"/>
  <c r="L234"/>
  <c r="L228"/>
  <c r="L225"/>
  <c r="L223"/>
  <c r="L220"/>
  <c r="L217"/>
  <c r="L210"/>
  <c r="L203"/>
  <c r="L201"/>
  <c r="L199"/>
  <c r="L195"/>
  <c r="L194"/>
  <c r="L191"/>
  <c r="L190"/>
  <c r="L189"/>
  <c r="L186"/>
  <c r="L184"/>
  <c r="L181"/>
  <c r="L178"/>
  <c r="L174"/>
  <c r="L172"/>
  <c r="L169"/>
  <c r="L161"/>
  <c r="L158"/>
  <c r="L155"/>
  <c r="L153"/>
  <c r="L149"/>
  <c r="L143"/>
  <c r="L139"/>
  <c r="L136"/>
  <c r="L133"/>
  <c r="L130"/>
  <c r="L126"/>
  <c r="L123"/>
  <c r="L120"/>
  <c r="L117"/>
  <c r="L114"/>
  <c r="L110"/>
  <c r="L106"/>
  <c r="L102"/>
  <c r="L98"/>
  <c r="L93"/>
  <c r="L90"/>
  <c r="L87"/>
  <c r="L85"/>
  <c r="L82"/>
  <c r="L78"/>
  <c r="L72"/>
  <c r="L70"/>
  <c r="L65"/>
  <c r="L63"/>
  <c r="L61"/>
  <c r="L55"/>
  <c r="L53"/>
  <c r="L47"/>
  <c r="L44"/>
  <c r="L40"/>
  <c r="L38"/>
  <c r="L36"/>
  <c r="L29"/>
  <c r="L28"/>
  <c r="L26"/>
  <c r="L20"/>
  <c r="L18"/>
  <c r="N93" i="4"/>
  <c r="N554"/>
  <c r="M141" i="5"/>
  <c r="M342"/>
  <c r="N524" i="4"/>
  <c r="N681"/>
  <c r="M222" i="5"/>
  <c r="N633" i="4"/>
  <c r="N267"/>
  <c r="N372"/>
  <c r="N417"/>
  <c r="N521"/>
  <c r="N646"/>
  <c r="N1019"/>
  <c r="M47" i="5"/>
  <c r="M125"/>
  <c r="M149"/>
  <c r="M190"/>
  <c r="M207"/>
  <c r="M232"/>
  <c r="M286"/>
  <c r="M311"/>
  <c r="M340"/>
  <c r="M353"/>
  <c r="M381"/>
  <c r="M406"/>
  <c r="M433"/>
  <c r="M445"/>
  <c r="M473"/>
  <c r="M504"/>
  <c r="M551"/>
  <c r="M606"/>
  <c r="M619"/>
  <c r="L321" i="3"/>
  <c r="N26" i="4"/>
  <c r="N293"/>
  <c r="N305"/>
  <c r="N375"/>
  <c r="N399"/>
  <c r="N420"/>
  <c r="N432"/>
  <c r="N583"/>
  <c r="N661"/>
  <c r="N792"/>
  <c r="N819"/>
  <c r="N879"/>
  <c r="N921"/>
  <c r="N933"/>
  <c r="N949"/>
  <c r="N1009"/>
  <c r="N1054"/>
  <c r="M15" i="5"/>
  <c r="M30"/>
  <c r="M54"/>
  <c r="M111"/>
  <c r="M130"/>
  <c r="M153"/>
  <c r="M168"/>
  <c r="M181"/>
  <c r="M193"/>
  <c r="M210"/>
  <c r="M238"/>
  <c r="M255"/>
  <c r="M271"/>
  <c r="M293"/>
  <c r="M316"/>
  <c r="M363"/>
  <c r="M384"/>
  <c r="M400"/>
  <c r="M409"/>
  <c r="M460"/>
  <c r="M476"/>
  <c r="M491"/>
  <c r="M510"/>
  <c r="M527"/>
  <c r="M539"/>
  <c r="M554"/>
  <c r="M564"/>
  <c r="M578"/>
  <c r="M594"/>
  <c r="M626"/>
  <c r="N302" i="4"/>
  <c r="N384"/>
  <c r="N743"/>
  <c r="M85" i="5"/>
  <c r="M264"/>
  <c r="M304"/>
  <c r="M328"/>
  <c r="M369"/>
  <c r="M397"/>
  <c r="M424"/>
  <c r="M488"/>
  <c r="M524"/>
  <c r="M535"/>
  <c r="M562"/>
  <c r="M587"/>
  <c r="L872" i="3"/>
  <c r="N83" i="4"/>
  <c r="N120"/>
  <c r="N153"/>
  <c r="N232"/>
  <c r="N261"/>
  <c r="N296"/>
  <c r="N378"/>
  <c r="N390"/>
  <c r="N423"/>
  <c r="N435"/>
  <c r="N746"/>
  <c r="N783"/>
  <c r="N822"/>
  <c r="N833"/>
  <c r="N900"/>
  <c r="N935"/>
  <c r="N1003"/>
  <c r="M17" i="5"/>
  <c r="M33"/>
  <c r="M56"/>
  <c r="M79"/>
  <c r="M89"/>
  <c r="M115"/>
  <c r="M133"/>
  <c r="M157"/>
  <c r="M172"/>
  <c r="M184"/>
  <c r="M196"/>
  <c r="M257"/>
  <c r="M279"/>
  <c r="M301"/>
  <c r="M319"/>
  <c r="M318"/>
  <c r="M334"/>
  <c r="M387"/>
  <c r="M403"/>
  <c r="M412"/>
  <c r="M425"/>
  <c r="M440"/>
  <c r="M449"/>
  <c r="M468"/>
  <c r="M479"/>
  <c r="M494"/>
  <c r="M513"/>
  <c r="M530"/>
  <c r="M540"/>
  <c r="M556"/>
  <c r="M568"/>
  <c r="M581"/>
  <c r="M597"/>
  <c r="N65" i="4"/>
  <c r="N77"/>
  <c r="N290"/>
  <c r="N397"/>
  <c r="N429"/>
  <c r="N562"/>
  <c r="N816"/>
  <c r="N864"/>
  <c r="N983"/>
  <c r="M27" i="5"/>
  <c r="M70"/>
  <c r="M103"/>
  <c r="M139"/>
  <c r="M178"/>
  <c r="M252"/>
  <c r="N122" i="4"/>
  <c r="N165"/>
  <c r="N183"/>
  <c r="N197"/>
  <c r="N210"/>
  <c r="N273"/>
  <c r="N325"/>
  <c r="N338"/>
  <c r="N344"/>
  <c r="N381"/>
  <c r="N426"/>
  <c r="N643"/>
  <c r="N667"/>
  <c r="N678"/>
  <c r="N786"/>
  <c r="N904"/>
  <c r="N915"/>
  <c r="N939"/>
  <c r="N946"/>
  <c r="N942"/>
  <c r="M25" i="5"/>
  <c r="M40"/>
  <c r="M63"/>
  <c r="M82"/>
  <c r="M93"/>
  <c r="M119"/>
  <c r="M136"/>
  <c r="M145"/>
  <c r="M161"/>
  <c r="M175"/>
  <c r="M187"/>
  <c r="M200"/>
  <c r="M215"/>
  <c r="M223"/>
  <c r="M245"/>
  <c r="M261"/>
  <c r="M322"/>
  <c r="M337"/>
  <c r="M346"/>
  <c r="M378"/>
  <c r="M394"/>
  <c r="M419"/>
  <c r="M429"/>
  <c r="M443"/>
  <c r="M471"/>
  <c r="M486"/>
  <c r="M497"/>
  <c r="M519"/>
  <c r="M532"/>
  <c r="M545"/>
  <c r="M559"/>
  <c r="M573"/>
  <c r="M584"/>
  <c r="M601"/>
  <c r="L37" i="3"/>
  <c r="L64"/>
  <c r="L92"/>
  <c r="L122"/>
  <c r="L152"/>
  <c r="L227"/>
  <c r="L267"/>
  <c r="L281"/>
  <c r="L306"/>
  <c r="L328"/>
  <c r="L391"/>
  <c r="L418"/>
  <c r="L446"/>
  <c r="L479"/>
  <c r="L499"/>
  <c r="L553"/>
  <c r="L619"/>
  <c r="L671"/>
  <c r="L684"/>
  <c r="L707"/>
  <c r="L723"/>
  <c r="L753"/>
  <c r="L785"/>
  <c r="L883"/>
  <c r="L917"/>
  <c r="L945"/>
  <c r="L54"/>
  <c r="L97"/>
  <c r="L154"/>
  <c r="L219"/>
  <c r="L255"/>
  <c r="L284"/>
  <c r="L343"/>
  <c r="L376"/>
  <c r="L409"/>
  <c r="L437"/>
  <c r="L463"/>
  <c r="L490"/>
  <c r="L556"/>
  <c r="L602"/>
  <c r="L639"/>
  <c r="L663"/>
  <c r="L699"/>
  <c r="L770"/>
  <c r="L791"/>
  <c r="L816"/>
  <c r="L839"/>
  <c r="L854"/>
  <c r="L853"/>
  <c r="L890"/>
  <c r="L902"/>
  <c r="L924"/>
  <c r="L147"/>
  <c r="L17"/>
  <c r="L43"/>
  <c r="L60"/>
  <c r="L69"/>
  <c r="L86"/>
  <c r="L101"/>
  <c r="L116"/>
  <c r="L129"/>
  <c r="L142"/>
  <c r="L157"/>
  <c r="L173"/>
  <c r="L185"/>
  <c r="L202"/>
  <c r="L222"/>
  <c r="L236"/>
  <c r="L257"/>
  <c r="L272"/>
  <c r="L287"/>
  <c r="L300"/>
  <c r="L311"/>
  <c r="L320"/>
  <c r="L335"/>
  <c r="L358"/>
  <c r="L367"/>
  <c r="L380"/>
  <c r="L398"/>
  <c r="L411"/>
  <c r="L427"/>
  <c r="L440"/>
  <c r="L454"/>
  <c r="L465"/>
  <c r="L493"/>
  <c r="L505"/>
  <c r="L543"/>
  <c r="L561"/>
  <c r="L593"/>
  <c r="L607"/>
  <c r="L629"/>
  <c r="L641"/>
  <c r="L652"/>
  <c r="L651"/>
  <c r="L666"/>
  <c r="L678"/>
  <c r="L690"/>
  <c r="L701"/>
  <c r="L713"/>
  <c r="L742"/>
  <c r="L759"/>
  <c r="L776"/>
  <c r="L793"/>
  <c r="L806"/>
  <c r="L820"/>
  <c r="L831"/>
  <c r="L856"/>
  <c r="L877"/>
  <c r="L893"/>
  <c r="L906"/>
  <c r="L926"/>
  <c r="L941"/>
  <c r="L25"/>
  <c r="L52"/>
  <c r="L51"/>
  <c r="L81"/>
  <c r="L109"/>
  <c r="L135"/>
  <c r="L168"/>
  <c r="L180"/>
  <c r="L198"/>
  <c r="L216"/>
  <c r="L250"/>
  <c r="L341"/>
  <c r="L353"/>
  <c r="L373"/>
  <c r="L407"/>
  <c r="L434"/>
  <c r="L460"/>
  <c r="L511"/>
  <c r="L528"/>
  <c r="L573"/>
  <c r="L599"/>
  <c r="L634"/>
  <c r="L656"/>
  <c r="L768"/>
  <c r="L798"/>
  <c r="L812"/>
  <c r="L826"/>
  <c r="L851"/>
  <c r="L850"/>
  <c r="L868"/>
  <c r="L899"/>
  <c r="L932"/>
  <c r="L27"/>
  <c r="L84"/>
  <c r="L83"/>
  <c r="L113"/>
  <c r="L125"/>
  <c r="L138"/>
  <c r="L171"/>
  <c r="L183"/>
  <c r="L200"/>
  <c r="L233"/>
  <c r="L270"/>
  <c r="L296"/>
  <c r="L331"/>
  <c r="L355"/>
  <c r="L365"/>
  <c r="L394"/>
  <c r="L420"/>
  <c r="L449"/>
  <c r="L482"/>
  <c r="L502"/>
  <c r="L537"/>
  <c r="L576"/>
  <c r="L624"/>
  <c r="L649"/>
  <c r="L674"/>
  <c r="L687"/>
  <c r="L710"/>
  <c r="L727"/>
  <c r="L756"/>
  <c r="L802"/>
  <c r="L828"/>
  <c r="L871"/>
  <c r="L540"/>
  <c r="L19"/>
  <c r="L35"/>
  <c r="L46"/>
  <c r="L62"/>
  <c r="L77"/>
  <c r="L75"/>
  <c r="L89"/>
  <c r="L105"/>
  <c r="L119"/>
  <c r="L132"/>
  <c r="L160"/>
  <c r="L177"/>
  <c r="L188"/>
  <c r="L209"/>
  <c r="L224"/>
  <c r="L241"/>
  <c r="L262"/>
  <c r="L279"/>
  <c r="L290"/>
  <c r="L303"/>
  <c r="L314"/>
  <c r="L325"/>
  <c r="L337"/>
  <c r="L350"/>
  <c r="L361"/>
  <c r="L370"/>
  <c r="L385"/>
  <c r="L401"/>
  <c r="L415"/>
  <c r="L430"/>
  <c r="L443"/>
  <c r="L457"/>
  <c r="L476"/>
  <c r="L486"/>
  <c r="L496"/>
  <c r="L508"/>
  <c r="L518"/>
  <c r="L525"/>
  <c r="L549"/>
  <c r="L570"/>
  <c r="L596"/>
  <c r="L613"/>
  <c r="L632"/>
  <c r="L645"/>
  <c r="L654"/>
  <c r="L668"/>
  <c r="L681"/>
  <c r="L694"/>
  <c r="L704"/>
  <c r="L717"/>
  <c r="L748"/>
  <c r="L763"/>
  <c r="L778"/>
  <c r="L795"/>
  <c r="L810"/>
  <c r="L835"/>
  <c r="L848"/>
  <c r="L847"/>
  <c r="L879"/>
  <c r="L896"/>
  <c r="L911"/>
  <c r="L930"/>
  <c r="L943"/>
  <c r="H31" i="6"/>
  <c r="I11"/>
  <c r="I12"/>
  <c r="L934" i="3"/>
  <c r="L39"/>
  <c r="L34"/>
  <c r="L862"/>
  <c r="L842"/>
  <c r="N1090" i="4"/>
  <c r="N1083"/>
  <c r="N1078"/>
  <c r="N1045"/>
  <c r="N1036"/>
  <c r="N1033"/>
  <c r="N1025"/>
  <c r="N1016"/>
  <c r="N1012"/>
  <c r="N1006"/>
  <c r="N998"/>
  <c r="N994"/>
  <c r="N991"/>
  <c r="N988"/>
  <c r="N979"/>
  <c r="N976"/>
  <c r="N971"/>
  <c r="N962"/>
  <c r="N959"/>
  <c r="N953"/>
  <c r="N929"/>
  <c r="N918"/>
  <c r="N910"/>
  <c r="N907"/>
  <c r="N891"/>
  <c r="N886"/>
  <c r="N847"/>
  <c r="N829"/>
  <c r="N825"/>
  <c r="N813"/>
  <c r="N806"/>
  <c r="N800"/>
  <c r="N799"/>
  <c r="N795"/>
  <c r="N789"/>
  <c r="N773"/>
  <c r="N759"/>
  <c r="N738"/>
  <c r="N731"/>
  <c r="N726"/>
  <c r="N723"/>
  <c r="N720"/>
  <c r="N708"/>
  <c r="N702"/>
  <c r="N699"/>
  <c r="N696"/>
  <c r="N693"/>
  <c r="N690"/>
  <c r="N684"/>
  <c r="N670"/>
  <c r="N664"/>
  <c r="N658"/>
  <c r="N655"/>
  <c r="N652"/>
  <c r="N649"/>
  <c r="N630"/>
  <c r="N627"/>
  <c r="N621"/>
  <c r="N613"/>
  <c r="N610"/>
  <c r="N594"/>
  <c r="N587"/>
  <c r="N578"/>
  <c r="N575"/>
  <c r="N568"/>
  <c r="N559"/>
  <c r="N547"/>
  <c r="N542"/>
  <c r="N509"/>
  <c r="N500"/>
  <c r="N491"/>
  <c r="N487"/>
  <c r="N483"/>
  <c r="N477"/>
  <c r="N472"/>
  <c r="N469"/>
  <c r="N465"/>
  <c r="N458"/>
  <c r="N457"/>
  <c r="N441"/>
  <c r="N412"/>
  <c r="N409"/>
  <c r="N406"/>
  <c r="N387"/>
  <c r="N369"/>
  <c r="N364"/>
  <c r="N361"/>
  <c r="N350"/>
  <c r="N332"/>
  <c r="N319"/>
  <c r="N316"/>
  <c r="N313"/>
  <c r="N308"/>
  <c r="N299"/>
  <c r="N287"/>
  <c r="N280"/>
  <c r="N277"/>
  <c r="N264"/>
  <c r="N258"/>
  <c r="N255"/>
  <c r="N252"/>
  <c r="N248"/>
  <c r="N238"/>
  <c r="N227"/>
  <c r="N222"/>
  <c r="N205"/>
  <c r="N200"/>
  <c r="N196"/>
  <c r="N192"/>
  <c r="N189"/>
  <c r="N178"/>
  <c r="N175"/>
  <c r="N130"/>
  <c r="N125"/>
  <c r="N109"/>
  <c r="N104"/>
  <c r="N98"/>
  <c r="N90"/>
  <c r="N86"/>
  <c r="N69"/>
  <c r="N58"/>
  <c r="N50"/>
  <c r="N44"/>
  <c r="N41"/>
  <c r="N1071"/>
  <c r="N1061"/>
  <c r="N952"/>
  <c r="N924"/>
  <c r="N903"/>
  <c r="N868"/>
  <c r="N779"/>
  <c r="N597"/>
  <c r="N533"/>
  <c r="N447"/>
  <c r="N213"/>
  <c r="N34"/>
  <c r="M76" i="5"/>
  <c r="M437"/>
  <c r="M575"/>
  <c r="M53"/>
  <c r="M165"/>
  <c r="M485"/>
  <c r="M553"/>
  <c r="M14"/>
  <c r="M529"/>
  <c r="M611"/>
  <c r="M24"/>
  <c r="L167" i="3"/>
  <c r="L532"/>
  <c r="N736" i="4"/>
  <c r="L389" i="3"/>
  <c r="L193"/>
  <c r="L245"/>
  <c r="N640" i="4"/>
  <c r="L473" i="3"/>
  <c r="N114" i="4"/>
  <c r="L49" i="3"/>
  <c r="N17" i="4"/>
  <c r="N148"/>
  <c r="L164" i="3"/>
  <c r="L535"/>
  <c r="L582"/>
  <c r="L611"/>
  <c r="L617"/>
  <c r="L740"/>
  <c r="L775"/>
  <c r="N72" i="4"/>
  <c r="N401"/>
  <c r="N558"/>
  <c r="N1032"/>
  <c r="N753"/>
  <c r="N853"/>
  <c r="N762"/>
  <c r="N1097"/>
  <c r="L170" i="3"/>
  <c r="L278"/>
  <c r="L790"/>
  <c r="L182"/>
  <c r="L876"/>
  <c r="L638"/>
  <c r="L929"/>
  <c r="L197"/>
  <c r="L24"/>
  <c r="L631"/>
  <c r="L187"/>
  <c r="L892"/>
  <c r="L804"/>
  <c r="L823"/>
  <c r="M76" i="4"/>
  <c r="O76"/>
  <c r="M79"/>
  <c r="O79"/>
  <c r="M121"/>
  <c r="O121"/>
  <c r="N16"/>
  <c r="M52" i="5"/>
  <c r="M583"/>
  <c r="M144"/>
  <c r="M81"/>
  <c r="M254"/>
  <c r="M180"/>
  <c r="M110"/>
  <c r="N1053" i="4"/>
  <c r="N932"/>
  <c r="N582"/>
  <c r="N25"/>
  <c r="M13" i="5"/>
  <c r="N490" i="4"/>
  <c r="M432" i="5"/>
  <c r="M171"/>
  <c r="M303"/>
  <c r="M509"/>
  <c r="M550"/>
  <c r="M436"/>
  <c r="M339"/>
  <c r="M46"/>
  <c r="N674" i="4"/>
  <c r="M558" i="5"/>
  <c r="M174"/>
  <c r="M118"/>
  <c r="M39"/>
  <c r="N742" i="4"/>
  <c r="M292" i="5"/>
  <c r="M209"/>
  <c r="M156"/>
  <c r="N360" i="4"/>
  <c r="N312"/>
  <c r="M393" i="5"/>
  <c r="M538"/>
  <c r="M475"/>
  <c r="M470"/>
  <c r="M380"/>
  <c r="M285"/>
  <c r="M544"/>
  <c r="M522"/>
  <c r="M345"/>
  <c r="M321"/>
  <c r="M260"/>
  <c r="M177"/>
  <c r="M102"/>
  <c r="M580"/>
  <c r="M572"/>
  <c r="M586"/>
  <c r="M571"/>
  <c r="M493"/>
  <c r="M467"/>
  <c r="M411"/>
  <c r="M386"/>
  <c r="M278"/>
  <c r="M132"/>
  <c r="M92"/>
  <c r="N1133" i="4"/>
  <c r="N832"/>
  <c r="N82"/>
  <c r="M534" i="5"/>
  <c r="M593"/>
  <c r="M399"/>
  <c r="M315"/>
  <c r="N878" i="4"/>
  <c r="M605" i="5"/>
  <c r="N520" i="4"/>
  <c r="N416"/>
  <c r="N553"/>
  <c r="M600" i="5"/>
  <c r="M442"/>
  <c r="M418"/>
  <c r="M377"/>
  <c r="M214"/>
  <c r="M186"/>
  <c r="M135"/>
  <c r="M98"/>
  <c r="M62"/>
  <c r="N324" i="4"/>
  <c r="N272"/>
  <c r="M333" i="5"/>
  <c r="M183"/>
  <c r="M160"/>
  <c r="N231" i="4"/>
  <c r="N119"/>
  <c r="M396" i="5"/>
  <c r="M263"/>
  <c r="M625"/>
  <c r="M526"/>
  <c r="M490"/>
  <c r="M459"/>
  <c r="M362"/>
  <c r="M270"/>
  <c r="M237"/>
  <c r="M192"/>
  <c r="M129"/>
  <c r="M503"/>
  <c r="M405"/>
  <c r="M231"/>
  <c r="M189"/>
  <c r="M32"/>
  <c r="M23"/>
  <c r="M610"/>
  <c r="M75"/>
  <c r="M496"/>
  <c r="M336"/>
  <c r="M244"/>
  <c r="N938" i="4"/>
  <c r="N164"/>
  <c r="M251" i="5"/>
  <c r="M138"/>
  <c r="M69"/>
  <c r="N863" i="4"/>
  <c r="N64"/>
  <c r="M596" i="5"/>
  <c r="M567"/>
  <c r="M512"/>
  <c r="M478"/>
  <c r="M448"/>
  <c r="M428"/>
  <c r="M402"/>
  <c r="M300"/>
  <c r="M114"/>
  <c r="N899" i="4"/>
  <c r="M561" i="5"/>
  <c r="M523"/>
  <c r="M408"/>
  <c r="M383"/>
  <c r="N396" i="4"/>
  <c r="M618" i="5"/>
  <c r="L23" i="3"/>
  <c r="L875"/>
  <c r="L531"/>
  <c r="L507"/>
  <c r="L334"/>
  <c r="L221"/>
  <c r="L151"/>
  <c r="L196"/>
  <c r="L581"/>
  <c r="L472"/>
  <c r="L166"/>
  <c r="L289"/>
  <c r="L592"/>
  <c r="L923"/>
  <c r="L489"/>
  <c r="L375"/>
  <c r="L752"/>
  <c r="L498"/>
  <c r="L390"/>
  <c r="L940"/>
  <c r="L50"/>
  <c r="L59"/>
  <c r="L534"/>
  <c r="L910"/>
  <c r="L834"/>
  <c r="L822"/>
  <c r="L680"/>
  <c r="L104"/>
  <c r="L364"/>
  <c r="L898"/>
  <c r="L809"/>
  <c r="L310"/>
  <c r="L254"/>
  <c r="L417"/>
  <c r="L767"/>
  <c r="L360"/>
  <c r="L313"/>
  <c r="L261"/>
  <c r="L598"/>
  <c r="L805"/>
  <c r="L741"/>
  <c r="L677"/>
  <c r="L628"/>
  <c r="L542"/>
  <c r="L16"/>
  <c r="L889"/>
  <c r="L436"/>
  <c r="L445"/>
  <c r="L121"/>
  <c r="L637"/>
  <c r="L244"/>
  <c r="L131"/>
  <c r="L76"/>
  <c r="L330"/>
  <c r="L504"/>
  <c r="L286"/>
  <c r="L774"/>
  <c r="L192"/>
  <c r="L527"/>
  <c r="L838"/>
  <c r="L612"/>
  <c r="L569"/>
  <c r="L442"/>
  <c r="L384"/>
  <c r="L870"/>
  <c r="L846"/>
  <c r="L726"/>
  <c r="L648"/>
  <c r="L124"/>
  <c r="L179"/>
  <c r="L439"/>
  <c r="L379"/>
  <c r="L128"/>
  <c r="L68"/>
  <c r="L218"/>
  <c r="L552"/>
  <c r="L266"/>
  <c r="L269"/>
  <c r="L616"/>
  <c r="L48"/>
  <c r="L388"/>
  <c r="L895"/>
  <c r="L716"/>
  <c r="L693"/>
  <c r="L495"/>
  <c r="L349"/>
  <c r="L324"/>
  <c r="L302"/>
  <c r="L240"/>
  <c r="L208"/>
  <c r="L118"/>
  <c r="L88"/>
  <c r="L539"/>
  <c r="L501"/>
  <c r="L448"/>
  <c r="L393"/>
  <c r="L867"/>
  <c r="L797"/>
  <c r="L789"/>
  <c r="L572"/>
  <c r="L510"/>
  <c r="L819"/>
  <c r="L758"/>
  <c r="L712"/>
  <c r="L689"/>
  <c r="L665"/>
  <c r="L606"/>
  <c r="L560"/>
  <c r="L492"/>
  <c r="L319"/>
  <c r="L299"/>
  <c r="L235"/>
  <c r="L146"/>
  <c r="L901"/>
  <c r="L815"/>
  <c r="L462"/>
  <c r="L96"/>
  <c r="L784"/>
  <c r="L722"/>
  <c r="L683"/>
  <c r="L91"/>
  <c r="L762"/>
  <c r="L644"/>
  <c r="L524"/>
  <c r="L475"/>
  <c r="L414"/>
  <c r="L159"/>
  <c r="L801"/>
  <c r="L686"/>
  <c r="L575"/>
  <c r="L459"/>
  <c r="L215"/>
  <c r="L134"/>
  <c r="L80"/>
  <c r="L357"/>
  <c r="L156"/>
  <c r="L100"/>
  <c r="L42"/>
  <c r="L555"/>
  <c r="L283"/>
  <c r="L696"/>
  <c r="L352"/>
  <c r="L305"/>
  <c r="L406"/>
  <c r="L610"/>
  <c r="L163"/>
  <c r="L747"/>
  <c r="L595"/>
  <c r="L548"/>
  <c r="L456"/>
  <c r="L400"/>
  <c r="L369"/>
  <c r="L176"/>
  <c r="L755"/>
  <c r="L623"/>
  <c r="L536"/>
  <c r="L232"/>
  <c r="L137"/>
  <c r="L112"/>
  <c r="L433"/>
  <c r="L372"/>
  <c r="L340"/>
  <c r="L249"/>
  <c r="L108"/>
  <c r="L905"/>
  <c r="L453"/>
  <c r="L426"/>
  <c r="L397"/>
  <c r="L141"/>
  <c r="L115"/>
  <c r="L662"/>
  <c r="L601"/>
  <c r="L882"/>
  <c r="L618"/>
  <c r="L327"/>
  <c r="L226"/>
  <c r="H30" i="6"/>
  <c r="M484" i="5"/>
  <c r="L928" i="3"/>
  <c r="L841"/>
  <c r="L861"/>
  <c r="N1096" i="4"/>
  <c r="N1089"/>
  <c r="N1082"/>
  <c r="N1077"/>
  <c r="N1070"/>
  <c r="N1060"/>
  <c r="N1044"/>
  <c r="N1023"/>
  <c r="N1024"/>
  <c r="N1015"/>
  <c r="N1002"/>
  <c r="N997"/>
  <c r="N982"/>
  <c r="N967"/>
  <c r="N941"/>
  <c r="N914"/>
  <c r="N898"/>
  <c r="N890"/>
  <c r="N885"/>
  <c r="N867"/>
  <c r="N852"/>
  <c r="N846"/>
  <c r="L920" i="3"/>
  <c r="M356" i="5"/>
  <c r="N843" i="4"/>
  <c r="N828"/>
  <c r="N812"/>
  <c r="N798"/>
  <c r="N778"/>
  <c r="N772"/>
  <c r="N758"/>
  <c r="N752"/>
  <c r="N735"/>
  <c r="N737"/>
  <c r="N730"/>
  <c r="N719"/>
  <c r="N718"/>
  <c r="N707"/>
  <c r="N673"/>
  <c r="N642"/>
  <c r="N639"/>
  <c r="N617"/>
  <c r="N616"/>
  <c r="N593"/>
  <c r="N586"/>
  <c r="N574"/>
  <c r="N567"/>
  <c r="N552"/>
  <c r="N546"/>
  <c r="N541"/>
  <c r="N532"/>
  <c r="N508"/>
  <c r="N486"/>
  <c r="N482"/>
  <c r="N476"/>
  <c r="N468"/>
  <c r="N456"/>
  <c r="N446"/>
  <c r="N440"/>
  <c r="L746" i="3"/>
  <c r="N395" i="4"/>
  <c r="N331"/>
  <c r="N311"/>
  <c r="N286"/>
  <c r="N285"/>
  <c r="N276"/>
  <c r="N251"/>
  <c r="N247"/>
  <c r="N237"/>
  <c r="N226"/>
  <c r="N221"/>
  <c r="N209"/>
  <c r="N204"/>
  <c r="N188"/>
  <c r="N171"/>
  <c r="N170"/>
  <c r="N135"/>
  <c r="N108"/>
  <c r="N97"/>
  <c r="N89"/>
  <c r="N85"/>
  <c r="N68"/>
  <c r="N1143"/>
  <c r="N57"/>
  <c r="N49"/>
  <c r="N33"/>
  <c r="M250" i="5"/>
  <c r="M11"/>
  <c r="M19"/>
  <c r="L739" i="3"/>
  <c r="N195" i="4"/>
  <c r="L175" i="3"/>
  <c r="M118" i="4"/>
  <c r="O118"/>
  <c r="M116"/>
  <c r="O116"/>
  <c r="M589" i="5"/>
  <c r="N1118" i="4"/>
  <c r="M22" i="5"/>
  <c r="M101"/>
  <c r="M543"/>
  <c r="N777" i="4"/>
  <c r="N840"/>
  <c r="M617" i="5"/>
  <c r="M74"/>
  <c r="M236"/>
  <c r="M361"/>
  <c r="M624"/>
  <c r="M466"/>
  <c r="M291"/>
  <c r="N581" i="4"/>
  <c r="N1052"/>
  <c r="M249" i="5"/>
  <c r="N1124" i="4"/>
  <c r="M608" i="5"/>
  <c r="M604"/>
  <c r="M266"/>
  <c r="M417"/>
  <c r="M113"/>
  <c r="M243"/>
  <c r="M502"/>
  <c r="M269"/>
  <c r="M458"/>
  <c r="N271" i="4"/>
  <c r="M61" i="5"/>
  <c r="M124"/>
  <c r="N513" i="4"/>
  <c r="N81"/>
  <c r="M277" i="5"/>
  <c r="M537"/>
  <c r="M206"/>
  <c r="M570"/>
  <c r="M508"/>
  <c r="N24" i="4"/>
  <c r="M259" i="5"/>
  <c r="M355"/>
  <c r="M299"/>
  <c r="M298"/>
  <c r="N163" i="4"/>
  <c r="N230"/>
  <c r="M603" i="5"/>
  <c r="M284"/>
  <c r="M392"/>
  <c r="M117"/>
  <c r="N15" i="4"/>
  <c r="N592"/>
  <c r="N751"/>
  <c r="N741"/>
  <c r="N330"/>
  <c r="N966"/>
  <c r="M68" i="5"/>
  <c r="M609"/>
  <c r="M230"/>
  <c r="M332"/>
  <c r="N323" i="4"/>
  <c r="N877"/>
  <c r="M599" i="5"/>
  <c r="M38"/>
  <c r="M45"/>
  <c r="M170"/>
  <c r="M12"/>
  <c r="M109"/>
  <c r="M51"/>
  <c r="M549"/>
  <c r="L429" i="3"/>
  <c r="L162"/>
  <c r="L99"/>
  <c r="L323"/>
  <c r="L551"/>
  <c r="L127"/>
  <c r="L214"/>
  <c r="L761"/>
  <c r="L622"/>
  <c r="L387"/>
  <c r="L939"/>
  <c r="L751"/>
  <c r="L800"/>
  <c r="L773"/>
  <c r="L15"/>
  <c r="L277"/>
  <c r="L919"/>
  <c r="L425"/>
  <c r="L888"/>
  <c r="L818"/>
  <c r="L207"/>
  <c r="L265"/>
  <c r="L260"/>
  <c r="L253"/>
  <c r="L363"/>
  <c r="L103"/>
  <c r="L58"/>
  <c r="L165"/>
  <c r="L530"/>
  <c r="L745"/>
  <c r="L881"/>
  <c r="L874"/>
  <c r="L140"/>
  <c r="L396"/>
  <c r="L452"/>
  <c r="L231"/>
  <c r="L405"/>
  <c r="L692"/>
  <c r="L95"/>
  <c r="L559"/>
  <c r="L866"/>
  <c r="L378"/>
  <c r="L725"/>
  <c r="L79"/>
  <c r="L909"/>
  <c r="L471"/>
  <c r="L647"/>
  <c r="L22"/>
  <c r="L661"/>
  <c r="L547"/>
  <c r="L295"/>
  <c r="L783"/>
  <c r="L766"/>
  <c r="L808"/>
  <c r="L922"/>
  <c r="L580"/>
  <c r="L736"/>
  <c r="L904"/>
  <c r="L107"/>
  <c r="L248"/>
  <c r="L111"/>
  <c r="L609"/>
  <c r="L348"/>
  <c r="L41"/>
  <c r="L474"/>
  <c r="L643"/>
  <c r="L814"/>
  <c r="L45"/>
  <c r="L67"/>
  <c r="L837"/>
  <c r="L627"/>
  <c r="L243"/>
  <c r="L413"/>
  <c r="L533"/>
  <c r="L333"/>
  <c r="H28" i="6"/>
  <c r="H29"/>
  <c r="M483" i="5"/>
  <c r="M297"/>
  <c r="L845" i="3"/>
  <c r="N1095" i="4"/>
  <c r="N1088"/>
  <c r="N1081"/>
  <c r="N1076"/>
  <c r="N1069"/>
  <c r="N1059"/>
  <c r="N1043"/>
  <c r="N1022"/>
  <c r="N1001"/>
  <c r="N1121"/>
  <c r="N1154"/>
  <c r="N1149"/>
  <c r="N913"/>
  <c r="N1151"/>
  <c r="N897"/>
  <c r="N889"/>
  <c r="N1139"/>
  <c r="N884"/>
  <c r="N862"/>
  <c r="N845"/>
  <c r="N1148"/>
  <c r="N811"/>
  <c r="N776"/>
  <c r="N771"/>
  <c r="N729"/>
  <c r="N706"/>
  <c r="N638"/>
  <c r="N573"/>
  <c r="N566"/>
  <c r="N551"/>
  <c r="N545"/>
  <c r="N1155"/>
  <c r="N531"/>
  <c r="N1140"/>
  <c r="N439"/>
  <c r="N1127"/>
  <c r="N394"/>
  <c r="N1147"/>
  <c r="N284"/>
  <c r="N1152"/>
  <c r="N246"/>
  <c r="N236"/>
  <c r="N1130"/>
  <c r="N225"/>
  <c r="N1144"/>
  <c r="N220"/>
  <c r="N208"/>
  <c r="N1142"/>
  <c r="N187"/>
  <c r="N1150"/>
  <c r="N169"/>
  <c r="N1107"/>
  <c r="N1113"/>
  <c r="N107"/>
  <c r="N1153"/>
  <c r="N80"/>
  <c r="N56"/>
  <c r="N32"/>
  <c r="M1092"/>
  <c r="O1092"/>
  <c r="M1101"/>
  <c r="O1101"/>
  <c r="M548" i="5"/>
  <c r="M592"/>
  <c r="N876" i="4"/>
  <c r="M67" i="5"/>
  <c r="N14" i="4"/>
  <c r="M283" i="5"/>
  <c r="M276"/>
  <c r="M123"/>
  <c r="N1051" i="4"/>
  <c r="M623" i="5"/>
  <c r="M205"/>
  <c r="M457"/>
  <c r="M462"/>
  <c r="M242"/>
  <c r="N591" i="4"/>
  <c r="M169" i="5"/>
  <c r="M44"/>
  <c r="M37"/>
  <c r="M229"/>
  <c r="M352"/>
  <c r="M507"/>
  <c r="M501"/>
  <c r="M248"/>
  <c r="M360"/>
  <c r="M616"/>
  <c r="M100"/>
  <c r="M21"/>
  <c r="M108"/>
  <c r="M327"/>
  <c r="M391"/>
  <c r="N162" i="4"/>
  <c r="M241" i="5"/>
  <c r="M235"/>
  <c r="O840" i="4"/>
  <c r="N839"/>
  <c r="N540"/>
  <c r="M50" i="5"/>
  <c r="M518"/>
  <c r="N322" i="4"/>
  <c r="N512"/>
  <c r="M60" i="5"/>
  <c r="M268"/>
  <c r="M416"/>
  <c r="M290"/>
  <c r="M465"/>
  <c r="M73"/>
  <c r="L873" i="3"/>
  <c r="L239"/>
  <c r="L66"/>
  <c r="L579"/>
  <c r="L21"/>
  <c r="L206"/>
  <c r="L213"/>
  <c r="L546"/>
  <c r="L322"/>
  <c r="L424"/>
  <c r="L404"/>
  <c r="L347"/>
  <c r="L276"/>
  <c r="L14"/>
  <c r="L938"/>
  <c r="L621"/>
  <c r="L94"/>
  <c r="L33"/>
  <c r="L921"/>
  <c r="L865"/>
  <c r="L57"/>
  <c r="L264"/>
  <c r="L887"/>
  <c r="L916"/>
  <c r="L636"/>
  <c r="L788"/>
  <c r="L558"/>
  <c r="L252"/>
  <c r="L605"/>
  <c r="L247"/>
  <c r="L781"/>
  <c r="L782"/>
  <c r="L660"/>
  <c r="L470"/>
  <c r="L908"/>
  <c r="L451"/>
  <c r="L744"/>
  <c r="L772"/>
  <c r="L514"/>
  <c r="L383"/>
  <c r="L145"/>
  <c r="H48" i="6"/>
  <c r="M482" i="5"/>
  <c r="M324"/>
  <c r="N1094" i="4"/>
  <c r="N1087"/>
  <c r="N1068"/>
  <c r="N1058"/>
  <c r="N1042"/>
  <c r="N965"/>
  <c r="N883"/>
  <c r="N861"/>
  <c r="N810"/>
  <c r="N770"/>
  <c r="N705"/>
  <c r="N637"/>
  <c r="N572"/>
  <c r="N565"/>
  <c r="N550"/>
  <c r="N1120"/>
  <c r="N530"/>
  <c r="N415"/>
  <c r="N329"/>
  <c r="N283"/>
  <c r="N245"/>
  <c r="N235"/>
  <c r="N219"/>
  <c r="N203"/>
  <c r="N168"/>
  <c r="N1145"/>
  <c r="N63"/>
  <c r="N55"/>
  <c r="N31"/>
  <c r="M940"/>
  <c r="O940"/>
  <c r="M934"/>
  <c r="O934"/>
  <c r="M931"/>
  <c r="O931"/>
  <c r="M926"/>
  <c r="M923"/>
  <c r="O923"/>
  <c r="M920"/>
  <c r="O920"/>
  <c r="N455"/>
  <c r="M517" i="5"/>
  <c r="M99"/>
  <c r="M359"/>
  <c r="M36"/>
  <c r="M148"/>
  <c r="M456"/>
  <c r="N1050" i="4"/>
  <c r="M122" i="5"/>
  <c r="N13" i="4"/>
  <c r="M267" i="5"/>
  <c r="N161" i="4"/>
  <c r="M351" i="5"/>
  <c r="M58"/>
  <c r="M35"/>
  <c r="M615"/>
  <c r="M228"/>
  <c r="M43"/>
  <c r="M212"/>
  <c r="M204"/>
  <c r="M275"/>
  <c r="M66"/>
  <c r="M591"/>
  <c r="M464"/>
  <c r="M326"/>
  <c r="M506"/>
  <c r="M500"/>
  <c r="M247"/>
  <c r="M282"/>
  <c r="N875" i="4"/>
  <c r="M925"/>
  <c r="O925"/>
  <c r="O926"/>
  <c r="M84" i="5"/>
  <c r="M289"/>
  <c r="M415"/>
  <c r="M59"/>
  <c r="N838" i="4"/>
  <c r="M390" i="5"/>
  <c r="M107"/>
  <c r="M515"/>
  <c r="M622"/>
  <c r="M547"/>
  <c r="L144" i="3"/>
  <c r="J43" i="2"/>
  <c r="J45"/>
  <c r="L626" i="3"/>
  <c r="L915"/>
  <c r="L259"/>
  <c r="L56"/>
  <c r="L423"/>
  <c r="L765"/>
  <c r="L730"/>
  <c r="L604"/>
  <c r="J26" i="2"/>
  <c r="L615" i="3"/>
  <c r="L13"/>
  <c r="L403"/>
  <c r="L294"/>
  <c r="L205"/>
  <c r="L578"/>
  <c r="L238"/>
  <c r="L382"/>
  <c r="L469"/>
  <c r="L246"/>
  <c r="L787"/>
  <c r="L886"/>
  <c r="L212"/>
  <c r="J14" i="2"/>
  <c r="L513" i="3"/>
  <c r="L32"/>
  <c r="L937"/>
  <c r="L275"/>
  <c r="J46" i="2"/>
  <c r="M499" i="5"/>
  <c r="M463"/>
  <c r="N1093" i="4"/>
  <c r="N1049"/>
  <c r="N1041"/>
  <c r="N896"/>
  <c r="N882"/>
  <c r="N636"/>
  <c r="N1141"/>
  <c r="N529"/>
  <c r="N328"/>
  <c r="N1125"/>
  <c r="N1126"/>
  <c r="N244"/>
  <c r="N218"/>
  <c r="N1129"/>
  <c r="N186"/>
  <c r="N1115"/>
  <c r="N30"/>
  <c r="M84"/>
  <c r="O84"/>
  <c r="M250"/>
  <c r="N1146"/>
  <c r="N1156"/>
  <c r="N837"/>
  <c r="M65" i="5"/>
  <c r="M621"/>
  <c r="M42"/>
  <c r="L280"/>
  <c r="N280"/>
  <c r="O250" i="4"/>
  <c r="M481" i="5"/>
  <c r="M590"/>
  <c r="M274"/>
  <c r="M234"/>
  <c r="M121"/>
  <c r="M106"/>
  <c r="M295"/>
  <c r="M147"/>
  <c r="M105"/>
  <c r="N1048" i="4"/>
  <c r="M414" i="5"/>
  <c r="M451"/>
  <c r="M325"/>
  <c r="M20"/>
  <c r="M350"/>
  <c r="M273"/>
  <c r="N12" i="4"/>
  <c r="M195" i="5"/>
  <c r="M389"/>
  <c r="M358"/>
  <c r="M516"/>
  <c r="M628"/>
  <c r="M288"/>
  <c r="M72"/>
  <c r="M49"/>
  <c r="N1114" i="4"/>
  <c r="N454"/>
  <c r="J44" i="2"/>
  <c r="L780" i="3"/>
  <c r="J30" i="2"/>
  <c r="J13"/>
  <c r="L729" i="3"/>
  <c r="L31"/>
  <c r="J37" i="2"/>
  <c r="J16"/>
  <c r="L914" i="3"/>
  <c r="L74"/>
  <c r="J29" i="2"/>
  <c r="L211" i="3"/>
  <c r="J22" i="2"/>
  <c r="L230" i="3"/>
  <c r="L204"/>
  <c r="J20" i="2"/>
  <c r="J32"/>
  <c r="L750" i="3"/>
  <c r="J34" i="2"/>
  <c r="L346" i="3"/>
  <c r="J48" i="2"/>
  <c r="J25"/>
  <c r="J27"/>
  <c r="J38"/>
  <c r="J51"/>
  <c r="L936" i="3"/>
  <c r="L468"/>
  <c r="L545"/>
  <c r="N1134" i="4"/>
  <c r="N1086"/>
  <c r="N1119"/>
  <c r="N860"/>
  <c r="N590"/>
  <c r="N1112"/>
  <c r="N528"/>
  <c r="N243"/>
  <c r="N1128"/>
  <c r="N1116"/>
  <c r="N1117"/>
  <c r="N1111"/>
  <c r="N29"/>
  <c r="M249"/>
  <c r="L281" i="5"/>
  <c r="N281"/>
  <c r="K98" i="3"/>
  <c r="M98"/>
  <c r="M282" i="4"/>
  <c r="O282"/>
  <c r="N809"/>
  <c r="M546" i="5"/>
  <c r="M348"/>
  <c r="M331"/>
  <c r="M248" i="4"/>
  <c r="O249"/>
  <c r="M349" i="5"/>
  <c r="M296"/>
  <c r="M629"/>
  <c r="J50" i="2"/>
  <c r="L913" i="3"/>
  <c r="J35" i="2"/>
  <c r="J31"/>
  <c r="J21"/>
  <c r="L274" i="3"/>
  <c r="J18" i="2"/>
  <c r="J15"/>
  <c r="L659" i="3"/>
  <c r="J42" i="2"/>
  <c r="J24"/>
  <c r="J36"/>
  <c r="J33"/>
  <c r="L229" i="3"/>
  <c r="L422"/>
  <c r="J41" i="2"/>
  <c r="J19"/>
  <c r="L12" i="3"/>
  <c r="N1122" i="4"/>
  <c r="N1123"/>
  <c r="N571"/>
  <c r="M462"/>
  <c r="O462"/>
  <c r="M460"/>
  <c r="N769"/>
  <c r="N1131"/>
  <c r="N1132"/>
  <c r="N1136"/>
  <c r="M459"/>
  <c r="O459"/>
  <c r="O460"/>
  <c r="M357" i="5"/>
  <c r="M247" i="4"/>
  <c r="O248"/>
  <c r="J23" i="2"/>
  <c r="J12"/>
  <c r="J28"/>
  <c r="J49"/>
  <c r="L885" i="3"/>
  <c r="J40" i="2"/>
  <c r="L658" i="3"/>
  <c r="N1104" i="4"/>
  <c r="L26" i="5"/>
  <c r="N26"/>
  <c r="K792" i="3"/>
  <c r="L480" i="5"/>
  <c r="M570" i="4"/>
  <c r="O570"/>
  <c r="K362" i="3"/>
  <c r="M1005" i="4"/>
  <c r="O1005"/>
  <c r="M980"/>
  <c r="M246"/>
  <c r="O246"/>
  <c r="O247"/>
  <c r="N1135"/>
  <c r="N1137"/>
  <c r="M979"/>
  <c r="O979"/>
  <c r="O980"/>
  <c r="L479" i="5"/>
  <c r="N480"/>
  <c r="L948" i="3"/>
  <c r="K22" i="7"/>
  <c r="K23"/>
  <c r="K17"/>
  <c r="J39" i="2"/>
  <c r="K791" i="3"/>
  <c r="M791"/>
  <c r="M792"/>
  <c r="L947"/>
  <c r="K361"/>
  <c r="M362"/>
  <c r="J47" i="2"/>
  <c r="J53"/>
  <c r="N1106" i="4"/>
  <c r="M761"/>
  <c r="O761"/>
  <c r="M666"/>
  <c r="O666"/>
  <c r="L478" i="5"/>
  <c r="N478"/>
  <c r="N479"/>
  <c r="K18" i="7"/>
  <c r="K16"/>
  <c r="K13"/>
  <c r="K360" i="3"/>
  <c r="M360"/>
  <c r="M361"/>
  <c r="J52" i="2"/>
  <c r="L949" i="3"/>
  <c r="L533" i="5"/>
  <c r="L514"/>
  <c r="L474"/>
  <c r="K237" i="3"/>
  <c r="M191" i="4"/>
  <c r="O191"/>
  <c r="M193"/>
  <c r="M192"/>
  <c r="O192"/>
  <c r="O193"/>
  <c r="L513" i="5"/>
  <c r="N514"/>
  <c r="L473"/>
  <c r="N473"/>
  <c r="N474"/>
  <c r="L532"/>
  <c r="N532"/>
  <c r="N533"/>
  <c r="K236" i="3"/>
  <c r="M237"/>
  <c r="J54" i="2"/>
  <c r="I117" i="1"/>
  <c r="L512" i="5"/>
  <c r="N512"/>
  <c r="N513"/>
  <c r="K235" i="3"/>
  <c r="M235"/>
  <c r="M236"/>
  <c r="K308"/>
  <c r="M308"/>
  <c r="K356"/>
  <c r="M974" i="4"/>
  <c r="O974"/>
  <c r="M973"/>
  <c r="O973"/>
  <c r="M927"/>
  <c r="M657"/>
  <c r="M924"/>
  <c r="O924"/>
  <c r="O927"/>
  <c r="L179" i="5"/>
  <c r="O657" i="4"/>
  <c r="K355" i="3"/>
  <c r="M355"/>
  <c r="M356"/>
  <c r="K242"/>
  <c r="M198" i="4"/>
  <c r="L178" i="5"/>
  <c r="N179"/>
  <c r="M197" i="4"/>
  <c r="O197"/>
  <c r="O198"/>
  <c r="K241" i="3"/>
  <c r="M242"/>
  <c r="I94" i="1"/>
  <c r="I93"/>
  <c r="L177" i="5"/>
  <c r="N177"/>
  <c r="N178"/>
  <c r="K240" i="3"/>
  <c r="M240"/>
  <c r="M241"/>
  <c r="K497"/>
  <c r="K496"/>
  <c r="M497"/>
  <c r="M656" i="4"/>
  <c r="M655"/>
  <c r="O655"/>
  <c r="O656"/>
  <c r="K495" i="3"/>
  <c r="M495"/>
  <c r="M496"/>
  <c r="M242" i="4"/>
  <c r="O242"/>
  <c r="M129"/>
  <c r="O129"/>
  <c r="M127"/>
  <c r="O127"/>
  <c r="M240"/>
  <c r="O240"/>
  <c r="M948"/>
  <c r="O948"/>
  <c r="K169" i="3"/>
  <c r="M128" i="4"/>
  <c r="O128"/>
  <c r="K168" i="3"/>
  <c r="M168"/>
  <c r="M169"/>
  <c r="M1014" i="4"/>
  <c r="O1014"/>
  <c r="K155" i="3"/>
  <c r="M215" i="4"/>
  <c r="O215"/>
  <c r="M217"/>
  <c r="O217"/>
  <c r="M134"/>
  <c r="O134"/>
  <c r="M132"/>
  <c r="O132"/>
  <c r="M180"/>
  <c r="O180"/>
  <c r="M150"/>
  <c r="O150"/>
  <c r="M46"/>
  <c r="O46"/>
  <c r="M52"/>
  <c r="O52"/>
  <c r="M36"/>
  <c r="O36"/>
  <c r="K234" i="3"/>
  <c r="M234"/>
  <c r="M842" i="4"/>
  <c r="O842"/>
  <c r="M893"/>
  <c r="O893"/>
  <c r="M888"/>
  <c r="O888"/>
  <c r="M182"/>
  <c r="O182"/>
  <c r="M174"/>
  <c r="O174"/>
  <c r="K154" i="3"/>
  <c r="M154"/>
  <c r="M155"/>
  <c r="M117" i="4"/>
  <c r="O117"/>
  <c r="K345" i="3"/>
  <c r="M345"/>
  <c r="M963" i="4"/>
  <c r="M962"/>
  <c r="O962"/>
  <c r="O963"/>
  <c r="M45"/>
  <c r="O45"/>
  <c r="K47" i="3"/>
  <c r="M48" i="4"/>
  <c r="G48"/>
  <c r="G47"/>
  <c r="L47"/>
  <c r="K47"/>
  <c r="J47"/>
  <c r="I47"/>
  <c r="H47"/>
  <c r="I46"/>
  <c r="G46"/>
  <c r="M47"/>
  <c r="O48"/>
  <c r="K46" i="3"/>
  <c r="M46"/>
  <c r="M47"/>
  <c r="K49"/>
  <c r="M44" i="4"/>
  <c r="O44"/>
  <c r="O47"/>
  <c r="K48" i="3"/>
  <c r="M49"/>
  <c r="I148" i="1"/>
  <c r="I147"/>
  <c r="I137"/>
  <c r="I106"/>
  <c r="C109"/>
  <c r="D109"/>
  <c r="D104"/>
  <c r="E109"/>
  <c r="F109"/>
  <c r="F104"/>
  <c r="G109"/>
  <c r="G104"/>
  <c r="H109"/>
  <c r="H104"/>
  <c r="I109"/>
  <c r="I104"/>
  <c r="K45" i="3"/>
  <c r="M45"/>
  <c r="M48"/>
  <c r="C104" i="1"/>
  <c r="E104"/>
  <c r="K288" i="3"/>
  <c r="M909" i="4"/>
  <c r="M908"/>
  <c r="O908"/>
  <c r="O909"/>
  <c r="K287" i="3"/>
  <c r="M288"/>
  <c r="L627" i="5"/>
  <c r="L614"/>
  <c r="N614"/>
  <c r="L613"/>
  <c r="N613"/>
  <c r="L612"/>
  <c r="N612"/>
  <c r="L607"/>
  <c r="L461"/>
  <c r="N461"/>
  <c r="K143" i="3"/>
  <c r="K133"/>
  <c r="M133"/>
  <c r="K130"/>
  <c r="M130"/>
  <c r="M955" i="4"/>
  <c r="O955"/>
  <c r="K907" i="3"/>
  <c r="M830" i="4"/>
  <c r="M797"/>
  <c r="O797"/>
  <c r="M782"/>
  <c r="O782"/>
  <c r="K139" i="3"/>
  <c r="M543" i="4"/>
  <c r="M71"/>
  <c r="O71"/>
  <c r="M21"/>
  <c r="O21"/>
  <c r="M19"/>
  <c r="O19"/>
  <c r="M542"/>
  <c r="O543"/>
  <c r="M829"/>
  <c r="O830"/>
  <c r="L606" i="5"/>
  <c r="N607"/>
  <c r="L626"/>
  <c r="N627"/>
  <c r="K138" i="3"/>
  <c r="M139"/>
  <c r="K906"/>
  <c r="M907"/>
  <c r="K142"/>
  <c r="M143"/>
  <c r="K286"/>
  <c r="M286"/>
  <c r="M287"/>
  <c r="M815" i="4"/>
  <c r="O815"/>
  <c r="L625" i="5"/>
  <c r="N626"/>
  <c r="M828" i="4"/>
  <c r="O829"/>
  <c r="L605" i="5"/>
  <c r="N606"/>
  <c r="M541" i="4"/>
  <c r="O542"/>
  <c r="K905" i="3"/>
  <c r="M906"/>
  <c r="K141"/>
  <c r="M142"/>
  <c r="K137"/>
  <c r="M137"/>
  <c r="M138"/>
  <c r="M704" i="4"/>
  <c r="O704"/>
  <c r="M632"/>
  <c r="O632"/>
  <c r="M1008"/>
  <c r="O1008"/>
  <c r="M111"/>
  <c r="O541"/>
  <c r="O1155"/>
  <c r="M1155"/>
  <c r="O828"/>
  <c r="O1148"/>
  <c r="M1148"/>
  <c r="N605" i="5"/>
  <c r="L604"/>
  <c r="N604"/>
  <c r="L608"/>
  <c r="N608"/>
  <c r="L624"/>
  <c r="N625"/>
  <c r="K148" i="3"/>
  <c r="M148"/>
  <c r="O111" i="4"/>
  <c r="K140" i="3"/>
  <c r="M140"/>
  <c r="M141"/>
  <c r="K904"/>
  <c r="M904"/>
  <c r="M905"/>
  <c r="M808" i="4"/>
  <c r="O808"/>
  <c r="M728"/>
  <c r="O728"/>
  <c r="M321"/>
  <c r="O321"/>
  <c r="M318"/>
  <c r="O318"/>
  <c r="M626"/>
  <c r="O626"/>
  <c r="M698"/>
  <c r="O698"/>
  <c r="M725"/>
  <c r="O725"/>
  <c r="M805"/>
  <c r="O805"/>
  <c r="M411"/>
  <c r="O411"/>
  <c r="I134" i="1"/>
  <c r="I146"/>
  <c r="I145"/>
  <c r="I139"/>
  <c r="I131"/>
  <c r="I129"/>
  <c r="I126"/>
  <c r="L623" i="5"/>
  <c r="N624"/>
  <c r="O82" i="3"/>
  <c r="O81"/>
  <c r="I60" i="2"/>
  <c r="L622" i="5"/>
  <c r="N623"/>
  <c r="K132" i="3"/>
  <c r="K136"/>
  <c r="M136"/>
  <c r="M1091" i="4"/>
  <c r="L1091"/>
  <c r="L1089"/>
  <c r="K1091"/>
  <c r="K1089"/>
  <c r="J1091"/>
  <c r="J1090"/>
  <c r="I1091"/>
  <c r="I1090"/>
  <c r="H1091"/>
  <c r="H1089"/>
  <c r="G1091"/>
  <c r="G1089"/>
  <c r="M710"/>
  <c r="O710"/>
  <c r="M641"/>
  <c r="O641"/>
  <c r="M596"/>
  <c r="O596"/>
  <c r="M774"/>
  <c r="L774"/>
  <c r="L773"/>
  <c r="K774"/>
  <c r="K773"/>
  <c r="J774"/>
  <c r="J772"/>
  <c r="I774"/>
  <c r="I772"/>
  <c r="H774"/>
  <c r="H773"/>
  <c r="G774"/>
  <c r="G773"/>
  <c r="M588"/>
  <c r="L588"/>
  <c r="L587"/>
  <c r="K588"/>
  <c r="K587"/>
  <c r="J588"/>
  <c r="J587"/>
  <c r="I588"/>
  <c r="I587"/>
  <c r="H588"/>
  <c r="H587"/>
  <c r="G588"/>
  <c r="G587"/>
  <c r="M363"/>
  <c r="O363"/>
  <c r="M334"/>
  <c r="O334"/>
  <c r="M289"/>
  <c r="O289"/>
  <c r="M281"/>
  <c r="L281"/>
  <c r="L280"/>
  <c r="K281"/>
  <c r="K280"/>
  <c r="J281"/>
  <c r="J280"/>
  <c r="I281"/>
  <c r="I280"/>
  <c r="H281"/>
  <c r="H280"/>
  <c r="G281"/>
  <c r="G280"/>
  <c r="L602" i="5"/>
  <c r="M278" i="4"/>
  <c r="L278"/>
  <c r="L277"/>
  <c r="L276"/>
  <c r="K278"/>
  <c r="K277"/>
  <c r="K276"/>
  <c r="J278"/>
  <c r="J277"/>
  <c r="J276"/>
  <c r="I278"/>
  <c r="I277"/>
  <c r="I276"/>
  <c r="H278"/>
  <c r="H277"/>
  <c r="H276"/>
  <c r="G278"/>
  <c r="G277"/>
  <c r="G276"/>
  <c r="M277"/>
  <c r="O277"/>
  <c r="O278"/>
  <c r="M280"/>
  <c r="O280"/>
  <c r="O281"/>
  <c r="L601" i="5"/>
  <c r="N602"/>
  <c r="M773" i="4"/>
  <c r="O774"/>
  <c r="M587"/>
  <c r="O588"/>
  <c r="M1090"/>
  <c r="O1091"/>
  <c r="L628" i="5"/>
  <c r="N628"/>
  <c r="N622"/>
  <c r="K131" i="3"/>
  <c r="M131"/>
  <c r="M132"/>
  <c r="J1089" i="4"/>
  <c r="G772"/>
  <c r="J773"/>
  <c r="I773"/>
  <c r="L586"/>
  <c r="L1090"/>
  <c r="H586"/>
  <c r="H1090"/>
  <c r="K772"/>
  <c r="H772"/>
  <c r="L772"/>
  <c r="G586"/>
  <c r="J586"/>
  <c r="I1089"/>
  <c r="G1090"/>
  <c r="K1090"/>
  <c r="L611" i="5"/>
  <c r="K586" i="4"/>
  <c r="I586"/>
  <c r="M276"/>
  <c r="O276"/>
  <c r="M1089"/>
  <c r="O1090"/>
  <c r="M772"/>
  <c r="O773"/>
  <c r="L610" i="5"/>
  <c r="N611"/>
  <c r="M586" i="4"/>
  <c r="O586"/>
  <c r="O587"/>
  <c r="L600" i="5"/>
  <c r="N601"/>
  <c r="L598"/>
  <c r="K598"/>
  <c r="K597"/>
  <c r="K596"/>
  <c r="J598"/>
  <c r="J597"/>
  <c r="J596"/>
  <c r="I598"/>
  <c r="I597"/>
  <c r="I596"/>
  <c r="H598"/>
  <c r="H597"/>
  <c r="H596"/>
  <c r="G598"/>
  <c r="G597"/>
  <c r="G596"/>
  <c r="M105" i="4"/>
  <c r="L105"/>
  <c r="L104"/>
  <c r="K105"/>
  <c r="K104"/>
  <c r="J105"/>
  <c r="J104"/>
  <c r="I105"/>
  <c r="I104"/>
  <c r="H105"/>
  <c r="H104"/>
  <c r="G105"/>
  <c r="G104"/>
  <c r="L597" i="5"/>
  <c r="N598"/>
  <c r="M771" i="4"/>
  <c r="O772"/>
  <c r="M104"/>
  <c r="O104"/>
  <c r="O105"/>
  <c r="L603" i="5"/>
  <c r="N603"/>
  <c r="N600"/>
  <c r="L609"/>
  <c r="N609"/>
  <c r="N610"/>
  <c r="M1088" i="4"/>
  <c r="O1089"/>
  <c r="O16" i="7"/>
  <c r="Q16"/>
  <c r="S16"/>
  <c r="M1087" i="4"/>
  <c r="O1087"/>
  <c r="O1088"/>
  <c r="M770"/>
  <c r="O770"/>
  <c r="O771"/>
  <c r="L596" i="5"/>
  <c r="N596"/>
  <c r="N597"/>
  <c r="M961" i="4"/>
  <c r="O961"/>
  <c r="M549"/>
  <c r="O549"/>
  <c r="M740"/>
  <c r="O740"/>
  <c r="M701"/>
  <c r="O701"/>
  <c r="M692"/>
  <c r="O692"/>
  <c r="M629"/>
  <c r="O629"/>
  <c r="K869" i="3"/>
  <c r="M869"/>
  <c r="M408" i="4"/>
  <c r="O408"/>
  <c r="M405"/>
  <c r="O405"/>
  <c r="M202"/>
  <c r="O202"/>
  <c r="K510" i="5"/>
  <c r="K509"/>
  <c r="K508"/>
  <c r="K507"/>
  <c r="K515"/>
  <c r="J510"/>
  <c r="J509"/>
  <c r="J508"/>
  <c r="J507"/>
  <c r="J515"/>
  <c r="I510"/>
  <c r="I509"/>
  <c r="I508"/>
  <c r="I507"/>
  <c r="I515"/>
  <c r="H510"/>
  <c r="H509"/>
  <c r="H508"/>
  <c r="H507"/>
  <c r="H515"/>
  <c r="L511"/>
  <c r="G510"/>
  <c r="G509"/>
  <c r="G508"/>
  <c r="G507"/>
  <c r="G515"/>
  <c r="K245"/>
  <c r="K244"/>
  <c r="K243"/>
  <c r="K242"/>
  <c r="K247"/>
  <c r="J245"/>
  <c r="J244"/>
  <c r="J243"/>
  <c r="J242"/>
  <c r="J247"/>
  <c r="I245"/>
  <c r="I244"/>
  <c r="I243"/>
  <c r="I242"/>
  <c r="I247"/>
  <c r="H245"/>
  <c r="H244"/>
  <c r="H243"/>
  <c r="H242"/>
  <c r="H247"/>
  <c r="G245"/>
  <c r="G244"/>
  <c r="G243"/>
  <c r="G242"/>
  <c r="G247"/>
  <c r="J263" i="3"/>
  <c r="J262"/>
  <c r="J261"/>
  <c r="J260"/>
  <c r="I263"/>
  <c r="I262"/>
  <c r="I261"/>
  <c r="I260"/>
  <c r="H263"/>
  <c r="H262"/>
  <c r="H261"/>
  <c r="H260"/>
  <c r="G263"/>
  <c r="G262"/>
  <c r="G261"/>
  <c r="G260"/>
  <c r="F263"/>
  <c r="F262"/>
  <c r="F261"/>
  <c r="F260"/>
  <c r="K233"/>
  <c r="J234"/>
  <c r="J233"/>
  <c r="J232"/>
  <c r="J231"/>
  <c r="I234"/>
  <c r="I233"/>
  <c r="I232"/>
  <c r="I231"/>
  <c r="H234"/>
  <c r="H233"/>
  <c r="H232"/>
  <c r="H231"/>
  <c r="G234"/>
  <c r="G233"/>
  <c r="G232"/>
  <c r="G231"/>
  <c r="F234"/>
  <c r="F233"/>
  <c r="F232"/>
  <c r="F231"/>
  <c r="M207" i="4"/>
  <c r="I206"/>
  <c r="I205"/>
  <c r="I204"/>
  <c r="L206"/>
  <c r="L205"/>
  <c r="L204"/>
  <c r="K206"/>
  <c r="K205"/>
  <c r="K204"/>
  <c r="J206"/>
  <c r="J205"/>
  <c r="J204"/>
  <c r="H206"/>
  <c r="H205"/>
  <c r="H204"/>
  <c r="G206"/>
  <c r="G205"/>
  <c r="G204"/>
  <c r="I190"/>
  <c r="I189"/>
  <c r="I188"/>
  <c r="G190"/>
  <c r="G189"/>
  <c r="G188"/>
  <c r="M190"/>
  <c r="L190"/>
  <c r="L189"/>
  <c r="L188"/>
  <c r="K190"/>
  <c r="K189"/>
  <c r="K188"/>
  <c r="J190"/>
  <c r="J189"/>
  <c r="J188"/>
  <c r="H190"/>
  <c r="H189"/>
  <c r="H188"/>
  <c r="M189"/>
  <c r="O189"/>
  <c r="O190"/>
  <c r="L246" i="5"/>
  <c r="O207" i="4"/>
  <c r="L510" i="5"/>
  <c r="N511"/>
  <c r="K232" i="3"/>
  <c r="M233"/>
  <c r="M188" i="4"/>
  <c r="M206"/>
  <c r="K263" i="3"/>
  <c r="F95" i="1"/>
  <c r="I16"/>
  <c r="M205" i="4"/>
  <c r="O206"/>
  <c r="M1150"/>
  <c r="O188"/>
  <c r="O1150"/>
  <c r="L245" i="5"/>
  <c r="N246"/>
  <c r="L509"/>
  <c r="N510"/>
  <c r="K262" i="3"/>
  <c r="M263"/>
  <c r="K231"/>
  <c r="M231"/>
  <c r="M232"/>
  <c r="G844"/>
  <c r="F844"/>
  <c r="I1055" i="4"/>
  <c r="I1054"/>
  <c r="F20" i="3"/>
  <c r="N509" i="5"/>
  <c r="L508"/>
  <c r="L244"/>
  <c r="N245"/>
  <c r="M204" i="4"/>
  <c r="O205"/>
  <c r="K261" i="3"/>
  <c r="M262"/>
  <c r="G1055" i="4"/>
  <c r="L507" i="5"/>
  <c r="N508"/>
  <c r="L243"/>
  <c r="N244"/>
  <c r="M1142" i="4"/>
  <c r="O204"/>
  <c r="O1142"/>
  <c r="K260" i="3"/>
  <c r="M260"/>
  <c r="M261"/>
  <c r="K377"/>
  <c r="M377"/>
  <c r="J377"/>
  <c r="I377"/>
  <c r="H377"/>
  <c r="G377"/>
  <c r="F377"/>
  <c r="L242" i="5"/>
  <c r="N243"/>
  <c r="L515"/>
  <c r="N515"/>
  <c r="N507"/>
  <c r="G125" i="3"/>
  <c r="G124"/>
  <c r="G122"/>
  <c r="G121"/>
  <c r="G119"/>
  <c r="G118"/>
  <c r="G116"/>
  <c r="G115"/>
  <c r="G113"/>
  <c r="G112"/>
  <c r="F113"/>
  <c r="F112"/>
  <c r="F116"/>
  <c r="F115"/>
  <c r="F119"/>
  <c r="F118"/>
  <c r="F122"/>
  <c r="F121"/>
  <c r="F125"/>
  <c r="F124"/>
  <c r="K126"/>
  <c r="J126"/>
  <c r="J125"/>
  <c r="J124"/>
  <c r="I126"/>
  <c r="I125"/>
  <c r="I124"/>
  <c r="K123"/>
  <c r="J123"/>
  <c r="J122"/>
  <c r="J121"/>
  <c r="I123"/>
  <c r="I122"/>
  <c r="I121"/>
  <c r="K120"/>
  <c r="J120"/>
  <c r="J119"/>
  <c r="J118"/>
  <c r="I120"/>
  <c r="I119"/>
  <c r="I118"/>
  <c r="K117"/>
  <c r="J117"/>
  <c r="J116"/>
  <c r="J115"/>
  <c r="I117"/>
  <c r="I116"/>
  <c r="I115"/>
  <c r="K114"/>
  <c r="J114"/>
  <c r="J113"/>
  <c r="J112"/>
  <c r="I114"/>
  <c r="I113"/>
  <c r="I112"/>
  <c r="H126"/>
  <c r="H125"/>
  <c r="H124"/>
  <c r="H120"/>
  <c r="H119"/>
  <c r="H118"/>
  <c r="H117"/>
  <c r="H116"/>
  <c r="H115"/>
  <c r="H114"/>
  <c r="H113"/>
  <c r="H112"/>
  <c r="H123"/>
  <c r="H122"/>
  <c r="H121"/>
  <c r="H587" i="5"/>
  <c r="H586"/>
  <c r="G587"/>
  <c r="G586"/>
  <c r="L588"/>
  <c r="K588"/>
  <c r="K587"/>
  <c r="K586"/>
  <c r="J588"/>
  <c r="J587"/>
  <c r="J586"/>
  <c r="I588"/>
  <c r="I587"/>
  <c r="I586"/>
  <c r="H573"/>
  <c r="H572"/>
  <c r="G573"/>
  <c r="G572"/>
  <c r="L574"/>
  <c r="K574"/>
  <c r="K573"/>
  <c r="K572"/>
  <c r="J574"/>
  <c r="J573"/>
  <c r="J572"/>
  <c r="I574"/>
  <c r="I573"/>
  <c r="I572"/>
  <c r="L576"/>
  <c r="N576"/>
  <c r="K576"/>
  <c r="J576"/>
  <c r="I576"/>
  <c r="H576"/>
  <c r="G576"/>
  <c r="L552"/>
  <c r="N552"/>
  <c r="K552"/>
  <c r="J552"/>
  <c r="I552"/>
  <c r="L565"/>
  <c r="K565"/>
  <c r="K564"/>
  <c r="J565"/>
  <c r="J564"/>
  <c r="I565"/>
  <c r="I564"/>
  <c r="H565"/>
  <c r="H564"/>
  <c r="G565"/>
  <c r="G564"/>
  <c r="H568"/>
  <c r="H567"/>
  <c r="G568"/>
  <c r="G567"/>
  <c r="L569"/>
  <c r="K569"/>
  <c r="K568"/>
  <c r="K567"/>
  <c r="J569"/>
  <c r="J568"/>
  <c r="J567"/>
  <c r="I569"/>
  <c r="I568"/>
  <c r="I567"/>
  <c r="H562"/>
  <c r="H561"/>
  <c r="G562"/>
  <c r="G561"/>
  <c r="L563"/>
  <c r="K563"/>
  <c r="K562"/>
  <c r="K561"/>
  <c r="J563"/>
  <c r="J562"/>
  <c r="J561"/>
  <c r="I563"/>
  <c r="I562"/>
  <c r="I561"/>
  <c r="H559"/>
  <c r="H558"/>
  <c r="G559"/>
  <c r="G558"/>
  <c r="L560"/>
  <c r="K560"/>
  <c r="K559"/>
  <c r="K558"/>
  <c r="J560"/>
  <c r="J559"/>
  <c r="J558"/>
  <c r="I560"/>
  <c r="I559"/>
  <c r="I558"/>
  <c r="L939" i="4"/>
  <c r="L938"/>
  <c r="K939"/>
  <c r="K938"/>
  <c r="J939"/>
  <c r="J938"/>
  <c r="L936"/>
  <c r="L935"/>
  <c r="K936"/>
  <c r="K935"/>
  <c r="J936"/>
  <c r="J935"/>
  <c r="L933"/>
  <c r="L932"/>
  <c r="K933"/>
  <c r="K932"/>
  <c r="J933"/>
  <c r="J932"/>
  <c r="L931"/>
  <c r="L930"/>
  <c r="L929"/>
  <c r="K931"/>
  <c r="K930"/>
  <c r="K929"/>
  <c r="J931"/>
  <c r="J930"/>
  <c r="J929"/>
  <c r="L926"/>
  <c r="L925"/>
  <c r="L924"/>
  <c r="K926"/>
  <c r="K925"/>
  <c r="K924"/>
  <c r="J926"/>
  <c r="J925"/>
  <c r="J924"/>
  <c r="L923"/>
  <c r="L922"/>
  <c r="L921"/>
  <c r="K923"/>
  <c r="K922"/>
  <c r="K921"/>
  <c r="J923"/>
  <c r="J922"/>
  <c r="J921"/>
  <c r="L919"/>
  <c r="L918"/>
  <c r="K919"/>
  <c r="K918"/>
  <c r="J919"/>
  <c r="J918"/>
  <c r="L916"/>
  <c r="L915"/>
  <c r="K916"/>
  <c r="K915"/>
  <c r="J916"/>
  <c r="J915"/>
  <c r="M579"/>
  <c r="L579"/>
  <c r="L578"/>
  <c r="K579"/>
  <c r="K578"/>
  <c r="J579"/>
  <c r="J578"/>
  <c r="I579"/>
  <c r="I578"/>
  <c r="H579"/>
  <c r="H578"/>
  <c r="G579"/>
  <c r="G578"/>
  <c r="M576"/>
  <c r="L576"/>
  <c r="L575"/>
  <c r="K576"/>
  <c r="K575"/>
  <c r="J576"/>
  <c r="J575"/>
  <c r="I576"/>
  <c r="I575"/>
  <c r="H576"/>
  <c r="H575"/>
  <c r="G576"/>
  <c r="G575"/>
  <c r="M269"/>
  <c r="L269"/>
  <c r="L268"/>
  <c r="L267"/>
  <c r="K269"/>
  <c r="K268"/>
  <c r="K267"/>
  <c r="J269"/>
  <c r="J268"/>
  <c r="J267"/>
  <c r="I269"/>
  <c r="I268"/>
  <c r="I267"/>
  <c r="H269"/>
  <c r="H268"/>
  <c r="H267"/>
  <c r="G269"/>
  <c r="G268"/>
  <c r="G267"/>
  <c r="M265"/>
  <c r="L265"/>
  <c r="L264"/>
  <c r="K265"/>
  <c r="K264"/>
  <c r="J265"/>
  <c r="J264"/>
  <c r="I265"/>
  <c r="I264"/>
  <c r="H265"/>
  <c r="H264"/>
  <c r="G265"/>
  <c r="G264"/>
  <c r="I262"/>
  <c r="I261"/>
  <c r="G262"/>
  <c r="G261"/>
  <c r="M262"/>
  <c r="L262"/>
  <c r="L261"/>
  <c r="K262"/>
  <c r="K261"/>
  <c r="J262"/>
  <c r="J261"/>
  <c r="H262"/>
  <c r="H261"/>
  <c r="M259"/>
  <c r="L259"/>
  <c r="L258"/>
  <c r="K259"/>
  <c r="K258"/>
  <c r="J259"/>
  <c r="J258"/>
  <c r="I259"/>
  <c r="I258"/>
  <c r="H259"/>
  <c r="H258"/>
  <c r="G259"/>
  <c r="G258"/>
  <c r="M256"/>
  <c r="L256"/>
  <c r="L255"/>
  <c r="K256"/>
  <c r="K255"/>
  <c r="J256"/>
  <c r="J255"/>
  <c r="I256"/>
  <c r="I255"/>
  <c r="H256"/>
  <c r="H255"/>
  <c r="G256"/>
  <c r="G255"/>
  <c r="M253"/>
  <c r="L253"/>
  <c r="L252"/>
  <c r="K253"/>
  <c r="K252"/>
  <c r="J253"/>
  <c r="J252"/>
  <c r="I253"/>
  <c r="I252"/>
  <c r="H253"/>
  <c r="H252"/>
  <c r="G253"/>
  <c r="G252"/>
  <c r="M433"/>
  <c r="L433"/>
  <c r="L432"/>
  <c r="K433"/>
  <c r="K432"/>
  <c r="J433"/>
  <c r="J432"/>
  <c r="I433"/>
  <c r="I432"/>
  <c r="H433"/>
  <c r="H432"/>
  <c r="G433"/>
  <c r="G432"/>
  <c r="M421"/>
  <c r="L421"/>
  <c r="L420"/>
  <c r="K421"/>
  <c r="K420"/>
  <c r="J421"/>
  <c r="J420"/>
  <c r="I421"/>
  <c r="I420"/>
  <c r="H421"/>
  <c r="H420"/>
  <c r="G421"/>
  <c r="G420"/>
  <c r="M427"/>
  <c r="L427"/>
  <c r="L426"/>
  <c r="K427"/>
  <c r="K426"/>
  <c r="J427"/>
  <c r="J426"/>
  <c r="I427"/>
  <c r="I426"/>
  <c r="H427"/>
  <c r="H426"/>
  <c r="G427"/>
  <c r="G426"/>
  <c r="M426"/>
  <c r="O426"/>
  <c r="O427"/>
  <c r="M420"/>
  <c r="O420"/>
  <c r="O421"/>
  <c r="M258"/>
  <c r="O258"/>
  <c r="O259"/>
  <c r="M575"/>
  <c r="O575"/>
  <c r="O576"/>
  <c r="M255"/>
  <c r="O255"/>
  <c r="O256"/>
  <c r="L562" i="5"/>
  <c r="N563"/>
  <c r="L573"/>
  <c r="N574"/>
  <c r="M252" i="4"/>
  <c r="O252"/>
  <c r="O253"/>
  <c r="M264"/>
  <c r="O264"/>
  <c r="O265"/>
  <c r="M261"/>
  <c r="O261"/>
  <c r="O262"/>
  <c r="M268"/>
  <c r="O269"/>
  <c r="M432"/>
  <c r="O432"/>
  <c r="O433"/>
  <c r="M578"/>
  <c r="O578"/>
  <c r="O579"/>
  <c r="L559" i="5"/>
  <c r="N560"/>
  <c r="L568"/>
  <c r="N569"/>
  <c r="L564"/>
  <c r="N564"/>
  <c r="N565"/>
  <c r="L587"/>
  <c r="N588"/>
  <c r="L247"/>
  <c r="N247"/>
  <c r="N242"/>
  <c r="K116" i="3"/>
  <c r="M117"/>
  <c r="K113"/>
  <c r="M114"/>
  <c r="K125"/>
  <c r="M126"/>
  <c r="K122"/>
  <c r="M123"/>
  <c r="K119"/>
  <c r="M120"/>
  <c r="G574" i="4"/>
  <c r="K574"/>
  <c r="M574"/>
  <c r="O574"/>
  <c r="F111" i="3"/>
  <c r="G111"/>
  <c r="H574" i="4"/>
  <c r="L914"/>
  <c r="J914"/>
  <c r="I574"/>
  <c r="K914"/>
  <c r="I111" i="3"/>
  <c r="J111"/>
  <c r="H111"/>
  <c r="I251" i="4"/>
  <c r="L251"/>
  <c r="H251"/>
  <c r="J574"/>
  <c r="K251"/>
  <c r="G251"/>
  <c r="L574"/>
  <c r="J251"/>
  <c r="M251"/>
  <c r="O251"/>
  <c r="G35" i="6"/>
  <c r="I35"/>
  <c r="G27"/>
  <c r="G26"/>
  <c r="G25"/>
  <c r="G24"/>
  <c r="G23"/>
  <c r="G22"/>
  <c r="G21"/>
  <c r="G20"/>
  <c r="G19"/>
  <c r="L558" i="5"/>
  <c r="N558"/>
  <c r="N559"/>
  <c r="L561"/>
  <c r="N561"/>
  <c r="N562"/>
  <c r="L586"/>
  <c r="N586"/>
  <c r="N587"/>
  <c r="L567"/>
  <c r="N567"/>
  <c r="N568"/>
  <c r="M267" i="4"/>
  <c r="O267"/>
  <c r="O268"/>
  <c r="L572" i="5"/>
  <c r="N572"/>
  <c r="N573"/>
  <c r="K121" i="3"/>
  <c r="M121"/>
  <c r="M122"/>
  <c r="K112"/>
  <c r="M113"/>
  <c r="K118"/>
  <c r="M118"/>
  <c r="M119"/>
  <c r="K124"/>
  <c r="M124"/>
  <c r="M125"/>
  <c r="K115"/>
  <c r="M115"/>
  <c r="M116"/>
  <c r="G47" i="6"/>
  <c r="I47"/>
  <c r="G43"/>
  <c r="I43"/>
  <c r="G39"/>
  <c r="I39"/>
  <c r="H53" i="4"/>
  <c r="I53"/>
  <c r="J53"/>
  <c r="K53"/>
  <c r="L53"/>
  <c r="M53"/>
  <c r="O53"/>
  <c r="H59"/>
  <c r="I59"/>
  <c r="J59"/>
  <c r="K59"/>
  <c r="L59"/>
  <c r="M60"/>
  <c r="M59"/>
  <c r="O59"/>
  <c r="O60"/>
  <c r="M112" i="3"/>
  <c r="K111"/>
  <c r="M111"/>
  <c r="G1054" i="4"/>
  <c r="I36"/>
  <c r="K906"/>
  <c r="L906"/>
  <c r="L872"/>
  <c r="K872"/>
  <c r="J874"/>
  <c r="J872"/>
  <c r="M870"/>
  <c r="O870"/>
  <c r="I955"/>
  <c r="I870"/>
  <c r="I1027"/>
  <c r="I1057"/>
  <c r="G20" i="3"/>
  <c r="I1101" i="4"/>
  <c r="I38"/>
  <c r="I67"/>
  <c r="I150"/>
  <c r="I155"/>
  <c r="I174"/>
  <c r="I180"/>
  <c r="I289"/>
  <c r="I443"/>
  <c r="I451"/>
  <c r="I449"/>
  <c r="I485"/>
  <c r="I535"/>
  <c r="I654"/>
  <c r="I651"/>
  <c r="I872"/>
  <c r="I893"/>
  <c r="J893"/>
  <c r="H595"/>
  <c r="H594"/>
  <c r="H593"/>
  <c r="H1102"/>
  <c r="H1100"/>
  <c r="H1098"/>
  <c r="H1084"/>
  <c r="H1083"/>
  <c r="H1082"/>
  <c r="H1081"/>
  <c r="H1079"/>
  <c r="H1078"/>
  <c r="H1077"/>
  <c r="H1074"/>
  <c r="H1072"/>
  <c r="H1066"/>
  <c r="H1064"/>
  <c r="H1062"/>
  <c r="H1056"/>
  <c r="H1054"/>
  <c r="H1046"/>
  <c r="H1045"/>
  <c r="H1044"/>
  <c r="H1043"/>
  <c r="H1042"/>
  <c r="H1041"/>
  <c r="H1039"/>
  <c r="H1037"/>
  <c r="H1034"/>
  <c r="H1033"/>
  <c r="H1030"/>
  <c r="H1028"/>
  <c r="H1026"/>
  <c r="H1017"/>
  <c r="H1016"/>
  <c r="H1015"/>
  <c r="H1013"/>
  <c r="H1012"/>
  <c r="H1010"/>
  <c r="H1009"/>
  <c r="H1007"/>
  <c r="H1006"/>
  <c r="H1004"/>
  <c r="H1003"/>
  <c r="H999"/>
  <c r="H998"/>
  <c r="H997"/>
  <c r="H1154"/>
  <c r="H995"/>
  <c r="H994"/>
  <c r="H992"/>
  <c r="H991"/>
  <c r="H989"/>
  <c r="H988"/>
  <c r="H986"/>
  <c r="H984"/>
  <c r="H977"/>
  <c r="H976"/>
  <c r="H972"/>
  <c r="H971"/>
  <c r="H969"/>
  <c r="H968"/>
  <c r="H960"/>
  <c r="H959"/>
  <c r="H956"/>
  <c r="H954"/>
  <c r="H950"/>
  <c r="H949"/>
  <c r="H947"/>
  <c r="H946"/>
  <c r="H945"/>
  <c r="H944"/>
  <c r="H943"/>
  <c r="H939"/>
  <c r="H938"/>
  <c r="H933"/>
  <c r="H932"/>
  <c r="H930"/>
  <c r="H929"/>
  <c r="H925"/>
  <c r="H924"/>
  <c r="H922"/>
  <c r="H921"/>
  <c r="H919"/>
  <c r="H918"/>
  <c r="H916"/>
  <c r="H915"/>
  <c r="H908"/>
  <c r="H907"/>
  <c r="H905"/>
  <c r="H904"/>
  <c r="H911"/>
  <c r="H910"/>
  <c r="H901"/>
  <c r="H900"/>
  <c r="H899"/>
  <c r="H894"/>
  <c r="H892"/>
  <c r="H887"/>
  <c r="H886"/>
  <c r="H885"/>
  <c r="H884"/>
  <c r="H883"/>
  <c r="H880"/>
  <c r="H879"/>
  <c r="H878"/>
  <c r="H877"/>
  <c r="H876"/>
  <c r="H875"/>
  <c r="H873"/>
  <c r="H871"/>
  <c r="H869"/>
  <c r="H865"/>
  <c r="H864"/>
  <c r="H863"/>
  <c r="H858"/>
  <c r="H856"/>
  <c r="H854"/>
  <c r="H850"/>
  <c r="H848"/>
  <c r="H843"/>
  <c r="H841"/>
  <c r="H835"/>
  <c r="H834"/>
  <c r="H833"/>
  <c r="H832"/>
  <c r="H818"/>
  <c r="H817"/>
  <c r="H816"/>
  <c r="H814"/>
  <c r="H813"/>
  <c r="H807"/>
  <c r="H806"/>
  <c r="H804"/>
  <c r="H803"/>
  <c r="H801"/>
  <c r="H800"/>
  <c r="H790"/>
  <c r="H789"/>
  <c r="H781"/>
  <c r="H780"/>
  <c r="H767"/>
  <c r="H765"/>
  <c r="H763"/>
  <c r="H760"/>
  <c r="H759"/>
  <c r="H756"/>
  <c r="H754"/>
  <c r="H749"/>
  <c r="H747"/>
  <c r="H745"/>
  <c r="H744"/>
  <c r="H743"/>
  <c r="H740"/>
  <c r="H739"/>
  <c r="H738"/>
  <c r="H733"/>
  <c r="H732"/>
  <c r="H731"/>
  <c r="H730"/>
  <c r="H727"/>
  <c r="H726"/>
  <c r="H724"/>
  <c r="H723"/>
  <c r="H721"/>
  <c r="H720"/>
  <c r="H711"/>
  <c r="H709"/>
  <c r="H708"/>
  <c r="H707"/>
  <c r="H703"/>
  <c r="H702"/>
  <c r="H700"/>
  <c r="H699"/>
  <c r="H697"/>
  <c r="H696"/>
  <c r="H694"/>
  <c r="H693"/>
  <c r="H691"/>
  <c r="H690"/>
  <c r="H688"/>
  <c r="H687"/>
  <c r="H685"/>
  <c r="H684"/>
  <c r="H683"/>
  <c r="H682"/>
  <c r="H681"/>
  <c r="H679"/>
  <c r="H678"/>
  <c r="H676"/>
  <c r="H675"/>
  <c r="H668"/>
  <c r="H667"/>
  <c r="H665"/>
  <c r="H664"/>
  <c r="H659"/>
  <c r="H658"/>
  <c r="H656"/>
  <c r="H655"/>
  <c r="H653"/>
  <c r="H652"/>
  <c r="H650"/>
  <c r="H649"/>
  <c r="H640"/>
  <c r="H639"/>
  <c r="H638"/>
  <c r="H635"/>
  <c r="H634"/>
  <c r="H633"/>
  <c r="H631"/>
  <c r="H630"/>
  <c r="H628"/>
  <c r="H627"/>
  <c r="H625"/>
  <c r="H624"/>
  <c r="H622"/>
  <c r="H621"/>
  <c r="H619"/>
  <c r="H618"/>
  <c r="H605"/>
  <c r="H604"/>
  <c r="H603"/>
  <c r="H602"/>
  <c r="H601"/>
  <c r="H584"/>
  <c r="H583"/>
  <c r="H582"/>
  <c r="H563"/>
  <c r="H562"/>
  <c r="H560"/>
  <c r="H559"/>
  <c r="H556"/>
  <c r="H555"/>
  <c r="H554"/>
  <c r="H553"/>
  <c r="H548"/>
  <c r="H547"/>
  <c r="H546"/>
  <c r="H545"/>
  <c r="H540"/>
  <c r="H538"/>
  <c r="H536"/>
  <c r="H534"/>
  <c r="H521"/>
  <c r="H520"/>
  <c r="H518"/>
  <c r="H517"/>
  <c r="H515"/>
  <c r="H514"/>
  <c r="H510"/>
  <c r="H509"/>
  <c r="H508"/>
  <c r="H506"/>
  <c r="H504"/>
  <c r="H501"/>
  <c r="H500"/>
  <c r="H498"/>
  <c r="H497"/>
  <c r="H492"/>
  <c r="H491"/>
  <c r="H488"/>
  <c r="H487"/>
  <c r="H486"/>
  <c r="H484"/>
  <c r="H483"/>
  <c r="H482"/>
  <c r="H480"/>
  <c r="H478"/>
  <c r="H474"/>
  <c r="H473"/>
  <c r="H472"/>
  <c r="H470"/>
  <c r="H469"/>
  <c r="H468"/>
  <c r="H467"/>
  <c r="H466"/>
  <c r="H465"/>
  <c r="H463"/>
  <c r="H461"/>
  <c r="H452"/>
  <c r="H450"/>
  <c r="H448"/>
  <c r="H444"/>
  <c r="H442"/>
  <c r="H437"/>
  <c r="H436"/>
  <c r="H435"/>
  <c r="H430"/>
  <c r="H429"/>
  <c r="H424"/>
  <c r="H423"/>
  <c r="H418"/>
  <c r="H417"/>
  <c r="H413"/>
  <c r="H412"/>
  <c r="H410"/>
  <c r="H409"/>
  <c r="H407"/>
  <c r="H406"/>
  <c r="H404"/>
  <c r="H402"/>
  <c r="H400"/>
  <c r="H399"/>
  <c r="H398"/>
  <c r="H397"/>
  <c r="H392"/>
  <c r="H391"/>
  <c r="H390"/>
  <c r="H1148"/>
  <c r="H370"/>
  <c r="H369"/>
  <c r="H367"/>
  <c r="H365"/>
  <c r="H363"/>
  <c r="H362"/>
  <c r="H361"/>
  <c r="H343"/>
  <c r="H342"/>
  <c r="H341"/>
  <c r="H339"/>
  <c r="H338"/>
  <c r="H336"/>
  <c r="H335"/>
  <c r="H333"/>
  <c r="H332"/>
  <c r="H320"/>
  <c r="H319"/>
  <c r="H317"/>
  <c r="H316"/>
  <c r="H314"/>
  <c r="H313"/>
  <c r="H300"/>
  <c r="H299"/>
  <c r="H288"/>
  <c r="H287"/>
  <c r="H295"/>
  <c r="H294"/>
  <c r="H293"/>
  <c r="H292"/>
  <c r="H291"/>
  <c r="H290"/>
  <c r="H274"/>
  <c r="H241"/>
  <c r="H239"/>
  <c r="H234"/>
  <c r="H233"/>
  <c r="H232"/>
  <c r="H231"/>
  <c r="H230"/>
  <c r="H228"/>
  <c r="H227"/>
  <c r="H226"/>
  <c r="H1144"/>
  <c r="H223"/>
  <c r="H222"/>
  <c r="H221"/>
  <c r="H220"/>
  <c r="H219"/>
  <c r="H216"/>
  <c r="H214"/>
  <c r="H211"/>
  <c r="H210"/>
  <c r="H201"/>
  <c r="H200"/>
  <c r="H196"/>
  <c r="H195"/>
  <c r="H187"/>
  <c r="H184"/>
  <c r="H183"/>
  <c r="H181"/>
  <c r="H179"/>
  <c r="H176"/>
  <c r="H175"/>
  <c r="H173"/>
  <c r="H172"/>
  <c r="H166"/>
  <c r="H165"/>
  <c r="H164"/>
  <c r="H163"/>
  <c r="H162"/>
  <c r="H161"/>
  <c r="H1114"/>
  <c r="H159"/>
  <c r="H158"/>
  <c r="H156"/>
  <c r="H154"/>
  <c r="H151"/>
  <c r="H149"/>
  <c r="H146"/>
  <c r="H145"/>
  <c r="H143"/>
  <c r="H142"/>
  <c r="H140"/>
  <c r="H139"/>
  <c r="H137"/>
  <c r="H136"/>
  <c r="H133"/>
  <c r="H131"/>
  <c r="H126"/>
  <c r="H125"/>
  <c r="H123"/>
  <c r="H122"/>
  <c r="H120"/>
  <c r="H119"/>
  <c r="H115"/>
  <c r="H114"/>
  <c r="H112"/>
  <c r="H110"/>
  <c r="H99"/>
  <c r="H98"/>
  <c r="H97"/>
  <c r="H95"/>
  <c r="H91"/>
  <c r="H90"/>
  <c r="H89"/>
  <c r="H87"/>
  <c r="H86"/>
  <c r="H85"/>
  <c r="H83"/>
  <c r="H82"/>
  <c r="H81"/>
  <c r="H78"/>
  <c r="H77"/>
  <c r="H75"/>
  <c r="H73"/>
  <c r="H70"/>
  <c r="H69"/>
  <c r="H66"/>
  <c r="H65"/>
  <c r="H64"/>
  <c r="H1142"/>
  <c r="H61"/>
  <c r="H58"/>
  <c r="H57"/>
  <c r="H56"/>
  <c r="H55"/>
  <c r="H51"/>
  <c r="H50"/>
  <c r="H49"/>
  <c r="H42"/>
  <c r="H41"/>
  <c r="H39"/>
  <c r="H37"/>
  <c r="H35"/>
  <c r="H27"/>
  <c r="H26"/>
  <c r="H25"/>
  <c r="H24"/>
  <c r="H22"/>
  <c r="H20"/>
  <c r="H18"/>
  <c r="E62" i="1"/>
  <c r="E59"/>
  <c r="I44"/>
  <c r="H44"/>
  <c r="G44"/>
  <c r="F44"/>
  <c r="E44"/>
  <c r="I31"/>
  <c r="H31"/>
  <c r="G31"/>
  <c r="F31"/>
  <c r="E31"/>
  <c r="D31"/>
  <c r="C31"/>
  <c r="I21"/>
  <c r="H21"/>
  <c r="G21"/>
  <c r="F21"/>
  <c r="E21"/>
  <c r="D21"/>
  <c r="D20"/>
  <c r="C21"/>
  <c r="E16"/>
  <c r="H147"/>
  <c r="G147"/>
  <c r="F147"/>
  <c r="E147"/>
  <c r="I87"/>
  <c r="H87"/>
  <c r="G87"/>
  <c r="F87"/>
  <c r="E87"/>
  <c r="I89"/>
  <c r="H89"/>
  <c r="G89"/>
  <c r="F89"/>
  <c r="E89"/>
  <c r="I62"/>
  <c r="I59"/>
  <c r="H62"/>
  <c r="H59"/>
  <c r="G62"/>
  <c r="G59"/>
  <c r="F62"/>
  <c r="F59"/>
  <c r="C62"/>
  <c r="C59"/>
  <c r="D147"/>
  <c r="D144"/>
  <c r="D141"/>
  <c r="D130"/>
  <c r="D122"/>
  <c r="D121"/>
  <c r="D102"/>
  <c r="D100"/>
  <c r="D98"/>
  <c r="D94"/>
  <c r="D93"/>
  <c r="D89"/>
  <c r="D87"/>
  <c r="D84"/>
  <c r="D81"/>
  <c r="D79"/>
  <c r="D75"/>
  <c r="D70"/>
  <c r="D67"/>
  <c r="D65"/>
  <c r="D62"/>
  <c r="D59"/>
  <c r="D60"/>
  <c r="D54"/>
  <c r="D53"/>
  <c r="D51"/>
  <c r="D49"/>
  <c r="D44"/>
  <c r="D42"/>
  <c r="D41"/>
  <c r="D38"/>
  <c r="D36"/>
  <c r="D28"/>
  <c r="D27"/>
  <c r="D15"/>
  <c r="D14"/>
  <c r="F86"/>
  <c r="D48"/>
  <c r="D47"/>
  <c r="D26"/>
  <c r="D120"/>
  <c r="D64"/>
  <c r="E86"/>
  <c r="I86"/>
  <c r="G86"/>
  <c r="H86"/>
  <c r="D97"/>
  <c r="H903" i="4"/>
  <c r="H898"/>
  <c r="H897"/>
  <c r="H914"/>
  <c r="H80"/>
  <c r="H1145"/>
  <c r="H477"/>
  <c r="H476"/>
  <c r="H953"/>
  <c r="H952"/>
  <c r="H581"/>
  <c r="H533"/>
  <c r="H532"/>
  <c r="H531"/>
  <c r="H530"/>
  <c r="H529"/>
  <c r="H597"/>
  <c r="H592"/>
  <c r="H706"/>
  <c r="H1036"/>
  <c r="H1032"/>
  <c r="H238"/>
  <c r="H237"/>
  <c r="H236"/>
  <c r="H235"/>
  <c r="H286"/>
  <c r="H285"/>
  <c r="H401"/>
  <c r="H967"/>
  <c r="H72"/>
  <c r="H68"/>
  <c r="H1143"/>
  <c r="H213"/>
  <c r="H209"/>
  <c r="H208"/>
  <c r="H273"/>
  <c r="H272"/>
  <c r="H271"/>
  <c r="H245"/>
  <c r="H364"/>
  <c r="H360"/>
  <c r="H441"/>
  <c r="H440"/>
  <c r="H503"/>
  <c r="H490"/>
  <c r="H17"/>
  <c r="H16"/>
  <c r="H15"/>
  <c r="H14"/>
  <c r="H13"/>
  <c r="H12"/>
  <c r="H447"/>
  <c r="H446"/>
  <c r="H753"/>
  <c r="H752"/>
  <c r="H853"/>
  <c r="H852"/>
  <c r="H148"/>
  <c r="H762"/>
  <c r="H758"/>
  <c r="H799"/>
  <c r="H798"/>
  <c r="H840"/>
  <c r="H839"/>
  <c r="H838"/>
  <c r="H942"/>
  <c r="H1025"/>
  <c r="H1024"/>
  <c r="H1053"/>
  <c r="H1052"/>
  <c r="H1051"/>
  <c r="H1050"/>
  <c r="H396"/>
  <c r="H719"/>
  <c r="H718"/>
  <c r="H1097"/>
  <c r="H1096"/>
  <c r="H1095"/>
  <c r="H1094"/>
  <c r="H1093"/>
  <c r="H1086"/>
  <c r="H130"/>
  <c r="H108"/>
  <c r="H983"/>
  <c r="H982"/>
  <c r="H1071"/>
  <c r="H1070"/>
  <c r="H1069"/>
  <c r="H1068"/>
  <c r="H1133"/>
  <c r="H1153"/>
  <c r="H1002"/>
  <c r="H1001"/>
  <c r="H312"/>
  <c r="H311"/>
  <c r="H617"/>
  <c r="H616"/>
  <c r="H416"/>
  <c r="H513"/>
  <c r="H512"/>
  <c r="H642"/>
  <c r="H637"/>
  <c r="H868"/>
  <c r="H867"/>
  <c r="H862"/>
  <c r="H861"/>
  <c r="H109"/>
  <c r="H457"/>
  <c r="H746"/>
  <c r="H742"/>
  <c r="H847"/>
  <c r="H846"/>
  <c r="H891"/>
  <c r="H890"/>
  <c r="H1061"/>
  <c r="H1060"/>
  <c r="H1059"/>
  <c r="H1058"/>
  <c r="H225"/>
  <c r="H94"/>
  <c r="H93"/>
  <c r="H1150"/>
  <c r="H331"/>
  <c r="H1076"/>
  <c r="H812"/>
  <c r="H811"/>
  <c r="H810"/>
  <c r="H779"/>
  <c r="H778"/>
  <c r="H736"/>
  <c r="H735"/>
  <c r="H729"/>
  <c r="H737"/>
  <c r="H674"/>
  <c r="H673"/>
  <c r="H558"/>
  <c r="H552"/>
  <c r="H551"/>
  <c r="H550"/>
  <c r="H153"/>
  <c r="H178"/>
  <c r="H171"/>
  <c r="H170"/>
  <c r="H169"/>
  <c r="H168"/>
  <c r="H1115"/>
  <c r="H34"/>
  <c r="H33"/>
  <c r="H32"/>
  <c r="H31"/>
  <c r="D86" i="1"/>
  <c r="D35"/>
  <c r="D69"/>
  <c r="D143"/>
  <c r="I18" i="7"/>
  <c r="H18"/>
  <c r="G18"/>
  <c r="J14"/>
  <c r="I14"/>
  <c r="H14"/>
  <c r="G14"/>
  <c r="I16"/>
  <c r="H16"/>
  <c r="G16"/>
  <c r="H144" i="1"/>
  <c r="G144"/>
  <c r="H141"/>
  <c r="G141"/>
  <c r="H130"/>
  <c r="G130"/>
  <c r="H125"/>
  <c r="G125"/>
  <c r="H102"/>
  <c r="G102"/>
  <c r="H100"/>
  <c r="G100"/>
  <c r="H98"/>
  <c r="G98"/>
  <c r="H94"/>
  <c r="H93"/>
  <c r="G94"/>
  <c r="G93"/>
  <c r="H84"/>
  <c r="G84"/>
  <c r="H81"/>
  <c r="G81"/>
  <c r="H79"/>
  <c r="G79"/>
  <c r="H75"/>
  <c r="G75"/>
  <c r="H70"/>
  <c r="G70"/>
  <c r="H67"/>
  <c r="G67"/>
  <c r="H65"/>
  <c r="G65"/>
  <c r="H60"/>
  <c r="G60"/>
  <c r="H54"/>
  <c r="H53"/>
  <c r="G54"/>
  <c r="G53"/>
  <c r="H51"/>
  <c r="G51"/>
  <c r="H49"/>
  <c r="G49"/>
  <c r="H42"/>
  <c r="H41"/>
  <c r="G42"/>
  <c r="G41"/>
  <c r="H36"/>
  <c r="G36"/>
  <c r="H38"/>
  <c r="G38"/>
  <c r="H27"/>
  <c r="H26"/>
  <c r="G27"/>
  <c r="G26"/>
  <c r="H20"/>
  <c r="G20"/>
  <c r="G16"/>
  <c r="H16"/>
  <c r="H15"/>
  <c r="H14"/>
  <c r="F60"/>
  <c r="E60"/>
  <c r="C60"/>
  <c r="F144"/>
  <c r="F141"/>
  <c r="F130"/>
  <c r="F125"/>
  <c r="F102"/>
  <c r="F100"/>
  <c r="F98"/>
  <c r="F94"/>
  <c r="F93"/>
  <c r="F84"/>
  <c r="F81"/>
  <c r="F79"/>
  <c r="F75"/>
  <c r="F70"/>
  <c r="F67"/>
  <c r="F65"/>
  <c r="F54"/>
  <c r="F53"/>
  <c r="F51"/>
  <c r="F49"/>
  <c r="F42"/>
  <c r="F41"/>
  <c r="F38"/>
  <c r="F36"/>
  <c r="F27"/>
  <c r="F26"/>
  <c r="F20"/>
  <c r="F15"/>
  <c r="F14"/>
  <c r="E144"/>
  <c r="E141"/>
  <c r="E130"/>
  <c r="E125"/>
  <c r="E102"/>
  <c r="E100"/>
  <c r="E98"/>
  <c r="E94"/>
  <c r="E93"/>
  <c r="E84"/>
  <c r="E81"/>
  <c r="E79"/>
  <c r="E75"/>
  <c r="E70"/>
  <c r="E67"/>
  <c r="E65"/>
  <c r="E54"/>
  <c r="E53"/>
  <c r="E51"/>
  <c r="E49"/>
  <c r="E42"/>
  <c r="E41"/>
  <c r="E38"/>
  <c r="E36"/>
  <c r="E30"/>
  <c r="E28"/>
  <c r="E20"/>
  <c r="E15"/>
  <c r="E14"/>
  <c r="C73"/>
  <c r="C144"/>
  <c r="C141"/>
  <c r="C130"/>
  <c r="C125"/>
  <c r="C102"/>
  <c r="C100"/>
  <c r="C98"/>
  <c r="C94"/>
  <c r="C93"/>
  <c r="C79"/>
  <c r="C84"/>
  <c r="C81"/>
  <c r="C75"/>
  <c r="C70"/>
  <c r="C67"/>
  <c r="C65"/>
  <c r="C58"/>
  <c r="C54"/>
  <c r="C53"/>
  <c r="C51"/>
  <c r="C49"/>
  <c r="C42"/>
  <c r="C41"/>
  <c r="C38"/>
  <c r="C36"/>
  <c r="C30"/>
  <c r="C28"/>
  <c r="C20"/>
  <c r="C16"/>
  <c r="C15"/>
  <c r="C14"/>
  <c r="I13" i="7"/>
  <c r="G122" i="1"/>
  <c r="G121"/>
  <c r="G120"/>
  <c r="H35"/>
  <c r="H48"/>
  <c r="H47"/>
  <c r="H69"/>
  <c r="G64"/>
  <c r="F143"/>
  <c r="D92"/>
  <c r="D91"/>
  <c r="C122"/>
  <c r="C121"/>
  <c r="C120"/>
  <c r="E27"/>
  <c r="E26"/>
  <c r="G48"/>
  <c r="G47"/>
  <c r="F69"/>
  <c r="G35"/>
  <c r="H13" i="7"/>
  <c r="C143" i="1"/>
  <c r="F64"/>
  <c r="F122"/>
  <c r="F121"/>
  <c r="F120"/>
  <c r="G13" i="7"/>
  <c r="H64" i="1"/>
  <c r="H122"/>
  <c r="H121"/>
  <c r="H120"/>
  <c r="C35"/>
  <c r="F35"/>
  <c r="G143"/>
  <c r="E48"/>
  <c r="E47"/>
  <c r="E122"/>
  <c r="E121"/>
  <c r="E120"/>
  <c r="F48"/>
  <c r="F47"/>
  <c r="H143"/>
  <c r="H203" i="4"/>
  <c r="H1118"/>
  <c r="D13" i="1"/>
  <c r="G97"/>
  <c r="H97"/>
  <c r="E143"/>
  <c r="H1049" i="4"/>
  <c r="H1048"/>
  <c r="H135"/>
  <c r="H573"/>
  <c r="H572"/>
  <c r="H705"/>
  <c r="H284"/>
  <c r="H283"/>
  <c r="H966"/>
  <c r="H965"/>
  <c r="H777"/>
  <c r="H776"/>
  <c r="H395"/>
  <c r="H1127"/>
  <c r="H244"/>
  <c r="H751"/>
  <c r="H741"/>
  <c r="H439"/>
  <c r="H415"/>
  <c r="H636"/>
  <c r="H1023"/>
  <c r="H1022"/>
  <c r="H1134"/>
  <c r="H528"/>
  <c r="H845"/>
  <c r="H837"/>
  <c r="H809"/>
  <c r="H1124"/>
  <c r="H941"/>
  <c r="H913"/>
  <c r="H1130"/>
  <c r="H456"/>
  <c r="H1129"/>
  <c r="H591"/>
  <c r="H1141"/>
  <c r="H1151"/>
  <c r="H1139"/>
  <c r="H889"/>
  <c r="H882"/>
  <c r="H1152"/>
  <c r="H330"/>
  <c r="H1147"/>
  <c r="H1146"/>
  <c r="H218"/>
  <c r="E69" i="1"/>
  <c r="C69"/>
  <c r="C27"/>
  <c r="C26"/>
  <c r="C48"/>
  <c r="C47"/>
  <c r="C64"/>
  <c r="C97"/>
  <c r="E35"/>
  <c r="E97"/>
  <c r="G15"/>
  <c r="G14"/>
  <c r="G69"/>
  <c r="E64"/>
  <c r="F97"/>
  <c r="D150"/>
  <c r="H13"/>
  <c r="C92"/>
  <c r="C91"/>
  <c r="H92"/>
  <c r="H91"/>
  <c r="G13"/>
  <c r="F92"/>
  <c r="F91"/>
  <c r="F13"/>
  <c r="G92"/>
  <c r="G91"/>
  <c r="E13"/>
  <c r="H1112" i="4"/>
  <c r="H186"/>
  <c r="H1116"/>
  <c r="H1117"/>
  <c r="C13" i="1"/>
  <c r="E92"/>
  <c r="E91"/>
  <c r="H107" i="4"/>
  <c r="H63"/>
  <c r="H30"/>
  <c r="H1111"/>
  <c r="H1149"/>
  <c r="H1107"/>
  <c r="H1120"/>
  <c r="H394"/>
  <c r="H329"/>
  <c r="H328"/>
  <c r="H1125"/>
  <c r="H1126"/>
  <c r="H896"/>
  <c r="H1119"/>
  <c r="H590"/>
  <c r="H571"/>
  <c r="H1131"/>
  <c r="H1132"/>
  <c r="H769"/>
  <c r="H455"/>
  <c r="H454"/>
  <c r="H1128"/>
  <c r="H1140"/>
  <c r="E150" i="1"/>
  <c r="F21" i="7"/>
  <c r="C150" i="1"/>
  <c r="C21" i="7"/>
  <c r="H150" i="1"/>
  <c r="I21" i="7"/>
  <c r="G150" i="1"/>
  <c r="H21" i="7"/>
  <c r="F150" i="1"/>
  <c r="G21" i="7"/>
  <c r="H1113" i="4"/>
  <c r="H860"/>
  <c r="H29"/>
  <c r="H1121"/>
  <c r="H1156"/>
  <c r="H1122"/>
  <c r="H1123"/>
  <c r="H1136"/>
  <c r="H243"/>
  <c r="F15" i="7"/>
  <c r="L398" i="5"/>
  <c r="N398"/>
  <c r="K398"/>
  <c r="J398"/>
  <c r="I398"/>
  <c r="H398"/>
  <c r="G398"/>
  <c r="L450"/>
  <c r="K450"/>
  <c r="K449"/>
  <c r="K448"/>
  <c r="J450"/>
  <c r="J449"/>
  <c r="J448"/>
  <c r="I450"/>
  <c r="I449"/>
  <c r="I448"/>
  <c r="H450"/>
  <c r="H449"/>
  <c r="H448"/>
  <c r="L447"/>
  <c r="K447"/>
  <c r="K446"/>
  <c r="K445"/>
  <c r="J447"/>
  <c r="J446"/>
  <c r="J445"/>
  <c r="I447"/>
  <c r="I446"/>
  <c r="I445"/>
  <c r="H447"/>
  <c r="H446"/>
  <c r="H445"/>
  <c r="G450"/>
  <c r="G449"/>
  <c r="G448"/>
  <c r="G447"/>
  <c r="G446"/>
  <c r="G445"/>
  <c r="L413"/>
  <c r="K413"/>
  <c r="K412"/>
  <c r="K411"/>
  <c r="J413"/>
  <c r="J412"/>
  <c r="J411"/>
  <c r="I413"/>
  <c r="I412"/>
  <c r="I411"/>
  <c r="H413"/>
  <c r="H412"/>
  <c r="H411"/>
  <c r="L410"/>
  <c r="K410"/>
  <c r="K409"/>
  <c r="K408"/>
  <c r="J410"/>
  <c r="J409"/>
  <c r="J408"/>
  <c r="I410"/>
  <c r="I409"/>
  <c r="I408"/>
  <c r="H410"/>
  <c r="H409"/>
  <c r="H408"/>
  <c r="L407"/>
  <c r="N407"/>
  <c r="K407"/>
  <c r="J407"/>
  <c r="I407"/>
  <c r="H407"/>
  <c r="G413"/>
  <c r="G412"/>
  <c r="G411"/>
  <c r="G410"/>
  <c r="G409"/>
  <c r="G408"/>
  <c r="G407"/>
  <c r="L388"/>
  <c r="K388"/>
  <c r="K387"/>
  <c r="K386"/>
  <c r="J388"/>
  <c r="J387"/>
  <c r="J386"/>
  <c r="I388"/>
  <c r="I387"/>
  <c r="I386"/>
  <c r="H388"/>
  <c r="H387"/>
  <c r="H386"/>
  <c r="L385"/>
  <c r="K385"/>
  <c r="K384"/>
  <c r="K383"/>
  <c r="J385"/>
  <c r="J384"/>
  <c r="J383"/>
  <c r="I385"/>
  <c r="I384"/>
  <c r="I383"/>
  <c r="H385"/>
  <c r="H384"/>
  <c r="H383"/>
  <c r="G388"/>
  <c r="G387"/>
  <c r="G386"/>
  <c r="G385"/>
  <c r="G384"/>
  <c r="G383"/>
  <c r="L382"/>
  <c r="N382"/>
  <c r="K382"/>
  <c r="J382"/>
  <c r="I382"/>
  <c r="H382"/>
  <c r="G382"/>
  <c r="L347"/>
  <c r="K347"/>
  <c r="K346"/>
  <c r="K345"/>
  <c r="J347"/>
  <c r="J346"/>
  <c r="J345"/>
  <c r="I347"/>
  <c r="I346"/>
  <c r="I345"/>
  <c r="H347"/>
  <c r="H346"/>
  <c r="H345"/>
  <c r="G347"/>
  <c r="G346"/>
  <c r="G345"/>
  <c r="L344"/>
  <c r="N344"/>
  <c r="K344"/>
  <c r="I344"/>
  <c r="H344"/>
  <c r="G344"/>
  <c r="L341"/>
  <c r="N341"/>
  <c r="K341"/>
  <c r="J341"/>
  <c r="I341"/>
  <c r="H341"/>
  <c r="G341"/>
  <c r="L323"/>
  <c r="K323"/>
  <c r="K322"/>
  <c r="K321"/>
  <c r="J323"/>
  <c r="J322"/>
  <c r="J321"/>
  <c r="I323"/>
  <c r="I322"/>
  <c r="I321"/>
  <c r="H323"/>
  <c r="H322"/>
  <c r="H321"/>
  <c r="L320"/>
  <c r="K320"/>
  <c r="K319"/>
  <c r="K318"/>
  <c r="J320"/>
  <c r="J319"/>
  <c r="J318"/>
  <c r="I320"/>
  <c r="I319"/>
  <c r="I318"/>
  <c r="H320"/>
  <c r="H319"/>
  <c r="H318"/>
  <c r="G323"/>
  <c r="G322"/>
  <c r="G321"/>
  <c r="G320"/>
  <c r="G319"/>
  <c r="G318"/>
  <c r="L211"/>
  <c r="K211"/>
  <c r="K210"/>
  <c r="K209"/>
  <c r="J211"/>
  <c r="J210"/>
  <c r="J209"/>
  <c r="I211"/>
  <c r="I210"/>
  <c r="I209"/>
  <c r="H211"/>
  <c r="H210"/>
  <c r="H209"/>
  <c r="G211"/>
  <c r="G210"/>
  <c r="G209"/>
  <c r="L194"/>
  <c r="K194"/>
  <c r="K193"/>
  <c r="K192"/>
  <c r="J194"/>
  <c r="J193"/>
  <c r="J192"/>
  <c r="I194"/>
  <c r="I193"/>
  <c r="I192"/>
  <c r="H194"/>
  <c r="H193"/>
  <c r="H192"/>
  <c r="G194"/>
  <c r="G193"/>
  <c r="G192"/>
  <c r="L185"/>
  <c r="K185"/>
  <c r="K184"/>
  <c r="K183"/>
  <c r="J185"/>
  <c r="J184"/>
  <c r="J183"/>
  <c r="I185"/>
  <c r="I184"/>
  <c r="I183"/>
  <c r="H185"/>
  <c r="H184"/>
  <c r="H183"/>
  <c r="G185"/>
  <c r="G184"/>
  <c r="G183"/>
  <c r="L146"/>
  <c r="I146"/>
  <c r="I145"/>
  <c r="I144"/>
  <c r="H146"/>
  <c r="H145"/>
  <c r="H144"/>
  <c r="L143"/>
  <c r="I143"/>
  <c r="I142"/>
  <c r="I141"/>
  <c r="H143"/>
  <c r="H142"/>
  <c r="H141"/>
  <c r="G146"/>
  <c r="G145"/>
  <c r="G144"/>
  <c r="G143"/>
  <c r="G142"/>
  <c r="G141"/>
  <c r="L140"/>
  <c r="N140"/>
  <c r="K140"/>
  <c r="J140"/>
  <c r="I140"/>
  <c r="H140"/>
  <c r="G140"/>
  <c r="L131"/>
  <c r="N131"/>
  <c r="K131"/>
  <c r="J131"/>
  <c r="I131"/>
  <c r="H131"/>
  <c r="G131"/>
  <c r="L449"/>
  <c r="N450"/>
  <c r="L145"/>
  <c r="N146"/>
  <c r="L193"/>
  <c r="N194"/>
  <c r="L384"/>
  <c r="N385"/>
  <c r="L412"/>
  <c r="N413"/>
  <c r="L142"/>
  <c r="N143"/>
  <c r="L319"/>
  <c r="N320"/>
  <c r="L387"/>
  <c r="N388"/>
  <c r="L346"/>
  <c r="N347"/>
  <c r="L184"/>
  <c r="N185"/>
  <c r="L210"/>
  <c r="N211"/>
  <c r="L322"/>
  <c r="N323"/>
  <c r="L409"/>
  <c r="N410"/>
  <c r="L446"/>
  <c r="N447"/>
  <c r="L318"/>
  <c r="N318"/>
  <c r="N319"/>
  <c r="H1104" i="4"/>
  <c r="H1106"/>
  <c r="H1138"/>
  <c r="H1135"/>
  <c r="H1137"/>
  <c r="M1100"/>
  <c r="O1100"/>
  <c r="K292" i="3"/>
  <c r="M292"/>
  <c r="J292"/>
  <c r="I292"/>
  <c r="H292"/>
  <c r="G292"/>
  <c r="F292"/>
  <c r="K927"/>
  <c r="M927"/>
  <c r="J927"/>
  <c r="I927"/>
  <c r="H927"/>
  <c r="K771"/>
  <c r="M771"/>
  <c r="H771"/>
  <c r="K220"/>
  <c r="J220"/>
  <c r="J219"/>
  <c r="J218"/>
  <c r="I220"/>
  <c r="I219"/>
  <c r="I218"/>
  <c r="H220"/>
  <c r="H219"/>
  <c r="H218"/>
  <c r="G220"/>
  <c r="G219"/>
  <c r="G218"/>
  <c r="F220"/>
  <c r="F219"/>
  <c r="F218"/>
  <c r="K210"/>
  <c r="J210"/>
  <c r="J209"/>
  <c r="J208"/>
  <c r="J207"/>
  <c r="J206"/>
  <c r="J205"/>
  <c r="I210"/>
  <c r="I209"/>
  <c r="I208"/>
  <c r="I207"/>
  <c r="I206"/>
  <c r="I205"/>
  <c r="H210"/>
  <c r="H209"/>
  <c r="H208"/>
  <c r="H207"/>
  <c r="H206"/>
  <c r="H205"/>
  <c r="G210"/>
  <c r="G209"/>
  <c r="G208"/>
  <c r="G207"/>
  <c r="G206"/>
  <c r="G205"/>
  <c r="F210"/>
  <c r="F209"/>
  <c r="F208"/>
  <c r="F207"/>
  <c r="F206"/>
  <c r="F205"/>
  <c r="F204"/>
  <c r="L445" i="5"/>
  <c r="N445"/>
  <c r="N446"/>
  <c r="L383"/>
  <c r="N383"/>
  <c r="N384"/>
  <c r="L321"/>
  <c r="N321"/>
  <c r="N322"/>
  <c r="L183"/>
  <c r="N183"/>
  <c r="N184"/>
  <c r="L386"/>
  <c r="N386"/>
  <c r="N387"/>
  <c r="L141"/>
  <c r="N141"/>
  <c r="N142"/>
  <c r="L144"/>
  <c r="N144"/>
  <c r="N145"/>
  <c r="L408"/>
  <c r="N408"/>
  <c r="N409"/>
  <c r="L209"/>
  <c r="N210"/>
  <c r="L345"/>
  <c r="N345"/>
  <c r="N346"/>
  <c r="L411"/>
  <c r="N411"/>
  <c r="N412"/>
  <c r="L192"/>
  <c r="N192"/>
  <c r="N193"/>
  <c r="L448"/>
  <c r="N448"/>
  <c r="N449"/>
  <c r="K209" i="3"/>
  <c r="M210"/>
  <c r="K219"/>
  <c r="M220"/>
  <c r="E20" i="2"/>
  <c r="E19"/>
  <c r="G204" i="3"/>
  <c r="H204"/>
  <c r="F20" i="2"/>
  <c r="F19"/>
  <c r="J204" i="3"/>
  <c r="H20" i="2"/>
  <c r="H19"/>
  <c r="G20"/>
  <c r="G19"/>
  <c r="I204" i="3"/>
  <c r="D20" i="2"/>
  <c r="L620" i="5"/>
  <c r="K620"/>
  <c r="K619"/>
  <c r="K618"/>
  <c r="K617"/>
  <c r="K616"/>
  <c r="K615"/>
  <c r="K621"/>
  <c r="J620"/>
  <c r="J619"/>
  <c r="J618"/>
  <c r="J617"/>
  <c r="J616"/>
  <c r="J615"/>
  <c r="J621"/>
  <c r="I620"/>
  <c r="I619"/>
  <c r="I618"/>
  <c r="I617"/>
  <c r="I616"/>
  <c r="I615"/>
  <c r="I621"/>
  <c r="H620"/>
  <c r="H619"/>
  <c r="H618"/>
  <c r="H617"/>
  <c r="H616"/>
  <c r="H615"/>
  <c r="H621"/>
  <c r="L595"/>
  <c r="K595"/>
  <c r="K594"/>
  <c r="K593"/>
  <c r="J595"/>
  <c r="J594"/>
  <c r="J593"/>
  <c r="I595"/>
  <c r="I594"/>
  <c r="I593"/>
  <c r="H595"/>
  <c r="H594"/>
  <c r="H593"/>
  <c r="L585"/>
  <c r="K585"/>
  <c r="K584"/>
  <c r="K583"/>
  <c r="J585"/>
  <c r="J584"/>
  <c r="J583"/>
  <c r="I585"/>
  <c r="I584"/>
  <c r="I583"/>
  <c r="L582"/>
  <c r="K582"/>
  <c r="K581"/>
  <c r="K580"/>
  <c r="J582"/>
  <c r="J581"/>
  <c r="J580"/>
  <c r="I582"/>
  <c r="I581"/>
  <c r="I580"/>
  <c r="H581"/>
  <c r="H580"/>
  <c r="L579"/>
  <c r="K579"/>
  <c r="K578"/>
  <c r="K575"/>
  <c r="J579"/>
  <c r="J578"/>
  <c r="J575"/>
  <c r="I579"/>
  <c r="I578"/>
  <c r="I575"/>
  <c r="H578"/>
  <c r="H575"/>
  <c r="L557"/>
  <c r="K557"/>
  <c r="K556"/>
  <c r="J557"/>
  <c r="J556"/>
  <c r="I557"/>
  <c r="I556"/>
  <c r="H556"/>
  <c r="L555"/>
  <c r="K555"/>
  <c r="K554"/>
  <c r="J555"/>
  <c r="J554"/>
  <c r="I554"/>
  <c r="H554"/>
  <c r="L545"/>
  <c r="K545"/>
  <c r="K544"/>
  <c r="K543"/>
  <c r="J545"/>
  <c r="J544"/>
  <c r="J543"/>
  <c r="I545"/>
  <c r="I544"/>
  <c r="I543"/>
  <c r="L541"/>
  <c r="K541"/>
  <c r="K540"/>
  <c r="J541"/>
  <c r="J540"/>
  <c r="I541"/>
  <c r="I540"/>
  <c r="H541"/>
  <c r="H540"/>
  <c r="L536"/>
  <c r="L531"/>
  <c r="I531"/>
  <c r="I530"/>
  <c r="I529"/>
  <c r="L528"/>
  <c r="I528"/>
  <c r="I527"/>
  <c r="I526"/>
  <c r="L525"/>
  <c r="K525"/>
  <c r="J525"/>
  <c r="J524"/>
  <c r="J523"/>
  <c r="I525"/>
  <c r="I524"/>
  <c r="I523"/>
  <c r="H525"/>
  <c r="H524"/>
  <c r="H523"/>
  <c r="K524"/>
  <c r="K523"/>
  <c r="L520"/>
  <c r="K520"/>
  <c r="J520"/>
  <c r="J519"/>
  <c r="J522"/>
  <c r="I520"/>
  <c r="I519"/>
  <c r="I522"/>
  <c r="H520"/>
  <c r="H519"/>
  <c r="H522"/>
  <c r="K519"/>
  <c r="K522"/>
  <c r="L505"/>
  <c r="K505"/>
  <c r="K504"/>
  <c r="K503"/>
  <c r="K502"/>
  <c r="K501"/>
  <c r="J505"/>
  <c r="J504"/>
  <c r="J503"/>
  <c r="J502"/>
  <c r="J501"/>
  <c r="I505"/>
  <c r="I504"/>
  <c r="I503"/>
  <c r="I502"/>
  <c r="I501"/>
  <c r="L498"/>
  <c r="K498"/>
  <c r="K497"/>
  <c r="K496"/>
  <c r="J498"/>
  <c r="J497"/>
  <c r="J496"/>
  <c r="I498"/>
  <c r="I497"/>
  <c r="I496"/>
  <c r="H498"/>
  <c r="H497"/>
  <c r="H496"/>
  <c r="K495"/>
  <c r="K494"/>
  <c r="K493"/>
  <c r="J495"/>
  <c r="J494"/>
  <c r="J493"/>
  <c r="I495"/>
  <c r="I494"/>
  <c r="I493"/>
  <c r="H495"/>
  <c r="H494"/>
  <c r="H493"/>
  <c r="L492"/>
  <c r="K492"/>
  <c r="K491"/>
  <c r="K490"/>
  <c r="J492"/>
  <c r="J491"/>
  <c r="J490"/>
  <c r="I492"/>
  <c r="I491"/>
  <c r="I490"/>
  <c r="H492"/>
  <c r="H491"/>
  <c r="H490"/>
  <c r="L489"/>
  <c r="K489"/>
  <c r="K488"/>
  <c r="J489"/>
  <c r="J488"/>
  <c r="I489"/>
  <c r="I488"/>
  <c r="H489"/>
  <c r="H488"/>
  <c r="K487"/>
  <c r="K486"/>
  <c r="J487"/>
  <c r="J486"/>
  <c r="I487"/>
  <c r="I486"/>
  <c r="H477"/>
  <c r="H476"/>
  <c r="H475"/>
  <c r="L472"/>
  <c r="K472"/>
  <c r="K471"/>
  <c r="K470"/>
  <c r="J472"/>
  <c r="J471"/>
  <c r="J470"/>
  <c r="I472"/>
  <c r="I471"/>
  <c r="I470"/>
  <c r="H472"/>
  <c r="H471"/>
  <c r="H470"/>
  <c r="L469"/>
  <c r="K469"/>
  <c r="K468"/>
  <c r="K467"/>
  <c r="J469"/>
  <c r="J468"/>
  <c r="J467"/>
  <c r="I469"/>
  <c r="I468"/>
  <c r="I467"/>
  <c r="H469"/>
  <c r="H468"/>
  <c r="H467"/>
  <c r="L460"/>
  <c r="K461"/>
  <c r="K460"/>
  <c r="K459"/>
  <c r="K458"/>
  <c r="K457"/>
  <c r="K456"/>
  <c r="K462"/>
  <c r="J461"/>
  <c r="J460"/>
  <c r="J459"/>
  <c r="J458"/>
  <c r="J457"/>
  <c r="J456"/>
  <c r="J462"/>
  <c r="I461"/>
  <c r="I460"/>
  <c r="I459"/>
  <c r="I458"/>
  <c r="I457"/>
  <c r="I456"/>
  <c r="I462"/>
  <c r="H461"/>
  <c r="H460"/>
  <c r="H459"/>
  <c r="H458"/>
  <c r="H457"/>
  <c r="H456"/>
  <c r="H462"/>
  <c r="L455"/>
  <c r="N455"/>
  <c r="K455"/>
  <c r="J455"/>
  <c r="I455"/>
  <c r="H455"/>
  <c r="L452"/>
  <c r="N452"/>
  <c r="K452"/>
  <c r="J452"/>
  <c r="I452"/>
  <c r="H452"/>
  <c r="L444"/>
  <c r="K444"/>
  <c r="K443"/>
  <c r="K442"/>
  <c r="J444"/>
  <c r="J443"/>
  <c r="J442"/>
  <c r="I444"/>
  <c r="I443"/>
  <c r="I442"/>
  <c r="H444"/>
  <c r="H443"/>
  <c r="H442"/>
  <c r="L441"/>
  <c r="K441"/>
  <c r="K440"/>
  <c r="J441"/>
  <c r="J440"/>
  <c r="I441"/>
  <c r="I440"/>
  <c r="H441"/>
  <c r="H440"/>
  <c r="L438"/>
  <c r="N438"/>
  <c r="K438"/>
  <c r="J438"/>
  <c r="I438"/>
  <c r="H438"/>
  <c r="L434"/>
  <c r="K434"/>
  <c r="K433"/>
  <c r="K436"/>
  <c r="J434"/>
  <c r="J433"/>
  <c r="J436"/>
  <c r="I434"/>
  <c r="I433"/>
  <c r="I436"/>
  <c r="H434"/>
  <c r="H433"/>
  <c r="H436"/>
  <c r="L430"/>
  <c r="K430"/>
  <c r="K429"/>
  <c r="K432"/>
  <c r="J430"/>
  <c r="J429"/>
  <c r="J432"/>
  <c r="I430"/>
  <c r="I429"/>
  <c r="I432"/>
  <c r="H430"/>
  <c r="H429"/>
  <c r="H432"/>
  <c r="L426"/>
  <c r="K426"/>
  <c r="K425"/>
  <c r="K428"/>
  <c r="J426"/>
  <c r="J425"/>
  <c r="J428"/>
  <c r="I426"/>
  <c r="I425"/>
  <c r="I428"/>
  <c r="H426"/>
  <c r="H425"/>
  <c r="H428"/>
  <c r="L422"/>
  <c r="J422"/>
  <c r="J421"/>
  <c r="J424"/>
  <c r="I422"/>
  <c r="I421"/>
  <c r="I424"/>
  <c r="H422"/>
  <c r="H421"/>
  <c r="H424"/>
  <c r="K422"/>
  <c r="K421"/>
  <c r="K424"/>
  <c r="L420"/>
  <c r="K420"/>
  <c r="K419"/>
  <c r="K418"/>
  <c r="J420"/>
  <c r="J419"/>
  <c r="J418"/>
  <c r="I420"/>
  <c r="I419"/>
  <c r="I418"/>
  <c r="L406"/>
  <c r="K406"/>
  <c r="K405"/>
  <c r="J406"/>
  <c r="J405"/>
  <c r="I406"/>
  <c r="I405"/>
  <c r="H406"/>
  <c r="H405"/>
  <c r="L404"/>
  <c r="K404"/>
  <c r="K403"/>
  <c r="K402"/>
  <c r="J404"/>
  <c r="J403"/>
  <c r="J402"/>
  <c r="I404"/>
  <c r="I403"/>
  <c r="I402"/>
  <c r="L401"/>
  <c r="K401"/>
  <c r="K400"/>
  <c r="K399"/>
  <c r="J401"/>
  <c r="J400"/>
  <c r="J399"/>
  <c r="I401"/>
  <c r="I400"/>
  <c r="I399"/>
  <c r="H401"/>
  <c r="H400"/>
  <c r="H399"/>
  <c r="L397"/>
  <c r="K397"/>
  <c r="K396"/>
  <c r="J397"/>
  <c r="J396"/>
  <c r="I397"/>
  <c r="I396"/>
  <c r="H397"/>
  <c r="H396"/>
  <c r="L395"/>
  <c r="K395"/>
  <c r="K394"/>
  <c r="K393"/>
  <c r="J395"/>
  <c r="J394"/>
  <c r="J393"/>
  <c r="I395"/>
  <c r="I394"/>
  <c r="I393"/>
  <c r="L381"/>
  <c r="K381"/>
  <c r="K380"/>
  <c r="J381"/>
  <c r="J380"/>
  <c r="I381"/>
  <c r="I380"/>
  <c r="H381"/>
  <c r="H380"/>
  <c r="L379"/>
  <c r="K379"/>
  <c r="K378"/>
  <c r="K377"/>
  <c r="J379"/>
  <c r="J378"/>
  <c r="J377"/>
  <c r="I379"/>
  <c r="I378"/>
  <c r="I377"/>
  <c r="H379"/>
  <c r="H378"/>
  <c r="H377"/>
  <c r="L374"/>
  <c r="K374"/>
  <c r="J374"/>
  <c r="J373"/>
  <c r="I374"/>
  <c r="I373"/>
  <c r="H374"/>
  <c r="H373"/>
  <c r="K373"/>
  <c r="L370"/>
  <c r="K370"/>
  <c r="K369"/>
  <c r="J370"/>
  <c r="J369"/>
  <c r="I370"/>
  <c r="I369"/>
  <c r="H370"/>
  <c r="H369"/>
  <c r="L366"/>
  <c r="K366"/>
  <c r="K365"/>
  <c r="J366"/>
  <c r="J365"/>
  <c r="I366"/>
  <c r="I365"/>
  <c r="H366"/>
  <c r="H365"/>
  <c r="L364"/>
  <c r="K364"/>
  <c r="K363"/>
  <c r="K362"/>
  <c r="J364"/>
  <c r="J363"/>
  <c r="J362"/>
  <c r="I364"/>
  <c r="I363"/>
  <c r="I362"/>
  <c r="L354"/>
  <c r="K354"/>
  <c r="K353"/>
  <c r="J354"/>
  <c r="J353"/>
  <c r="I354"/>
  <c r="I353"/>
  <c r="H354"/>
  <c r="H353"/>
  <c r="L343"/>
  <c r="K343"/>
  <c r="K342"/>
  <c r="I343"/>
  <c r="I342"/>
  <c r="H343"/>
  <c r="H342"/>
  <c r="L340"/>
  <c r="K340"/>
  <c r="K339"/>
  <c r="J340"/>
  <c r="J339"/>
  <c r="I340"/>
  <c r="I339"/>
  <c r="H340"/>
  <c r="H339"/>
  <c r="L338"/>
  <c r="K338"/>
  <c r="K337"/>
  <c r="K336"/>
  <c r="J338"/>
  <c r="J337"/>
  <c r="J336"/>
  <c r="I338"/>
  <c r="I337"/>
  <c r="I336"/>
  <c r="L335"/>
  <c r="K335"/>
  <c r="J335"/>
  <c r="J334"/>
  <c r="J333"/>
  <c r="J332"/>
  <c r="I335"/>
  <c r="I334"/>
  <c r="I333"/>
  <c r="I332"/>
  <c r="H335"/>
  <c r="H334"/>
  <c r="H333"/>
  <c r="H332"/>
  <c r="K334"/>
  <c r="K333"/>
  <c r="K332"/>
  <c r="K330"/>
  <c r="J330"/>
  <c r="J329"/>
  <c r="J328"/>
  <c r="I330"/>
  <c r="L317"/>
  <c r="K317"/>
  <c r="K316"/>
  <c r="K315"/>
  <c r="J317"/>
  <c r="J316"/>
  <c r="J315"/>
  <c r="I317"/>
  <c r="I316"/>
  <c r="I315"/>
  <c r="H317"/>
  <c r="H316"/>
  <c r="H315"/>
  <c r="L312"/>
  <c r="K312"/>
  <c r="K311"/>
  <c r="J312"/>
  <c r="J311"/>
  <c r="I312"/>
  <c r="I311"/>
  <c r="H312"/>
  <c r="H311"/>
  <c r="L308"/>
  <c r="K308"/>
  <c r="K307"/>
  <c r="J308"/>
  <c r="J307"/>
  <c r="I308"/>
  <c r="I307"/>
  <c r="H308"/>
  <c r="H307"/>
  <c r="L306"/>
  <c r="K306"/>
  <c r="K305"/>
  <c r="K304"/>
  <c r="K303"/>
  <c r="J306"/>
  <c r="J305"/>
  <c r="J304"/>
  <c r="J303"/>
  <c r="I306"/>
  <c r="I305"/>
  <c r="I304"/>
  <c r="I303"/>
  <c r="H306"/>
  <c r="H305"/>
  <c r="H304"/>
  <c r="H303"/>
  <c r="L302"/>
  <c r="K302"/>
  <c r="K301"/>
  <c r="K300"/>
  <c r="J302"/>
  <c r="J301"/>
  <c r="J300"/>
  <c r="I302"/>
  <c r="I301"/>
  <c r="I300"/>
  <c r="L294"/>
  <c r="K294"/>
  <c r="K293"/>
  <c r="K292"/>
  <c r="K291"/>
  <c r="K290"/>
  <c r="K289"/>
  <c r="K295"/>
  <c r="J294"/>
  <c r="J293"/>
  <c r="J292"/>
  <c r="J291"/>
  <c r="J290"/>
  <c r="J289"/>
  <c r="J295"/>
  <c r="I294"/>
  <c r="I293"/>
  <c r="I292"/>
  <c r="I291"/>
  <c r="I290"/>
  <c r="I289"/>
  <c r="I295"/>
  <c r="H294"/>
  <c r="H293"/>
  <c r="H292"/>
  <c r="H291"/>
  <c r="H290"/>
  <c r="H289"/>
  <c r="H295"/>
  <c r="L287"/>
  <c r="K287"/>
  <c r="K286"/>
  <c r="K285"/>
  <c r="K284"/>
  <c r="K283"/>
  <c r="K282"/>
  <c r="K288"/>
  <c r="J287"/>
  <c r="J286"/>
  <c r="J285"/>
  <c r="J284"/>
  <c r="J283"/>
  <c r="J282"/>
  <c r="J288"/>
  <c r="I287"/>
  <c r="I286"/>
  <c r="I285"/>
  <c r="I284"/>
  <c r="I283"/>
  <c r="I282"/>
  <c r="I288"/>
  <c r="H287"/>
  <c r="H286"/>
  <c r="H285"/>
  <c r="H284"/>
  <c r="H283"/>
  <c r="H282"/>
  <c r="H288"/>
  <c r="L279"/>
  <c r="K280"/>
  <c r="K279"/>
  <c r="K278"/>
  <c r="K277"/>
  <c r="K276"/>
  <c r="K275"/>
  <c r="J280"/>
  <c r="J279"/>
  <c r="J278"/>
  <c r="J277"/>
  <c r="J276"/>
  <c r="J275"/>
  <c r="I280"/>
  <c r="I279"/>
  <c r="I278"/>
  <c r="I277"/>
  <c r="I276"/>
  <c r="I275"/>
  <c r="I281"/>
  <c r="H280"/>
  <c r="H279"/>
  <c r="H278"/>
  <c r="H277"/>
  <c r="H276"/>
  <c r="H275"/>
  <c r="L272"/>
  <c r="K272"/>
  <c r="K271"/>
  <c r="K270"/>
  <c r="K269"/>
  <c r="K268"/>
  <c r="K267"/>
  <c r="K273"/>
  <c r="J272"/>
  <c r="J271"/>
  <c r="J270"/>
  <c r="J269"/>
  <c r="J268"/>
  <c r="J267"/>
  <c r="J273"/>
  <c r="I272"/>
  <c r="I271"/>
  <c r="I270"/>
  <c r="I269"/>
  <c r="I268"/>
  <c r="I267"/>
  <c r="I273"/>
  <c r="H272"/>
  <c r="H271"/>
  <c r="H270"/>
  <c r="H269"/>
  <c r="H268"/>
  <c r="H267"/>
  <c r="H273"/>
  <c r="L265"/>
  <c r="K265"/>
  <c r="K264"/>
  <c r="K263"/>
  <c r="J265"/>
  <c r="J264"/>
  <c r="J263"/>
  <c r="I265"/>
  <c r="I264"/>
  <c r="I263"/>
  <c r="H265"/>
  <c r="H264"/>
  <c r="H263"/>
  <c r="L262"/>
  <c r="K262"/>
  <c r="K261"/>
  <c r="K260"/>
  <c r="J262"/>
  <c r="J261"/>
  <c r="J260"/>
  <c r="I262"/>
  <c r="I261"/>
  <c r="I260"/>
  <c r="H262"/>
  <c r="H261"/>
  <c r="H260"/>
  <c r="L256"/>
  <c r="K256"/>
  <c r="K255"/>
  <c r="J256"/>
  <c r="J255"/>
  <c r="I256"/>
  <c r="I255"/>
  <c r="H256"/>
  <c r="H255"/>
  <c r="K240"/>
  <c r="K239"/>
  <c r="K238"/>
  <c r="J240"/>
  <c r="J239"/>
  <c r="J238"/>
  <c r="I240"/>
  <c r="I239"/>
  <c r="I238"/>
  <c r="L233"/>
  <c r="K233"/>
  <c r="K232"/>
  <c r="K231"/>
  <c r="K230"/>
  <c r="K229"/>
  <c r="K228"/>
  <c r="K234"/>
  <c r="J233"/>
  <c r="J232"/>
  <c r="J231"/>
  <c r="J230"/>
  <c r="J229"/>
  <c r="J228"/>
  <c r="J234"/>
  <c r="I233"/>
  <c r="I232"/>
  <c r="I231"/>
  <c r="I230"/>
  <c r="I229"/>
  <c r="I228"/>
  <c r="I234"/>
  <c r="H233"/>
  <c r="H232"/>
  <c r="H231"/>
  <c r="H230"/>
  <c r="H229"/>
  <c r="H228"/>
  <c r="H234"/>
  <c r="L224"/>
  <c r="K224"/>
  <c r="K223"/>
  <c r="J224"/>
  <c r="J223"/>
  <c r="I224"/>
  <c r="I223"/>
  <c r="H224"/>
  <c r="H223"/>
  <c r="L219"/>
  <c r="K219"/>
  <c r="K218"/>
  <c r="K222"/>
  <c r="J219"/>
  <c r="J218"/>
  <c r="J222"/>
  <c r="I219"/>
  <c r="I218"/>
  <c r="I222"/>
  <c r="H219"/>
  <c r="H218"/>
  <c r="H222"/>
  <c r="L216"/>
  <c r="K216"/>
  <c r="K215"/>
  <c r="K214"/>
  <c r="J216"/>
  <c r="J215"/>
  <c r="J214"/>
  <c r="I216"/>
  <c r="I215"/>
  <c r="I214"/>
  <c r="H216"/>
  <c r="H215"/>
  <c r="H214"/>
  <c r="L213"/>
  <c r="N213"/>
  <c r="K213"/>
  <c r="J213"/>
  <c r="I213"/>
  <c r="H213"/>
  <c r="L208"/>
  <c r="K208"/>
  <c r="K207"/>
  <c r="J208"/>
  <c r="J207"/>
  <c r="I208"/>
  <c r="I207"/>
  <c r="H208"/>
  <c r="H207"/>
  <c r="L201"/>
  <c r="K201"/>
  <c r="K200"/>
  <c r="J201"/>
  <c r="J200"/>
  <c r="I201"/>
  <c r="I200"/>
  <c r="H201"/>
  <c r="H200"/>
  <c r="L197"/>
  <c r="K197"/>
  <c r="K196"/>
  <c r="J197"/>
  <c r="J196"/>
  <c r="I197"/>
  <c r="I196"/>
  <c r="H197"/>
  <c r="H196"/>
  <c r="L191"/>
  <c r="K191"/>
  <c r="K190"/>
  <c r="K189"/>
  <c r="J191"/>
  <c r="J190"/>
  <c r="J189"/>
  <c r="I191"/>
  <c r="I190"/>
  <c r="I189"/>
  <c r="H191"/>
  <c r="H190"/>
  <c r="H189"/>
  <c r="L188"/>
  <c r="K188"/>
  <c r="K187"/>
  <c r="K186"/>
  <c r="J188"/>
  <c r="J187"/>
  <c r="J186"/>
  <c r="I188"/>
  <c r="I187"/>
  <c r="I186"/>
  <c r="H188"/>
  <c r="H187"/>
  <c r="H186"/>
  <c r="L182"/>
  <c r="K182"/>
  <c r="K181"/>
  <c r="K180"/>
  <c r="J182"/>
  <c r="J181"/>
  <c r="J180"/>
  <c r="I182"/>
  <c r="I181"/>
  <c r="I180"/>
  <c r="L176"/>
  <c r="K176"/>
  <c r="K175"/>
  <c r="K174"/>
  <c r="J176"/>
  <c r="J175"/>
  <c r="J174"/>
  <c r="I176"/>
  <c r="I175"/>
  <c r="I174"/>
  <c r="H176"/>
  <c r="H175"/>
  <c r="H174"/>
  <c r="L173"/>
  <c r="L166"/>
  <c r="K166"/>
  <c r="K168"/>
  <c r="J166"/>
  <c r="J168"/>
  <c r="I166"/>
  <c r="I168"/>
  <c r="H166"/>
  <c r="H168"/>
  <c r="L164"/>
  <c r="N164"/>
  <c r="K164"/>
  <c r="J164"/>
  <c r="I164"/>
  <c r="H164"/>
  <c r="L162"/>
  <c r="K162"/>
  <c r="K161"/>
  <c r="J162"/>
  <c r="J161"/>
  <c r="I162"/>
  <c r="I161"/>
  <c r="H162"/>
  <c r="H161"/>
  <c r="L158"/>
  <c r="K158"/>
  <c r="K157"/>
  <c r="K160"/>
  <c r="J158"/>
  <c r="J157"/>
  <c r="J160"/>
  <c r="I158"/>
  <c r="I157"/>
  <c r="I160"/>
  <c r="H158"/>
  <c r="H157"/>
  <c r="H160"/>
  <c r="L154"/>
  <c r="K154"/>
  <c r="K153"/>
  <c r="K156"/>
  <c r="J154"/>
  <c r="J153"/>
  <c r="J156"/>
  <c r="I154"/>
  <c r="I153"/>
  <c r="I156"/>
  <c r="H154"/>
  <c r="H153"/>
  <c r="H156"/>
  <c r="L150"/>
  <c r="K150"/>
  <c r="K149"/>
  <c r="J150"/>
  <c r="J149"/>
  <c r="I150"/>
  <c r="I149"/>
  <c r="H150"/>
  <c r="H149"/>
  <c r="L139"/>
  <c r="K139"/>
  <c r="K138"/>
  <c r="J139"/>
  <c r="J138"/>
  <c r="I139"/>
  <c r="I138"/>
  <c r="H139"/>
  <c r="H138"/>
  <c r="L137"/>
  <c r="K137"/>
  <c r="K136"/>
  <c r="K135"/>
  <c r="J137"/>
  <c r="J136"/>
  <c r="J135"/>
  <c r="I137"/>
  <c r="I136"/>
  <c r="I135"/>
  <c r="H137"/>
  <c r="H136"/>
  <c r="H135"/>
  <c r="L134"/>
  <c r="K134"/>
  <c r="K133"/>
  <c r="K132"/>
  <c r="J134"/>
  <c r="J133"/>
  <c r="J132"/>
  <c r="I134"/>
  <c r="I133"/>
  <c r="I132"/>
  <c r="L130"/>
  <c r="K130"/>
  <c r="K129"/>
  <c r="J130"/>
  <c r="J129"/>
  <c r="I130"/>
  <c r="I129"/>
  <c r="H130"/>
  <c r="H129"/>
  <c r="L126"/>
  <c r="K126"/>
  <c r="K125"/>
  <c r="J126"/>
  <c r="J125"/>
  <c r="I126"/>
  <c r="I125"/>
  <c r="H126"/>
  <c r="H125"/>
  <c r="L120"/>
  <c r="K120"/>
  <c r="K119"/>
  <c r="K118"/>
  <c r="K117"/>
  <c r="J120"/>
  <c r="J119"/>
  <c r="J118"/>
  <c r="J117"/>
  <c r="I120"/>
  <c r="I119"/>
  <c r="I118"/>
  <c r="I117"/>
  <c r="L116"/>
  <c r="K116"/>
  <c r="K115"/>
  <c r="K114"/>
  <c r="K113"/>
  <c r="J116"/>
  <c r="J115"/>
  <c r="J114"/>
  <c r="J113"/>
  <c r="I116"/>
  <c r="I115"/>
  <c r="I114"/>
  <c r="I113"/>
  <c r="L112"/>
  <c r="K112"/>
  <c r="K111"/>
  <c r="K110"/>
  <c r="K109"/>
  <c r="K108"/>
  <c r="K107"/>
  <c r="J112"/>
  <c r="J111"/>
  <c r="J110"/>
  <c r="J109"/>
  <c r="I112"/>
  <c r="I111"/>
  <c r="I110"/>
  <c r="I109"/>
  <c r="L104"/>
  <c r="K104"/>
  <c r="K103"/>
  <c r="K102"/>
  <c r="K101"/>
  <c r="K100"/>
  <c r="K99"/>
  <c r="K105"/>
  <c r="J104"/>
  <c r="J103"/>
  <c r="J102"/>
  <c r="J101"/>
  <c r="J100"/>
  <c r="J99"/>
  <c r="J105"/>
  <c r="I104"/>
  <c r="I103"/>
  <c r="I102"/>
  <c r="I101"/>
  <c r="I100"/>
  <c r="I99"/>
  <c r="I105"/>
  <c r="L94"/>
  <c r="K94"/>
  <c r="K93"/>
  <c r="K98"/>
  <c r="J94"/>
  <c r="J93"/>
  <c r="J98"/>
  <c r="I94"/>
  <c r="I93"/>
  <c r="I98"/>
  <c r="H94"/>
  <c r="H93"/>
  <c r="H98"/>
  <c r="L90"/>
  <c r="K90"/>
  <c r="K89"/>
  <c r="K92"/>
  <c r="J90"/>
  <c r="J89"/>
  <c r="J92"/>
  <c r="I90"/>
  <c r="I89"/>
  <c r="I92"/>
  <c r="H90"/>
  <c r="H89"/>
  <c r="H92"/>
  <c r="L88"/>
  <c r="N88"/>
  <c r="K88"/>
  <c r="J88"/>
  <c r="I88"/>
  <c r="H88"/>
  <c r="L86"/>
  <c r="K86"/>
  <c r="K85"/>
  <c r="J86"/>
  <c r="J85"/>
  <c r="I86"/>
  <c r="I85"/>
  <c r="H86"/>
  <c r="H85"/>
  <c r="L83"/>
  <c r="K83"/>
  <c r="K82"/>
  <c r="K81"/>
  <c r="J83"/>
  <c r="J82"/>
  <c r="J81"/>
  <c r="I83"/>
  <c r="I82"/>
  <c r="I81"/>
  <c r="H83"/>
  <c r="H82"/>
  <c r="H81"/>
  <c r="L77"/>
  <c r="N77"/>
  <c r="K77"/>
  <c r="J77"/>
  <c r="I77"/>
  <c r="H77"/>
  <c r="L64"/>
  <c r="L57"/>
  <c r="K57"/>
  <c r="K56"/>
  <c r="J57"/>
  <c r="J56"/>
  <c r="I57"/>
  <c r="I56"/>
  <c r="H57"/>
  <c r="H56"/>
  <c r="L48"/>
  <c r="K48"/>
  <c r="K47"/>
  <c r="K46"/>
  <c r="K45"/>
  <c r="K44"/>
  <c r="K43"/>
  <c r="K49"/>
  <c r="J48"/>
  <c r="J47"/>
  <c r="J46"/>
  <c r="J45"/>
  <c r="J44"/>
  <c r="J43"/>
  <c r="J49"/>
  <c r="I48"/>
  <c r="I47"/>
  <c r="I46"/>
  <c r="I45"/>
  <c r="I44"/>
  <c r="I43"/>
  <c r="I49"/>
  <c r="H48"/>
  <c r="H47"/>
  <c r="H46"/>
  <c r="H45"/>
  <c r="H44"/>
  <c r="H43"/>
  <c r="H49"/>
  <c r="L31"/>
  <c r="K31"/>
  <c r="K30"/>
  <c r="J31"/>
  <c r="J30"/>
  <c r="I31"/>
  <c r="I30"/>
  <c r="H31"/>
  <c r="H30"/>
  <c r="L25"/>
  <c r="N25"/>
  <c r="K25"/>
  <c r="J25"/>
  <c r="I25"/>
  <c r="H25"/>
  <c r="K903" i="3"/>
  <c r="J903"/>
  <c r="J902"/>
  <c r="J901"/>
  <c r="I903"/>
  <c r="I902"/>
  <c r="I901"/>
  <c r="H903"/>
  <c r="H902"/>
  <c r="H901"/>
  <c r="G903"/>
  <c r="G902"/>
  <c r="G901"/>
  <c r="K900"/>
  <c r="J900"/>
  <c r="J899"/>
  <c r="J898"/>
  <c r="H900"/>
  <c r="H899"/>
  <c r="H898"/>
  <c r="G900"/>
  <c r="G899"/>
  <c r="G898"/>
  <c r="K897"/>
  <c r="J897"/>
  <c r="J896"/>
  <c r="J895"/>
  <c r="I897"/>
  <c r="I896"/>
  <c r="I895"/>
  <c r="H897"/>
  <c r="H896"/>
  <c r="H895"/>
  <c r="G897"/>
  <c r="G896"/>
  <c r="G895"/>
  <c r="F903"/>
  <c r="F902"/>
  <c r="F901"/>
  <c r="F900"/>
  <c r="F899"/>
  <c r="F898"/>
  <c r="F897"/>
  <c r="F896"/>
  <c r="F895"/>
  <c r="K724"/>
  <c r="M724"/>
  <c r="J724"/>
  <c r="J723"/>
  <c r="J722"/>
  <c r="I724"/>
  <c r="I723"/>
  <c r="I722"/>
  <c r="H724"/>
  <c r="H723"/>
  <c r="H722"/>
  <c r="G724"/>
  <c r="G723"/>
  <c r="G722"/>
  <c r="K718"/>
  <c r="J718"/>
  <c r="J717"/>
  <c r="J716"/>
  <c r="I718"/>
  <c r="I717"/>
  <c r="I716"/>
  <c r="H718"/>
  <c r="H717"/>
  <c r="H716"/>
  <c r="G718"/>
  <c r="G717"/>
  <c r="G716"/>
  <c r="F724"/>
  <c r="F723"/>
  <c r="F722"/>
  <c r="F718"/>
  <c r="F717"/>
  <c r="F716"/>
  <c r="K691"/>
  <c r="J691"/>
  <c r="J690"/>
  <c r="J689"/>
  <c r="I691"/>
  <c r="I690"/>
  <c r="I689"/>
  <c r="H691"/>
  <c r="H690"/>
  <c r="H689"/>
  <c r="G691"/>
  <c r="G690"/>
  <c r="G689"/>
  <c r="K688"/>
  <c r="J688"/>
  <c r="J687"/>
  <c r="J686"/>
  <c r="I688"/>
  <c r="I687"/>
  <c r="I686"/>
  <c r="H688"/>
  <c r="H687"/>
  <c r="H686"/>
  <c r="G688"/>
  <c r="G687"/>
  <c r="G686"/>
  <c r="K685"/>
  <c r="J685"/>
  <c r="J684"/>
  <c r="J683"/>
  <c r="I685"/>
  <c r="I684"/>
  <c r="I683"/>
  <c r="H685"/>
  <c r="H684"/>
  <c r="H683"/>
  <c r="G685"/>
  <c r="G684"/>
  <c r="G683"/>
  <c r="F691"/>
  <c r="F690"/>
  <c r="F689"/>
  <c r="F688"/>
  <c r="F687"/>
  <c r="F686"/>
  <c r="F685"/>
  <c r="F684"/>
  <c r="F683"/>
  <c r="K603"/>
  <c r="J603"/>
  <c r="J602"/>
  <c r="J601"/>
  <c r="I603"/>
  <c r="I602"/>
  <c r="I601"/>
  <c r="H603"/>
  <c r="H602"/>
  <c r="H601"/>
  <c r="G603"/>
  <c r="G602"/>
  <c r="G601"/>
  <c r="K600"/>
  <c r="J600"/>
  <c r="J599"/>
  <c r="J598"/>
  <c r="I600"/>
  <c r="I599"/>
  <c r="I598"/>
  <c r="H600"/>
  <c r="H599"/>
  <c r="H598"/>
  <c r="G600"/>
  <c r="G599"/>
  <c r="G598"/>
  <c r="K597"/>
  <c r="J597"/>
  <c r="J596"/>
  <c r="J595"/>
  <c r="I597"/>
  <c r="I596"/>
  <c r="I595"/>
  <c r="H597"/>
  <c r="H596"/>
  <c r="H595"/>
  <c r="G597"/>
  <c r="G596"/>
  <c r="G595"/>
  <c r="F603"/>
  <c r="F602"/>
  <c r="F601"/>
  <c r="F600"/>
  <c r="F599"/>
  <c r="F598"/>
  <c r="F597"/>
  <c r="F596"/>
  <c r="F595"/>
  <c r="K577"/>
  <c r="M577"/>
  <c r="J577"/>
  <c r="J576"/>
  <c r="J575"/>
  <c r="I577"/>
  <c r="I576"/>
  <c r="I575"/>
  <c r="H577"/>
  <c r="H576"/>
  <c r="H575"/>
  <c r="G577"/>
  <c r="G576"/>
  <c r="G575"/>
  <c r="K574"/>
  <c r="J574"/>
  <c r="J573"/>
  <c r="J572"/>
  <c r="I574"/>
  <c r="I573"/>
  <c r="I572"/>
  <c r="H574"/>
  <c r="H573"/>
  <c r="H572"/>
  <c r="G574"/>
  <c r="G573"/>
  <c r="G572"/>
  <c r="F577"/>
  <c r="F576"/>
  <c r="F575"/>
  <c r="F574"/>
  <c r="F573"/>
  <c r="F572"/>
  <c r="K557"/>
  <c r="J557"/>
  <c r="J556"/>
  <c r="J555"/>
  <c r="I557"/>
  <c r="I556"/>
  <c r="I555"/>
  <c r="H557"/>
  <c r="H556"/>
  <c r="H555"/>
  <c r="G557"/>
  <c r="G556"/>
  <c r="G555"/>
  <c r="F557"/>
  <c r="F556"/>
  <c r="F555"/>
  <c r="K512"/>
  <c r="J512"/>
  <c r="J511"/>
  <c r="J510"/>
  <c r="I512"/>
  <c r="I511"/>
  <c r="I510"/>
  <c r="H512"/>
  <c r="H511"/>
  <c r="H510"/>
  <c r="G512"/>
  <c r="G511"/>
  <c r="G510"/>
  <c r="F512"/>
  <c r="K503"/>
  <c r="J503"/>
  <c r="J502"/>
  <c r="J501"/>
  <c r="I503"/>
  <c r="I502"/>
  <c r="I501"/>
  <c r="H503"/>
  <c r="H502"/>
  <c r="H501"/>
  <c r="G503"/>
  <c r="G502"/>
  <c r="G501"/>
  <c r="F503"/>
  <c r="F502"/>
  <c r="F501"/>
  <c r="K450"/>
  <c r="H450"/>
  <c r="H449"/>
  <c r="H448"/>
  <c r="G450"/>
  <c r="G449"/>
  <c r="G448"/>
  <c r="K447"/>
  <c r="H447"/>
  <c r="H446"/>
  <c r="H445"/>
  <c r="G447"/>
  <c r="G446"/>
  <c r="G445"/>
  <c r="F447"/>
  <c r="F446"/>
  <c r="F445"/>
  <c r="F450"/>
  <c r="F449"/>
  <c r="F448"/>
  <c r="K444"/>
  <c r="J444"/>
  <c r="J443"/>
  <c r="J442"/>
  <c r="I444"/>
  <c r="I443"/>
  <c r="I442"/>
  <c r="H444"/>
  <c r="H443"/>
  <c r="H442"/>
  <c r="G444"/>
  <c r="G443"/>
  <c r="G442"/>
  <c r="F444"/>
  <c r="K435"/>
  <c r="J435"/>
  <c r="J434"/>
  <c r="J433"/>
  <c r="I435"/>
  <c r="I434"/>
  <c r="I433"/>
  <c r="H435"/>
  <c r="H434"/>
  <c r="H433"/>
  <c r="G435"/>
  <c r="G434"/>
  <c r="G433"/>
  <c r="F435"/>
  <c r="K402"/>
  <c r="J402"/>
  <c r="J401"/>
  <c r="J400"/>
  <c r="I402"/>
  <c r="I401"/>
  <c r="I400"/>
  <c r="H402"/>
  <c r="H401"/>
  <c r="H400"/>
  <c r="G402"/>
  <c r="G401"/>
  <c r="G400"/>
  <c r="F402"/>
  <c r="K342"/>
  <c r="H342"/>
  <c r="H341"/>
  <c r="H340"/>
  <c r="G342"/>
  <c r="G341"/>
  <c r="G340"/>
  <c r="F342"/>
  <c r="K20"/>
  <c r="J20"/>
  <c r="J19"/>
  <c r="I20"/>
  <c r="I19"/>
  <c r="H20"/>
  <c r="H19"/>
  <c r="K946"/>
  <c r="J946"/>
  <c r="J945"/>
  <c r="I946"/>
  <c r="I945"/>
  <c r="H946"/>
  <c r="H945"/>
  <c r="G946"/>
  <c r="G945"/>
  <c r="K942"/>
  <c r="J942"/>
  <c r="J941"/>
  <c r="I942"/>
  <c r="I941"/>
  <c r="H942"/>
  <c r="H941"/>
  <c r="G942"/>
  <c r="G941"/>
  <c r="K931"/>
  <c r="J931"/>
  <c r="J930"/>
  <c r="I931"/>
  <c r="I930"/>
  <c r="H931"/>
  <c r="H930"/>
  <c r="K926"/>
  <c r="M926"/>
  <c r="J926"/>
  <c r="I926"/>
  <c r="H926"/>
  <c r="G926"/>
  <c r="K925"/>
  <c r="J925"/>
  <c r="J924"/>
  <c r="I925"/>
  <c r="I924"/>
  <c r="H925"/>
  <c r="H924"/>
  <c r="G925"/>
  <c r="G924"/>
  <c r="K918"/>
  <c r="J918"/>
  <c r="J917"/>
  <c r="I918"/>
  <c r="I917"/>
  <c r="H918"/>
  <c r="H917"/>
  <c r="G918"/>
  <c r="G917"/>
  <c r="K912"/>
  <c r="J912"/>
  <c r="J911"/>
  <c r="J910"/>
  <c r="J909"/>
  <c r="J908"/>
  <c r="I912"/>
  <c r="I911"/>
  <c r="I910"/>
  <c r="I909"/>
  <c r="I908"/>
  <c r="H912"/>
  <c r="H911"/>
  <c r="H910"/>
  <c r="H909"/>
  <c r="H908"/>
  <c r="G912"/>
  <c r="G911"/>
  <c r="G910"/>
  <c r="G909"/>
  <c r="G908"/>
  <c r="K894"/>
  <c r="J894"/>
  <c r="J893"/>
  <c r="J892"/>
  <c r="I894"/>
  <c r="I893"/>
  <c r="I892"/>
  <c r="H894"/>
  <c r="H893"/>
  <c r="H892"/>
  <c r="J891"/>
  <c r="J890"/>
  <c r="I891"/>
  <c r="I890"/>
  <c r="H891"/>
  <c r="H890"/>
  <c r="H889"/>
  <c r="K884"/>
  <c r="J884"/>
  <c r="J883"/>
  <c r="J882"/>
  <c r="J881"/>
  <c r="I884"/>
  <c r="I883"/>
  <c r="I882"/>
  <c r="I881"/>
  <c r="H884"/>
  <c r="H883"/>
  <c r="H882"/>
  <c r="H881"/>
  <c r="G884"/>
  <c r="G883"/>
  <c r="G882"/>
  <c r="G881"/>
  <c r="J872"/>
  <c r="J871"/>
  <c r="J870"/>
  <c r="I872"/>
  <c r="I871"/>
  <c r="I870"/>
  <c r="H872"/>
  <c r="H871"/>
  <c r="H870"/>
  <c r="K868"/>
  <c r="J868"/>
  <c r="I868"/>
  <c r="I867"/>
  <c r="I866"/>
  <c r="I865"/>
  <c r="H868"/>
  <c r="H867"/>
  <c r="H866"/>
  <c r="H865"/>
  <c r="G868"/>
  <c r="G867"/>
  <c r="G866"/>
  <c r="G865"/>
  <c r="J867"/>
  <c r="J866"/>
  <c r="J865"/>
  <c r="K863"/>
  <c r="M863"/>
  <c r="J863"/>
  <c r="J862"/>
  <c r="J861"/>
  <c r="I863"/>
  <c r="I862"/>
  <c r="I861"/>
  <c r="H863"/>
  <c r="H862"/>
  <c r="H861"/>
  <c r="G863"/>
  <c r="G862"/>
  <c r="G861"/>
  <c r="K857"/>
  <c r="M857"/>
  <c r="J857"/>
  <c r="J856"/>
  <c r="I857"/>
  <c r="I856"/>
  <c r="H857"/>
  <c r="H856"/>
  <c r="G857"/>
  <c r="G856"/>
  <c r="K855"/>
  <c r="J855"/>
  <c r="J854"/>
  <c r="J853"/>
  <c r="I855"/>
  <c r="I854"/>
  <c r="I853"/>
  <c r="H855"/>
  <c r="H854"/>
  <c r="H853"/>
  <c r="G855"/>
  <c r="G854"/>
  <c r="G853"/>
  <c r="K849"/>
  <c r="J849"/>
  <c r="J848"/>
  <c r="J847"/>
  <c r="I849"/>
  <c r="I848"/>
  <c r="I847"/>
  <c r="H849"/>
  <c r="H848"/>
  <c r="H847"/>
  <c r="G849"/>
  <c r="G848"/>
  <c r="G847"/>
  <c r="K843"/>
  <c r="M843"/>
  <c r="J843"/>
  <c r="J842"/>
  <c r="J841"/>
  <c r="I843"/>
  <c r="I842"/>
  <c r="I841"/>
  <c r="H843"/>
  <c r="H842"/>
  <c r="H841"/>
  <c r="G843"/>
  <c r="G842"/>
  <c r="G841"/>
  <c r="K840"/>
  <c r="J840"/>
  <c r="J839"/>
  <c r="J838"/>
  <c r="J837"/>
  <c r="I840"/>
  <c r="I839"/>
  <c r="I838"/>
  <c r="I837"/>
  <c r="H840"/>
  <c r="H839"/>
  <c r="H838"/>
  <c r="H837"/>
  <c r="K836"/>
  <c r="J836"/>
  <c r="J835"/>
  <c r="J834"/>
  <c r="I836"/>
  <c r="I835"/>
  <c r="I834"/>
  <c r="H836"/>
  <c r="H835"/>
  <c r="H834"/>
  <c r="G836"/>
  <c r="G835"/>
  <c r="G834"/>
  <c r="K832"/>
  <c r="M832"/>
  <c r="J832"/>
  <c r="J831"/>
  <c r="I832"/>
  <c r="I831"/>
  <c r="H832"/>
  <c r="H831"/>
  <c r="G832"/>
  <c r="G831"/>
  <c r="K829"/>
  <c r="J829"/>
  <c r="J828"/>
  <c r="I829"/>
  <c r="I828"/>
  <c r="H829"/>
  <c r="H828"/>
  <c r="G829"/>
  <c r="G828"/>
  <c r="K824"/>
  <c r="M824"/>
  <c r="J824"/>
  <c r="I824"/>
  <c r="H824"/>
  <c r="G824"/>
  <c r="K817"/>
  <c r="K813"/>
  <c r="J813"/>
  <c r="J812"/>
  <c r="I813"/>
  <c r="I812"/>
  <c r="H813"/>
  <c r="H812"/>
  <c r="G813"/>
  <c r="G812"/>
  <c r="K807"/>
  <c r="J807"/>
  <c r="J806"/>
  <c r="J805"/>
  <c r="I807"/>
  <c r="I806"/>
  <c r="I804"/>
  <c r="H807"/>
  <c r="H806"/>
  <c r="H805"/>
  <c r="G807"/>
  <c r="G806"/>
  <c r="G804"/>
  <c r="K796"/>
  <c r="J796"/>
  <c r="J795"/>
  <c r="I796"/>
  <c r="I795"/>
  <c r="H796"/>
  <c r="H795"/>
  <c r="G796"/>
  <c r="G795"/>
  <c r="K786"/>
  <c r="H786"/>
  <c r="H785"/>
  <c r="H784"/>
  <c r="H783"/>
  <c r="H781"/>
  <c r="F43" i="2"/>
  <c r="G786" i="3"/>
  <c r="G785"/>
  <c r="G784"/>
  <c r="G783"/>
  <c r="K779"/>
  <c r="J779"/>
  <c r="J778"/>
  <c r="I779"/>
  <c r="I778"/>
  <c r="H779"/>
  <c r="H778"/>
  <c r="G779"/>
  <c r="G778"/>
  <c r="K777"/>
  <c r="J775"/>
  <c r="J774"/>
  <c r="I775"/>
  <c r="I774"/>
  <c r="H775"/>
  <c r="H774"/>
  <c r="K770"/>
  <c r="M770"/>
  <c r="H770"/>
  <c r="G770"/>
  <c r="K769"/>
  <c r="H769"/>
  <c r="H768"/>
  <c r="G769"/>
  <c r="G768"/>
  <c r="K764"/>
  <c r="J764"/>
  <c r="J763"/>
  <c r="J762"/>
  <c r="J761"/>
  <c r="I764"/>
  <c r="I763"/>
  <c r="I762"/>
  <c r="I761"/>
  <c r="H764"/>
  <c r="H763"/>
  <c r="H762"/>
  <c r="H761"/>
  <c r="G764"/>
  <c r="G763"/>
  <c r="G762"/>
  <c r="G761"/>
  <c r="K760"/>
  <c r="J760"/>
  <c r="J759"/>
  <c r="J758"/>
  <c r="I760"/>
  <c r="I759"/>
  <c r="I758"/>
  <c r="H760"/>
  <c r="H759"/>
  <c r="H758"/>
  <c r="K757"/>
  <c r="J757"/>
  <c r="J756"/>
  <c r="J755"/>
  <c r="I757"/>
  <c r="I756"/>
  <c r="I755"/>
  <c r="H757"/>
  <c r="H756"/>
  <c r="H755"/>
  <c r="G757"/>
  <c r="G756"/>
  <c r="G755"/>
  <c r="K754"/>
  <c r="J754"/>
  <c r="J753"/>
  <c r="J752"/>
  <c r="I754"/>
  <c r="I753"/>
  <c r="I752"/>
  <c r="H754"/>
  <c r="H753"/>
  <c r="H752"/>
  <c r="G754"/>
  <c r="G753"/>
  <c r="G752"/>
  <c r="K749"/>
  <c r="J749"/>
  <c r="J748"/>
  <c r="J747"/>
  <c r="I749"/>
  <c r="I748"/>
  <c r="I747"/>
  <c r="H749"/>
  <c r="H748"/>
  <c r="H747"/>
  <c r="G749"/>
  <c r="G748"/>
  <c r="G747"/>
  <c r="K737"/>
  <c r="M737"/>
  <c r="J737"/>
  <c r="I737"/>
  <c r="H737"/>
  <c r="G737"/>
  <c r="K734"/>
  <c r="M734"/>
  <c r="J734"/>
  <c r="I734"/>
  <c r="H734"/>
  <c r="G734"/>
  <c r="K732"/>
  <c r="M732"/>
  <c r="J732"/>
  <c r="I732"/>
  <c r="H732"/>
  <c r="G732"/>
  <c r="K728"/>
  <c r="J728"/>
  <c r="J727"/>
  <c r="J726"/>
  <c r="J725"/>
  <c r="I728"/>
  <c r="I727"/>
  <c r="I726"/>
  <c r="I725"/>
  <c r="H728"/>
  <c r="H727"/>
  <c r="H726"/>
  <c r="H725"/>
  <c r="G728"/>
  <c r="G727"/>
  <c r="G726"/>
  <c r="G725"/>
  <c r="K714"/>
  <c r="J714"/>
  <c r="J713"/>
  <c r="J712"/>
  <c r="I714"/>
  <c r="I713"/>
  <c r="I712"/>
  <c r="H714"/>
  <c r="H713"/>
  <c r="H712"/>
  <c r="G714"/>
  <c r="G713"/>
  <c r="G712"/>
  <c r="K711"/>
  <c r="J711"/>
  <c r="J710"/>
  <c r="I711"/>
  <c r="I710"/>
  <c r="H711"/>
  <c r="H710"/>
  <c r="G711"/>
  <c r="G710"/>
  <c r="K708"/>
  <c r="J708"/>
  <c r="J707"/>
  <c r="I708"/>
  <c r="I707"/>
  <c r="H708"/>
  <c r="H707"/>
  <c r="G708"/>
  <c r="G707"/>
  <c r="K705"/>
  <c r="J705"/>
  <c r="J704"/>
  <c r="I705"/>
  <c r="I704"/>
  <c r="H705"/>
  <c r="H704"/>
  <c r="G705"/>
  <c r="G704"/>
  <c r="K702"/>
  <c r="J702"/>
  <c r="J701"/>
  <c r="I702"/>
  <c r="I701"/>
  <c r="H702"/>
  <c r="H701"/>
  <c r="G702"/>
  <c r="G701"/>
  <c r="K700"/>
  <c r="J700"/>
  <c r="J699"/>
  <c r="I700"/>
  <c r="I699"/>
  <c r="H700"/>
  <c r="H699"/>
  <c r="G700"/>
  <c r="G699"/>
  <c r="K697"/>
  <c r="M697"/>
  <c r="J697"/>
  <c r="I697"/>
  <c r="H697"/>
  <c r="G697"/>
  <c r="K695"/>
  <c r="J695"/>
  <c r="J694"/>
  <c r="J693"/>
  <c r="I695"/>
  <c r="I694"/>
  <c r="I693"/>
  <c r="H695"/>
  <c r="H694"/>
  <c r="H693"/>
  <c r="K682"/>
  <c r="J682"/>
  <c r="J681"/>
  <c r="J680"/>
  <c r="I682"/>
  <c r="I681"/>
  <c r="I680"/>
  <c r="H682"/>
  <c r="H681"/>
  <c r="H680"/>
  <c r="K679"/>
  <c r="J679"/>
  <c r="J678"/>
  <c r="J677"/>
  <c r="I679"/>
  <c r="I678"/>
  <c r="I677"/>
  <c r="H679"/>
  <c r="H678"/>
  <c r="H677"/>
  <c r="G679"/>
  <c r="G678"/>
  <c r="G677"/>
  <c r="K675"/>
  <c r="J675"/>
  <c r="J674"/>
  <c r="I675"/>
  <c r="I674"/>
  <c r="H675"/>
  <c r="H674"/>
  <c r="G675"/>
  <c r="G674"/>
  <c r="K672"/>
  <c r="J672"/>
  <c r="J671"/>
  <c r="I672"/>
  <c r="I671"/>
  <c r="H672"/>
  <c r="H671"/>
  <c r="G672"/>
  <c r="G671"/>
  <c r="K669"/>
  <c r="J669"/>
  <c r="I669"/>
  <c r="I668"/>
  <c r="H669"/>
  <c r="H668"/>
  <c r="G669"/>
  <c r="G668"/>
  <c r="J668"/>
  <c r="K667"/>
  <c r="J667"/>
  <c r="J666"/>
  <c r="J665"/>
  <c r="I667"/>
  <c r="I666"/>
  <c r="I665"/>
  <c r="H667"/>
  <c r="H666"/>
  <c r="H665"/>
  <c r="G667"/>
  <c r="G666"/>
  <c r="G665"/>
  <c r="K664"/>
  <c r="M664"/>
  <c r="J664"/>
  <c r="J663"/>
  <c r="J662"/>
  <c r="I664"/>
  <c r="I663"/>
  <c r="I662"/>
  <c r="H664"/>
  <c r="H663"/>
  <c r="H662"/>
  <c r="J653"/>
  <c r="J652"/>
  <c r="I653"/>
  <c r="I652"/>
  <c r="H653"/>
  <c r="H652"/>
  <c r="K650"/>
  <c r="J650"/>
  <c r="J649"/>
  <c r="J648"/>
  <c r="I650"/>
  <c r="I649"/>
  <c r="I648"/>
  <c r="H650"/>
  <c r="H649"/>
  <c r="H648"/>
  <c r="K646"/>
  <c r="J646"/>
  <c r="I646"/>
  <c r="I645"/>
  <c r="I644"/>
  <c r="I643"/>
  <c r="H646"/>
  <c r="H645"/>
  <c r="H644"/>
  <c r="H643"/>
  <c r="G646"/>
  <c r="G645"/>
  <c r="G644"/>
  <c r="G643"/>
  <c r="J645"/>
  <c r="J644"/>
  <c r="J643"/>
  <c r="J642"/>
  <c r="J641"/>
  <c r="I642"/>
  <c r="I641"/>
  <c r="H642"/>
  <c r="H641"/>
  <c r="K640"/>
  <c r="J640"/>
  <c r="J639"/>
  <c r="I640"/>
  <c r="I639"/>
  <c r="I638"/>
  <c r="I637"/>
  <c r="H640"/>
  <c r="H639"/>
  <c r="K635"/>
  <c r="J635"/>
  <c r="J634"/>
  <c r="I635"/>
  <c r="I634"/>
  <c r="H635"/>
  <c r="H634"/>
  <c r="G635"/>
  <c r="G634"/>
  <c r="K633"/>
  <c r="J633"/>
  <c r="J632"/>
  <c r="I633"/>
  <c r="I632"/>
  <c r="H633"/>
  <c r="H632"/>
  <c r="G633"/>
  <c r="G632"/>
  <c r="K620"/>
  <c r="J620"/>
  <c r="J619"/>
  <c r="I620"/>
  <c r="I619"/>
  <c r="H620"/>
  <c r="H619"/>
  <c r="G620"/>
  <c r="G619"/>
  <c r="G618"/>
  <c r="K594"/>
  <c r="J594"/>
  <c r="J593"/>
  <c r="J592"/>
  <c r="I594"/>
  <c r="I593"/>
  <c r="I592"/>
  <c r="H594"/>
  <c r="H593"/>
  <c r="H592"/>
  <c r="G594"/>
  <c r="G593"/>
  <c r="G592"/>
  <c r="K582"/>
  <c r="J582"/>
  <c r="J581"/>
  <c r="J580"/>
  <c r="I582"/>
  <c r="I581"/>
  <c r="I580"/>
  <c r="H582"/>
  <c r="H581"/>
  <c r="H580"/>
  <c r="K571"/>
  <c r="J571"/>
  <c r="J570"/>
  <c r="J569"/>
  <c r="I571"/>
  <c r="I570"/>
  <c r="I569"/>
  <c r="H571"/>
  <c r="H570"/>
  <c r="H569"/>
  <c r="G571"/>
  <c r="G570"/>
  <c r="G569"/>
  <c r="K562"/>
  <c r="J562"/>
  <c r="J561"/>
  <c r="J560"/>
  <c r="I562"/>
  <c r="I561"/>
  <c r="I560"/>
  <c r="H562"/>
  <c r="H561"/>
  <c r="H560"/>
  <c r="K550"/>
  <c r="M550"/>
  <c r="J550"/>
  <c r="J549"/>
  <c r="J548"/>
  <c r="J547"/>
  <c r="I550"/>
  <c r="I549"/>
  <c r="I548"/>
  <c r="I547"/>
  <c r="H550"/>
  <c r="H549"/>
  <c r="H548"/>
  <c r="H547"/>
  <c r="K522"/>
  <c r="J522"/>
  <c r="J521"/>
  <c r="I522"/>
  <c r="I521"/>
  <c r="H522"/>
  <c r="H521"/>
  <c r="G522"/>
  <c r="G521"/>
  <c r="K519"/>
  <c r="J519"/>
  <c r="J518"/>
  <c r="I519"/>
  <c r="I518"/>
  <c r="H519"/>
  <c r="H518"/>
  <c r="G519"/>
  <c r="G518"/>
  <c r="K516"/>
  <c r="J516"/>
  <c r="J515"/>
  <c r="I516"/>
  <c r="I515"/>
  <c r="H516"/>
  <c r="H515"/>
  <c r="G516"/>
  <c r="G515"/>
  <c r="K509"/>
  <c r="J509"/>
  <c r="J508"/>
  <c r="J507"/>
  <c r="I509"/>
  <c r="I508"/>
  <c r="I507"/>
  <c r="H509"/>
  <c r="H508"/>
  <c r="H507"/>
  <c r="G509"/>
  <c r="G508"/>
  <c r="G507"/>
  <c r="K506"/>
  <c r="J506"/>
  <c r="J505"/>
  <c r="J504"/>
  <c r="I506"/>
  <c r="I505"/>
  <c r="I504"/>
  <c r="H506"/>
  <c r="H505"/>
  <c r="H504"/>
  <c r="G506"/>
  <c r="G505"/>
  <c r="G504"/>
  <c r="K500"/>
  <c r="J500"/>
  <c r="J499"/>
  <c r="J498"/>
  <c r="I500"/>
  <c r="I499"/>
  <c r="I498"/>
  <c r="H500"/>
  <c r="H499"/>
  <c r="H498"/>
  <c r="K494"/>
  <c r="J494"/>
  <c r="J493"/>
  <c r="J492"/>
  <c r="I494"/>
  <c r="I493"/>
  <c r="I492"/>
  <c r="H494"/>
  <c r="H493"/>
  <c r="H492"/>
  <c r="G494"/>
  <c r="G493"/>
  <c r="G492"/>
  <c r="K491"/>
  <c r="K487"/>
  <c r="J487"/>
  <c r="J486"/>
  <c r="I487"/>
  <c r="I486"/>
  <c r="H487"/>
  <c r="H486"/>
  <c r="G487"/>
  <c r="G486"/>
  <c r="K484"/>
  <c r="J484"/>
  <c r="J483"/>
  <c r="J482"/>
  <c r="I484"/>
  <c r="I483"/>
  <c r="I482"/>
  <c r="H484"/>
  <c r="H483"/>
  <c r="H482"/>
  <c r="G484"/>
  <c r="G483"/>
  <c r="G482"/>
  <c r="K480"/>
  <c r="J480"/>
  <c r="J479"/>
  <c r="I480"/>
  <c r="I479"/>
  <c r="H480"/>
  <c r="H479"/>
  <c r="G480"/>
  <c r="G479"/>
  <c r="K477"/>
  <c r="J477"/>
  <c r="I477"/>
  <c r="I476"/>
  <c r="I475"/>
  <c r="H477"/>
  <c r="H476"/>
  <c r="H475"/>
  <c r="G477"/>
  <c r="G476"/>
  <c r="G475"/>
  <c r="J476"/>
  <c r="J475"/>
  <c r="K473"/>
  <c r="J473"/>
  <c r="J472"/>
  <c r="J471"/>
  <c r="J470"/>
  <c r="I473"/>
  <c r="I472"/>
  <c r="I471"/>
  <c r="I470"/>
  <c r="H473"/>
  <c r="H472"/>
  <c r="H471"/>
  <c r="H470"/>
  <c r="K466"/>
  <c r="J466"/>
  <c r="J465"/>
  <c r="I466"/>
  <c r="I465"/>
  <c r="H466"/>
  <c r="H465"/>
  <c r="G466"/>
  <c r="G465"/>
  <c r="K441"/>
  <c r="J441"/>
  <c r="J440"/>
  <c r="J439"/>
  <c r="I441"/>
  <c r="I440"/>
  <c r="I439"/>
  <c r="H441"/>
  <c r="H440"/>
  <c r="H439"/>
  <c r="G441"/>
  <c r="G440"/>
  <c r="G439"/>
  <c r="K438"/>
  <c r="J438"/>
  <c r="J437"/>
  <c r="J436"/>
  <c r="I438"/>
  <c r="I437"/>
  <c r="I436"/>
  <c r="H438"/>
  <c r="H437"/>
  <c r="H436"/>
  <c r="K431"/>
  <c r="J431"/>
  <c r="J430"/>
  <c r="I431"/>
  <c r="I430"/>
  <c r="H431"/>
  <c r="H430"/>
  <c r="G431"/>
  <c r="G430"/>
  <c r="K428"/>
  <c r="M428"/>
  <c r="J428"/>
  <c r="J427"/>
  <c r="J426"/>
  <c r="J425"/>
  <c r="I428"/>
  <c r="I427"/>
  <c r="I426"/>
  <c r="I425"/>
  <c r="H428"/>
  <c r="H427"/>
  <c r="H426"/>
  <c r="H425"/>
  <c r="K421"/>
  <c r="J421"/>
  <c r="J420"/>
  <c r="I421"/>
  <c r="I420"/>
  <c r="H421"/>
  <c r="H420"/>
  <c r="K419"/>
  <c r="J419"/>
  <c r="J418"/>
  <c r="I419"/>
  <c r="I418"/>
  <c r="H419"/>
  <c r="H418"/>
  <c r="K416"/>
  <c r="J416"/>
  <c r="J415"/>
  <c r="J414"/>
  <c r="I416"/>
  <c r="I415"/>
  <c r="I414"/>
  <c r="G416"/>
  <c r="G415"/>
  <c r="G414"/>
  <c r="K410"/>
  <c r="G410"/>
  <c r="G409"/>
  <c r="J408"/>
  <c r="J407"/>
  <c r="I408"/>
  <c r="I407"/>
  <c r="H408"/>
  <c r="H407"/>
  <c r="K399"/>
  <c r="J399"/>
  <c r="J398"/>
  <c r="J397"/>
  <c r="I399"/>
  <c r="I398"/>
  <c r="I397"/>
  <c r="H399"/>
  <c r="H398"/>
  <c r="H397"/>
  <c r="G399"/>
  <c r="G398"/>
  <c r="G397"/>
  <c r="K395"/>
  <c r="J395"/>
  <c r="J394"/>
  <c r="J393"/>
  <c r="I395"/>
  <c r="I394"/>
  <c r="I393"/>
  <c r="H395"/>
  <c r="H394"/>
  <c r="H393"/>
  <c r="G395"/>
  <c r="G394"/>
  <c r="G393"/>
  <c r="K392"/>
  <c r="J392"/>
  <c r="J391"/>
  <c r="J390"/>
  <c r="I392"/>
  <c r="I391"/>
  <c r="I390"/>
  <c r="H392"/>
  <c r="H391"/>
  <c r="H390"/>
  <c r="G392"/>
  <c r="G391"/>
  <c r="G390"/>
  <c r="K389"/>
  <c r="J389"/>
  <c r="J388"/>
  <c r="J387"/>
  <c r="I389"/>
  <c r="I388"/>
  <c r="I387"/>
  <c r="H389"/>
  <c r="H388"/>
  <c r="H387"/>
  <c r="G389"/>
  <c r="G388"/>
  <c r="G387"/>
  <c r="K386"/>
  <c r="J386"/>
  <c r="J385"/>
  <c r="J384"/>
  <c r="I386"/>
  <c r="I385"/>
  <c r="I384"/>
  <c r="H386"/>
  <c r="H385"/>
  <c r="H384"/>
  <c r="K381"/>
  <c r="J381"/>
  <c r="J380"/>
  <c r="J379"/>
  <c r="J378"/>
  <c r="I381"/>
  <c r="I380"/>
  <c r="I379"/>
  <c r="I378"/>
  <c r="H381"/>
  <c r="H380"/>
  <c r="H379"/>
  <c r="H378"/>
  <c r="G381"/>
  <c r="G380"/>
  <c r="G379"/>
  <c r="G378"/>
  <c r="K376"/>
  <c r="J376"/>
  <c r="J375"/>
  <c r="I376"/>
  <c r="I375"/>
  <c r="H376"/>
  <c r="H375"/>
  <c r="G376"/>
  <c r="G375"/>
  <c r="J374"/>
  <c r="J373"/>
  <c r="J372"/>
  <c r="I374"/>
  <c r="I373"/>
  <c r="I372"/>
  <c r="H374"/>
  <c r="H373"/>
  <c r="H372"/>
  <c r="G374"/>
  <c r="G373"/>
  <c r="G372"/>
  <c r="K371"/>
  <c r="J371"/>
  <c r="J370"/>
  <c r="J369"/>
  <c r="I371"/>
  <c r="I370"/>
  <c r="I369"/>
  <c r="H371"/>
  <c r="H370"/>
  <c r="H369"/>
  <c r="G371"/>
  <c r="G370"/>
  <c r="G369"/>
  <c r="K368"/>
  <c r="J368"/>
  <c r="J367"/>
  <c r="I368"/>
  <c r="I367"/>
  <c r="H368"/>
  <c r="H367"/>
  <c r="G368"/>
  <c r="G367"/>
  <c r="J366"/>
  <c r="J365"/>
  <c r="I366"/>
  <c r="I365"/>
  <c r="H366"/>
  <c r="H365"/>
  <c r="G359"/>
  <c r="G358"/>
  <c r="G357"/>
  <c r="K354"/>
  <c r="J354"/>
  <c r="J353"/>
  <c r="J352"/>
  <c r="I354"/>
  <c r="I353"/>
  <c r="I352"/>
  <c r="H354"/>
  <c r="H353"/>
  <c r="H352"/>
  <c r="G354"/>
  <c r="G353"/>
  <c r="G352"/>
  <c r="K351"/>
  <c r="J351"/>
  <c r="J350"/>
  <c r="J349"/>
  <c r="I351"/>
  <c r="I350"/>
  <c r="I349"/>
  <c r="H351"/>
  <c r="H350"/>
  <c r="H349"/>
  <c r="G351"/>
  <c r="G350"/>
  <c r="G349"/>
  <c r="K344"/>
  <c r="J344"/>
  <c r="J343"/>
  <c r="I344"/>
  <c r="I343"/>
  <c r="H344"/>
  <c r="H343"/>
  <c r="G344"/>
  <c r="G343"/>
  <c r="K339"/>
  <c r="J339"/>
  <c r="J337"/>
  <c r="I339"/>
  <c r="I337"/>
  <c r="H339"/>
  <c r="H337"/>
  <c r="G339"/>
  <c r="G337"/>
  <c r="K336"/>
  <c r="J336"/>
  <c r="J335"/>
  <c r="I336"/>
  <c r="I335"/>
  <c r="H336"/>
  <c r="H335"/>
  <c r="K332"/>
  <c r="J332"/>
  <c r="J331"/>
  <c r="J330"/>
  <c r="I332"/>
  <c r="I331"/>
  <c r="I330"/>
  <c r="H332"/>
  <c r="H331"/>
  <c r="H330"/>
  <c r="G332"/>
  <c r="G331"/>
  <c r="G330"/>
  <c r="K329"/>
  <c r="J329"/>
  <c r="J328"/>
  <c r="J327"/>
  <c r="I329"/>
  <c r="I328"/>
  <c r="I327"/>
  <c r="H329"/>
  <c r="H328"/>
  <c r="H327"/>
  <c r="G329"/>
  <c r="G328"/>
  <c r="G327"/>
  <c r="K326"/>
  <c r="J326"/>
  <c r="J325"/>
  <c r="J324"/>
  <c r="I326"/>
  <c r="I325"/>
  <c r="I324"/>
  <c r="H326"/>
  <c r="H325"/>
  <c r="H324"/>
  <c r="K321"/>
  <c r="J321"/>
  <c r="J320"/>
  <c r="J319"/>
  <c r="I321"/>
  <c r="I320"/>
  <c r="I319"/>
  <c r="H321"/>
  <c r="H320"/>
  <c r="H319"/>
  <c r="K317"/>
  <c r="J317"/>
  <c r="J316"/>
  <c r="I317"/>
  <c r="I316"/>
  <c r="H317"/>
  <c r="H316"/>
  <c r="G317"/>
  <c r="G316"/>
  <c r="K312"/>
  <c r="K307"/>
  <c r="H307"/>
  <c r="H306"/>
  <c r="H305"/>
  <c r="K304"/>
  <c r="H304"/>
  <c r="H303"/>
  <c r="H302"/>
  <c r="K301"/>
  <c r="J301"/>
  <c r="J300"/>
  <c r="J299"/>
  <c r="I301"/>
  <c r="I300"/>
  <c r="I299"/>
  <c r="H301"/>
  <c r="H300"/>
  <c r="H299"/>
  <c r="G301"/>
  <c r="G300"/>
  <c r="G299"/>
  <c r="K297"/>
  <c r="J297"/>
  <c r="J296"/>
  <c r="I297"/>
  <c r="I296"/>
  <c r="H297"/>
  <c r="H296"/>
  <c r="G297"/>
  <c r="G296"/>
  <c r="K291"/>
  <c r="J291"/>
  <c r="J290"/>
  <c r="J289"/>
  <c r="I291"/>
  <c r="I290"/>
  <c r="I289"/>
  <c r="H291"/>
  <c r="H290"/>
  <c r="H289"/>
  <c r="G291"/>
  <c r="G290"/>
  <c r="G289"/>
  <c r="K285"/>
  <c r="H285"/>
  <c r="H284"/>
  <c r="H283"/>
  <c r="K282"/>
  <c r="J282"/>
  <c r="J281"/>
  <c r="I282"/>
  <c r="I281"/>
  <c r="H282"/>
  <c r="H281"/>
  <c r="K280"/>
  <c r="J280"/>
  <c r="J279"/>
  <c r="I280"/>
  <c r="I279"/>
  <c r="H280"/>
  <c r="H279"/>
  <c r="G280"/>
  <c r="G279"/>
  <c r="K268"/>
  <c r="J268"/>
  <c r="J267"/>
  <c r="J266"/>
  <c r="I268"/>
  <c r="I267"/>
  <c r="I266"/>
  <c r="H268"/>
  <c r="H267"/>
  <c r="H266"/>
  <c r="G268"/>
  <c r="G267"/>
  <c r="G266"/>
  <c r="K251"/>
  <c r="J251"/>
  <c r="J250"/>
  <c r="J249"/>
  <c r="J248"/>
  <c r="J247"/>
  <c r="J246"/>
  <c r="H25" i="2"/>
  <c r="I251" i="3"/>
  <c r="I250"/>
  <c r="I249"/>
  <c r="I248"/>
  <c r="I247"/>
  <c r="I246"/>
  <c r="G25" i="2"/>
  <c r="H251" i="3"/>
  <c r="H250"/>
  <c r="H249"/>
  <c r="H248"/>
  <c r="H247"/>
  <c r="H246"/>
  <c r="F25" i="2"/>
  <c r="G251" i="3"/>
  <c r="G250"/>
  <c r="G249"/>
  <c r="G248"/>
  <c r="G247"/>
  <c r="G246"/>
  <c r="E25" i="2"/>
  <c r="K228" i="3"/>
  <c r="H228"/>
  <c r="H227"/>
  <c r="H226"/>
  <c r="G228"/>
  <c r="G227"/>
  <c r="G226"/>
  <c r="H225"/>
  <c r="H224"/>
  <c r="J223"/>
  <c r="J222"/>
  <c r="I223"/>
  <c r="I222"/>
  <c r="H223"/>
  <c r="H222"/>
  <c r="K203"/>
  <c r="J203"/>
  <c r="J202"/>
  <c r="I203"/>
  <c r="I202"/>
  <c r="H203"/>
  <c r="H202"/>
  <c r="G203"/>
  <c r="G202"/>
  <c r="K201"/>
  <c r="K199"/>
  <c r="J199"/>
  <c r="J198"/>
  <c r="I199"/>
  <c r="I198"/>
  <c r="H199"/>
  <c r="H198"/>
  <c r="K195"/>
  <c r="M195"/>
  <c r="J195"/>
  <c r="I195"/>
  <c r="H195"/>
  <c r="G195"/>
  <c r="K194"/>
  <c r="M194"/>
  <c r="J194"/>
  <c r="I194"/>
  <c r="H194"/>
  <c r="G194"/>
  <c r="J191"/>
  <c r="J190"/>
  <c r="I191"/>
  <c r="I190"/>
  <c r="H191"/>
  <c r="H190"/>
  <c r="K189"/>
  <c r="J189"/>
  <c r="J188"/>
  <c r="I189"/>
  <c r="I188"/>
  <c r="H189"/>
  <c r="H188"/>
  <c r="J186"/>
  <c r="J185"/>
  <c r="I186"/>
  <c r="I185"/>
  <c r="H186"/>
  <c r="H185"/>
  <c r="J184"/>
  <c r="J183"/>
  <c r="I184"/>
  <c r="I183"/>
  <c r="H184"/>
  <c r="H183"/>
  <c r="K181"/>
  <c r="J181"/>
  <c r="J180"/>
  <c r="J179"/>
  <c r="I181"/>
  <c r="I180"/>
  <c r="I179"/>
  <c r="H181"/>
  <c r="H180"/>
  <c r="H179"/>
  <c r="G181"/>
  <c r="G180"/>
  <c r="G179"/>
  <c r="K178"/>
  <c r="M178"/>
  <c r="J178"/>
  <c r="J177"/>
  <c r="J176"/>
  <c r="I178"/>
  <c r="I177"/>
  <c r="I176"/>
  <c r="H178"/>
  <c r="H177"/>
  <c r="H176"/>
  <c r="K174"/>
  <c r="J174"/>
  <c r="J173"/>
  <c r="I174"/>
  <c r="I173"/>
  <c r="H174"/>
  <c r="H173"/>
  <c r="G174"/>
  <c r="G173"/>
  <c r="K167"/>
  <c r="J167"/>
  <c r="J166"/>
  <c r="J165"/>
  <c r="I167"/>
  <c r="I166"/>
  <c r="I165"/>
  <c r="H167"/>
  <c r="H166"/>
  <c r="H165"/>
  <c r="G167"/>
  <c r="G166"/>
  <c r="G165"/>
  <c r="K161"/>
  <c r="J161"/>
  <c r="J160"/>
  <c r="J159"/>
  <c r="I161"/>
  <c r="I160"/>
  <c r="I159"/>
  <c r="H161"/>
  <c r="H160"/>
  <c r="H159"/>
  <c r="G161"/>
  <c r="G160"/>
  <c r="G159"/>
  <c r="K158"/>
  <c r="J158"/>
  <c r="J157"/>
  <c r="J156"/>
  <c r="I158"/>
  <c r="I157"/>
  <c r="I156"/>
  <c r="H158"/>
  <c r="H157"/>
  <c r="H156"/>
  <c r="G158"/>
  <c r="G157"/>
  <c r="G156"/>
  <c r="K153"/>
  <c r="J153"/>
  <c r="J152"/>
  <c r="J151"/>
  <c r="I153"/>
  <c r="I152"/>
  <c r="I151"/>
  <c r="H153"/>
  <c r="H152"/>
  <c r="H151"/>
  <c r="G153"/>
  <c r="G152"/>
  <c r="G151"/>
  <c r="K149"/>
  <c r="M149"/>
  <c r="J149"/>
  <c r="I149"/>
  <c r="H149"/>
  <c r="G149"/>
  <c r="K147"/>
  <c r="M147"/>
  <c r="J147"/>
  <c r="I147"/>
  <c r="H147"/>
  <c r="G147"/>
  <c r="K135"/>
  <c r="J136"/>
  <c r="J135"/>
  <c r="J134"/>
  <c r="I136"/>
  <c r="I135"/>
  <c r="I134"/>
  <c r="H136"/>
  <c r="H135"/>
  <c r="H134"/>
  <c r="G136"/>
  <c r="G135"/>
  <c r="G134"/>
  <c r="K129"/>
  <c r="J130"/>
  <c r="J129"/>
  <c r="J128"/>
  <c r="J127"/>
  <c r="I130"/>
  <c r="I129"/>
  <c r="I128"/>
  <c r="I127"/>
  <c r="H130"/>
  <c r="H129"/>
  <c r="H128"/>
  <c r="H127"/>
  <c r="G130"/>
  <c r="G129"/>
  <c r="G128"/>
  <c r="G127"/>
  <c r="K110"/>
  <c r="J110"/>
  <c r="J109"/>
  <c r="J108"/>
  <c r="J107"/>
  <c r="I110"/>
  <c r="I109"/>
  <c r="I108"/>
  <c r="I107"/>
  <c r="H110"/>
  <c r="H109"/>
  <c r="H108"/>
  <c r="H107"/>
  <c r="K106"/>
  <c r="J106"/>
  <c r="J105"/>
  <c r="J104"/>
  <c r="J103"/>
  <c r="I106"/>
  <c r="I105"/>
  <c r="I104"/>
  <c r="I103"/>
  <c r="H106"/>
  <c r="H105"/>
  <c r="H104"/>
  <c r="H103"/>
  <c r="G106"/>
  <c r="G105"/>
  <c r="G104"/>
  <c r="G103"/>
  <c r="K102"/>
  <c r="J102"/>
  <c r="J101"/>
  <c r="J100"/>
  <c r="J99"/>
  <c r="I102"/>
  <c r="I101"/>
  <c r="I100"/>
  <c r="I99"/>
  <c r="H102"/>
  <c r="H101"/>
  <c r="H100"/>
  <c r="H99"/>
  <c r="G102"/>
  <c r="G101"/>
  <c r="G100"/>
  <c r="G99"/>
  <c r="K97"/>
  <c r="J98"/>
  <c r="J97"/>
  <c r="J96"/>
  <c r="J95"/>
  <c r="I98"/>
  <c r="I97"/>
  <c r="I96"/>
  <c r="I95"/>
  <c r="H98"/>
  <c r="H97"/>
  <c r="H96"/>
  <c r="H95"/>
  <c r="G98"/>
  <c r="G97"/>
  <c r="G96"/>
  <c r="G95"/>
  <c r="K93"/>
  <c r="J93"/>
  <c r="J92"/>
  <c r="J91"/>
  <c r="I93"/>
  <c r="I92"/>
  <c r="I91"/>
  <c r="H93"/>
  <c r="H92"/>
  <c r="H91"/>
  <c r="G93"/>
  <c r="G92"/>
  <c r="G91"/>
  <c r="K90"/>
  <c r="J90"/>
  <c r="J89"/>
  <c r="J88"/>
  <c r="I90"/>
  <c r="I89"/>
  <c r="I88"/>
  <c r="H90"/>
  <c r="H89"/>
  <c r="H88"/>
  <c r="G90"/>
  <c r="G89"/>
  <c r="G88"/>
  <c r="K85"/>
  <c r="J85"/>
  <c r="J84"/>
  <c r="I85"/>
  <c r="I84"/>
  <c r="H85"/>
  <c r="H84"/>
  <c r="G85"/>
  <c r="G84"/>
  <c r="J78"/>
  <c r="J77"/>
  <c r="I78"/>
  <c r="I77"/>
  <c r="H78"/>
  <c r="H77"/>
  <c r="K72"/>
  <c r="M72"/>
  <c r="J72"/>
  <c r="I72"/>
  <c r="H72"/>
  <c r="G72"/>
  <c r="K70"/>
  <c r="M70"/>
  <c r="J70"/>
  <c r="I70"/>
  <c r="H70"/>
  <c r="G70"/>
  <c r="K65"/>
  <c r="J65"/>
  <c r="J64"/>
  <c r="I65"/>
  <c r="I64"/>
  <c r="H65"/>
  <c r="H64"/>
  <c r="G65"/>
  <c r="G64"/>
  <c r="K63"/>
  <c r="G63"/>
  <c r="G62"/>
  <c r="H61"/>
  <c r="H60"/>
  <c r="K55"/>
  <c r="J55"/>
  <c r="J54"/>
  <c r="I55"/>
  <c r="I54"/>
  <c r="H55"/>
  <c r="H54"/>
  <c r="J53"/>
  <c r="J52"/>
  <c r="I53"/>
  <c r="I52"/>
  <c r="H53"/>
  <c r="H52"/>
  <c r="K44"/>
  <c r="H44"/>
  <c r="H43"/>
  <c r="H42"/>
  <c r="H41"/>
  <c r="G44"/>
  <c r="G43"/>
  <c r="G42"/>
  <c r="G41"/>
  <c r="H36"/>
  <c r="H35"/>
  <c r="K29"/>
  <c r="M29"/>
  <c r="J29"/>
  <c r="I29"/>
  <c r="H29"/>
  <c r="G29"/>
  <c r="K28"/>
  <c r="J28"/>
  <c r="J27"/>
  <c r="I28"/>
  <c r="I27"/>
  <c r="H28"/>
  <c r="H27"/>
  <c r="G28"/>
  <c r="G27"/>
  <c r="K26"/>
  <c r="J26"/>
  <c r="J25"/>
  <c r="I26"/>
  <c r="I25"/>
  <c r="H26"/>
  <c r="H25"/>
  <c r="G26"/>
  <c r="G25"/>
  <c r="G19"/>
  <c r="K18"/>
  <c r="J18"/>
  <c r="J17"/>
  <c r="I18"/>
  <c r="I17"/>
  <c r="H18"/>
  <c r="H17"/>
  <c r="L47" i="5"/>
  <c r="N48"/>
  <c r="L103"/>
  <c r="N104"/>
  <c r="L115"/>
  <c r="N116"/>
  <c r="L138"/>
  <c r="N138"/>
  <c r="N139"/>
  <c r="L161"/>
  <c r="N161"/>
  <c r="N162"/>
  <c r="L215"/>
  <c r="N216"/>
  <c r="L261"/>
  <c r="N262"/>
  <c r="L353"/>
  <c r="N353"/>
  <c r="N354"/>
  <c r="L363"/>
  <c r="N364"/>
  <c r="L400"/>
  <c r="N401"/>
  <c r="L403"/>
  <c r="N404"/>
  <c r="L429"/>
  <c r="N430"/>
  <c r="L443"/>
  <c r="N444"/>
  <c r="L468"/>
  <c r="N469"/>
  <c r="L497"/>
  <c r="N498"/>
  <c r="L504"/>
  <c r="N505"/>
  <c r="L524"/>
  <c r="N525"/>
  <c r="L530"/>
  <c r="N531"/>
  <c r="L556"/>
  <c r="N556"/>
  <c r="N557"/>
  <c r="L56"/>
  <c r="N56"/>
  <c r="N57"/>
  <c r="L85"/>
  <c r="N85"/>
  <c r="N86"/>
  <c r="L125"/>
  <c r="N125"/>
  <c r="N126"/>
  <c r="L149"/>
  <c r="N149"/>
  <c r="N150"/>
  <c r="L175"/>
  <c r="N176"/>
  <c r="L181"/>
  <c r="N182"/>
  <c r="L200"/>
  <c r="N200"/>
  <c r="N201"/>
  <c r="L218"/>
  <c r="N219"/>
  <c r="L264"/>
  <c r="N265"/>
  <c r="L293"/>
  <c r="N294"/>
  <c r="L301"/>
  <c r="N302"/>
  <c r="L316"/>
  <c r="N317"/>
  <c r="L365"/>
  <c r="N365"/>
  <c r="N366"/>
  <c r="L378"/>
  <c r="N379"/>
  <c r="L405"/>
  <c r="N405"/>
  <c r="N406"/>
  <c r="L419"/>
  <c r="N420"/>
  <c r="L433"/>
  <c r="N434"/>
  <c r="L471"/>
  <c r="N472"/>
  <c r="L535"/>
  <c r="N536"/>
  <c r="L578"/>
  <c r="N579"/>
  <c r="L82"/>
  <c r="N83"/>
  <c r="L93"/>
  <c r="N94"/>
  <c r="L119"/>
  <c r="N120"/>
  <c r="L286"/>
  <c r="N287"/>
  <c r="L63"/>
  <c r="N64"/>
  <c r="L129"/>
  <c r="N129"/>
  <c r="N130"/>
  <c r="L133"/>
  <c r="N134"/>
  <c r="L153"/>
  <c r="N154"/>
  <c r="L168"/>
  <c r="N168"/>
  <c r="N166"/>
  <c r="L187"/>
  <c r="N188"/>
  <c r="L207"/>
  <c r="N207"/>
  <c r="N208"/>
  <c r="L223"/>
  <c r="N223"/>
  <c r="N224"/>
  <c r="L271"/>
  <c r="N272"/>
  <c r="L305"/>
  <c r="N306"/>
  <c r="L334"/>
  <c r="N335"/>
  <c r="L337"/>
  <c r="N338"/>
  <c r="L369"/>
  <c r="N369"/>
  <c r="N370"/>
  <c r="L380"/>
  <c r="N380"/>
  <c r="N381"/>
  <c r="L394"/>
  <c r="N395"/>
  <c r="L421"/>
  <c r="N422"/>
  <c r="L488"/>
  <c r="N488"/>
  <c r="N489"/>
  <c r="L519"/>
  <c r="N520"/>
  <c r="L527"/>
  <c r="N528"/>
  <c r="L540"/>
  <c r="N540"/>
  <c r="N541"/>
  <c r="L544"/>
  <c r="N545"/>
  <c r="L581"/>
  <c r="N582"/>
  <c r="L584"/>
  <c r="N585"/>
  <c r="L111"/>
  <c r="N112"/>
  <c r="L196"/>
  <c r="N196"/>
  <c r="N197"/>
  <c r="L311"/>
  <c r="N311"/>
  <c r="N312"/>
  <c r="L373"/>
  <c r="N373"/>
  <c r="N374"/>
  <c r="L619"/>
  <c r="N620"/>
  <c r="L30"/>
  <c r="N30"/>
  <c r="N31"/>
  <c r="L89"/>
  <c r="N90"/>
  <c r="L136"/>
  <c r="N137"/>
  <c r="L157"/>
  <c r="N158"/>
  <c r="L172"/>
  <c r="N173"/>
  <c r="L190"/>
  <c r="N191"/>
  <c r="L232"/>
  <c r="N233"/>
  <c r="L255"/>
  <c r="N255"/>
  <c r="N256"/>
  <c r="L278"/>
  <c r="N279"/>
  <c r="L307"/>
  <c r="N307"/>
  <c r="N308"/>
  <c r="L339"/>
  <c r="N339"/>
  <c r="N340"/>
  <c r="L342"/>
  <c r="N342"/>
  <c r="N343"/>
  <c r="L396"/>
  <c r="N396"/>
  <c r="N397"/>
  <c r="L425"/>
  <c r="N426"/>
  <c r="L440"/>
  <c r="N440"/>
  <c r="N441"/>
  <c r="L459"/>
  <c r="N460"/>
  <c r="L491"/>
  <c r="N492"/>
  <c r="L554"/>
  <c r="N554"/>
  <c r="N555"/>
  <c r="L594"/>
  <c r="N595"/>
  <c r="L206"/>
  <c r="N206"/>
  <c r="N209"/>
  <c r="K43" i="3"/>
  <c r="M44"/>
  <c r="K96"/>
  <c r="M97"/>
  <c r="K157"/>
  <c r="M158"/>
  <c r="K180"/>
  <c r="M181"/>
  <c r="K200"/>
  <c r="M200"/>
  <c r="M201"/>
  <c r="K227"/>
  <c r="M228"/>
  <c r="K300"/>
  <c r="M301"/>
  <c r="K335"/>
  <c r="M335"/>
  <c r="M336"/>
  <c r="K385"/>
  <c r="M386"/>
  <c r="K398"/>
  <c r="M399"/>
  <c r="K465"/>
  <c r="M465"/>
  <c r="M466"/>
  <c r="K472"/>
  <c r="M473"/>
  <c r="K483"/>
  <c r="M484"/>
  <c r="K505"/>
  <c r="M506"/>
  <c r="K561"/>
  <c r="M562"/>
  <c r="K632"/>
  <c r="M632"/>
  <c r="M633"/>
  <c r="K668"/>
  <c r="M668"/>
  <c r="M669"/>
  <c r="K776"/>
  <c r="M776"/>
  <c r="M777"/>
  <c r="K816"/>
  <c r="M817"/>
  <c r="K835"/>
  <c r="M836"/>
  <c r="K839"/>
  <c r="M840"/>
  <c r="K945"/>
  <c r="M945"/>
  <c r="M946"/>
  <c r="K341"/>
  <c r="M342"/>
  <c r="K502"/>
  <c r="M503"/>
  <c r="K84"/>
  <c r="M84"/>
  <c r="M85"/>
  <c r="K101"/>
  <c r="M102"/>
  <c r="K250"/>
  <c r="M251"/>
  <c r="K284"/>
  <c r="M285"/>
  <c r="K311"/>
  <c r="M312"/>
  <c r="K337"/>
  <c r="M337"/>
  <c r="M339"/>
  <c r="K388"/>
  <c r="M389"/>
  <c r="K409"/>
  <c r="M409"/>
  <c r="M410"/>
  <c r="K418"/>
  <c r="M418"/>
  <c r="M419"/>
  <c r="K420"/>
  <c r="M420"/>
  <c r="M421"/>
  <c r="K486"/>
  <c r="M486"/>
  <c r="M487"/>
  <c r="K508"/>
  <c r="M509"/>
  <c r="K671"/>
  <c r="M671"/>
  <c r="M672"/>
  <c r="K699"/>
  <c r="M699"/>
  <c r="M700"/>
  <c r="K778"/>
  <c r="M778"/>
  <c r="M779"/>
  <c r="K795"/>
  <c r="M795"/>
  <c r="M796"/>
  <c r="K924"/>
  <c r="M924"/>
  <c r="M925"/>
  <c r="K599"/>
  <c r="M600"/>
  <c r="K218"/>
  <c r="M218"/>
  <c r="M219"/>
  <c r="K25"/>
  <c r="M25"/>
  <c r="M26"/>
  <c r="K62"/>
  <c r="M62"/>
  <c r="M63"/>
  <c r="K89"/>
  <c r="M90"/>
  <c r="K105"/>
  <c r="M106"/>
  <c r="K109"/>
  <c r="M110"/>
  <c r="K166"/>
  <c r="M167"/>
  <c r="K188"/>
  <c r="M188"/>
  <c r="M189"/>
  <c r="K267"/>
  <c r="M268"/>
  <c r="K290"/>
  <c r="M291"/>
  <c r="K303"/>
  <c r="M304"/>
  <c r="K316"/>
  <c r="M316"/>
  <c r="M317"/>
  <c r="K320"/>
  <c r="M321"/>
  <c r="K325"/>
  <c r="M326"/>
  <c r="K343"/>
  <c r="M343"/>
  <c r="M344"/>
  <c r="K370"/>
  <c r="M371"/>
  <c r="K391"/>
  <c r="M392"/>
  <c r="K430"/>
  <c r="M430"/>
  <c r="M431"/>
  <c r="K437"/>
  <c r="M438"/>
  <c r="K476"/>
  <c r="M477"/>
  <c r="K490"/>
  <c r="M491"/>
  <c r="K515"/>
  <c r="M515"/>
  <c r="M516"/>
  <c r="K593"/>
  <c r="M594"/>
  <c r="K645"/>
  <c r="M646"/>
  <c r="K649"/>
  <c r="M650"/>
  <c r="K666"/>
  <c r="M667"/>
  <c r="K674"/>
  <c r="M674"/>
  <c r="M675"/>
  <c r="K701"/>
  <c r="M701"/>
  <c r="M702"/>
  <c r="K713"/>
  <c r="M714"/>
  <c r="K763"/>
  <c r="M764"/>
  <c r="K806"/>
  <c r="K805"/>
  <c r="M805"/>
  <c r="M807"/>
  <c r="K828"/>
  <c r="M828"/>
  <c r="M829"/>
  <c r="K848"/>
  <c r="M848"/>
  <c r="M849"/>
  <c r="K893"/>
  <c r="M894"/>
  <c r="K930"/>
  <c r="M930"/>
  <c r="M931"/>
  <c r="K401"/>
  <c r="M402"/>
  <c r="K443"/>
  <c r="M444"/>
  <c r="K449"/>
  <c r="M450"/>
  <c r="K511"/>
  <c r="M512"/>
  <c r="K602"/>
  <c r="M603"/>
  <c r="K684"/>
  <c r="M685"/>
  <c r="K17"/>
  <c r="M17"/>
  <c r="M18"/>
  <c r="K134"/>
  <c r="M134"/>
  <c r="M135"/>
  <c r="K306"/>
  <c r="M307"/>
  <c r="K331"/>
  <c r="M332"/>
  <c r="K353"/>
  <c r="M354"/>
  <c r="K380"/>
  <c r="M381"/>
  <c r="K521"/>
  <c r="M521"/>
  <c r="M522"/>
  <c r="K707"/>
  <c r="M707"/>
  <c r="M708"/>
  <c r="K753"/>
  <c r="M754"/>
  <c r="K785"/>
  <c r="M786"/>
  <c r="K917"/>
  <c r="M917"/>
  <c r="M918"/>
  <c r="K19"/>
  <c r="M19"/>
  <c r="M20"/>
  <c r="K434"/>
  <c r="M435"/>
  <c r="K556"/>
  <c r="M557"/>
  <c r="K596"/>
  <c r="M597"/>
  <c r="K690"/>
  <c r="M691"/>
  <c r="K896"/>
  <c r="M897"/>
  <c r="K899"/>
  <c r="M900"/>
  <c r="K160"/>
  <c r="M161"/>
  <c r="K202"/>
  <c r="M202"/>
  <c r="M203"/>
  <c r="K367"/>
  <c r="M367"/>
  <c r="M368"/>
  <c r="K415"/>
  <c r="M416"/>
  <c r="K570"/>
  <c r="M571"/>
  <c r="K581"/>
  <c r="M582"/>
  <c r="K634"/>
  <c r="M634"/>
  <c r="M635"/>
  <c r="K639"/>
  <c r="M639"/>
  <c r="M640"/>
  <c r="K710"/>
  <c r="M710"/>
  <c r="M711"/>
  <c r="K756"/>
  <c r="M757"/>
  <c r="K759"/>
  <c r="M760"/>
  <c r="K768"/>
  <c r="M768"/>
  <c r="M769"/>
  <c r="K902"/>
  <c r="M903"/>
  <c r="K27"/>
  <c r="M27"/>
  <c r="M28"/>
  <c r="K54"/>
  <c r="M54"/>
  <c r="M55"/>
  <c r="K64"/>
  <c r="M64"/>
  <c r="M65"/>
  <c r="K92"/>
  <c r="M93"/>
  <c r="K128"/>
  <c r="M128"/>
  <c r="M129"/>
  <c r="K152"/>
  <c r="M153"/>
  <c r="K173"/>
  <c r="M173"/>
  <c r="M174"/>
  <c r="K198"/>
  <c r="M198"/>
  <c r="M199"/>
  <c r="K279"/>
  <c r="M279"/>
  <c r="M280"/>
  <c r="K281"/>
  <c r="M281"/>
  <c r="M282"/>
  <c r="K296"/>
  <c r="M296"/>
  <c r="M297"/>
  <c r="K328"/>
  <c r="M329"/>
  <c r="K350"/>
  <c r="M351"/>
  <c r="K375"/>
  <c r="M375"/>
  <c r="M376"/>
  <c r="K394"/>
  <c r="M395"/>
  <c r="K440"/>
  <c r="M441"/>
  <c r="K479"/>
  <c r="M479"/>
  <c r="M480"/>
  <c r="K493"/>
  <c r="M494"/>
  <c r="K499"/>
  <c r="M500"/>
  <c r="K518"/>
  <c r="M518"/>
  <c r="M519"/>
  <c r="K619"/>
  <c r="K617"/>
  <c r="M620"/>
  <c r="K678"/>
  <c r="M679"/>
  <c r="K681"/>
  <c r="M682"/>
  <c r="K694"/>
  <c r="M695"/>
  <c r="K704"/>
  <c r="M704"/>
  <c r="M705"/>
  <c r="K727"/>
  <c r="M728"/>
  <c r="K748"/>
  <c r="M749"/>
  <c r="K812"/>
  <c r="M812"/>
  <c r="M813"/>
  <c r="K854"/>
  <c r="M854"/>
  <c r="M855"/>
  <c r="K867"/>
  <c r="M868"/>
  <c r="K883"/>
  <c r="M884"/>
  <c r="K911"/>
  <c r="M912"/>
  <c r="K941"/>
  <c r="M941"/>
  <c r="M942"/>
  <c r="K446"/>
  <c r="M447"/>
  <c r="K573"/>
  <c r="M574"/>
  <c r="K687"/>
  <c r="M688"/>
  <c r="K717"/>
  <c r="M718"/>
  <c r="K208"/>
  <c r="M209"/>
  <c r="K856"/>
  <c r="M856"/>
  <c r="K842"/>
  <c r="M842"/>
  <c r="K862"/>
  <c r="M862"/>
  <c r="K853"/>
  <c r="M853"/>
  <c r="K831"/>
  <c r="M831"/>
  <c r="J731"/>
  <c r="H731"/>
  <c r="J146"/>
  <c r="G767"/>
  <c r="G766"/>
  <c r="K427"/>
  <c r="J500" i="5"/>
  <c r="J506"/>
  <c r="I500"/>
  <c r="I506"/>
  <c r="K500"/>
  <c r="K506"/>
  <c r="I146" i="3"/>
  <c r="H146"/>
  <c r="G146"/>
  <c r="K146"/>
  <c r="M146"/>
  <c r="K589" i="5"/>
  <c r="K663" i="3"/>
  <c r="K549"/>
  <c r="K576"/>
  <c r="K723"/>
  <c r="I589" i="5"/>
  <c r="K177" i="3"/>
  <c r="I69"/>
  <c r="I68"/>
  <c r="I67"/>
  <c r="I66"/>
  <c r="G69"/>
  <c r="G68"/>
  <c r="G67"/>
  <c r="G66"/>
  <c r="K69"/>
  <c r="J69"/>
  <c r="J68"/>
  <c r="J67"/>
  <c r="J66"/>
  <c r="G731"/>
  <c r="K731"/>
  <c r="M731"/>
  <c r="H69"/>
  <c r="H68"/>
  <c r="H67"/>
  <c r="H66"/>
  <c r="I731"/>
  <c r="J589" i="5"/>
  <c r="K361"/>
  <c r="K360"/>
  <c r="K359"/>
  <c r="K389"/>
  <c r="L553"/>
  <c r="N553"/>
  <c r="G923" i="3"/>
  <c r="G922"/>
  <c r="J592" i="5"/>
  <c r="J591"/>
  <c r="J599"/>
  <c r="K592"/>
  <c r="K591"/>
  <c r="K599"/>
  <c r="I361"/>
  <c r="I360"/>
  <c r="I359"/>
  <c r="I389"/>
  <c r="H592"/>
  <c r="H591"/>
  <c r="J638" i="3"/>
  <c r="J637"/>
  <c r="J392" i="5"/>
  <c r="J391"/>
  <c r="J390"/>
  <c r="J414"/>
  <c r="I392"/>
  <c r="I391"/>
  <c r="I390"/>
  <c r="I414"/>
  <c r="K392"/>
  <c r="K391"/>
  <c r="K390"/>
  <c r="K414"/>
  <c r="I299"/>
  <c r="I298"/>
  <c r="I297"/>
  <c r="I324"/>
  <c r="K299"/>
  <c r="K298"/>
  <c r="K297"/>
  <c r="K324"/>
  <c r="J361"/>
  <c r="J360"/>
  <c r="J359"/>
  <c r="J389"/>
  <c r="J299"/>
  <c r="J298"/>
  <c r="J297"/>
  <c r="J324"/>
  <c r="J165"/>
  <c r="H206"/>
  <c r="H205"/>
  <c r="J206"/>
  <c r="J205"/>
  <c r="L205"/>
  <c r="K206"/>
  <c r="K205"/>
  <c r="K204"/>
  <c r="I206"/>
  <c r="I205"/>
  <c r="I204"/>
  <c r="J571"/>
  <c r="I124"/>
  <c r="I123"/>
  <c r="I122"/>
  <c r="I147"/>
  <c r="K485"/>
  <c r="K484"/>
  <c r="K483"/>
  <c r="K482"/>
  <c r="K499"/>
  <c r="H165"/>
  <c r="L165"/>
  <c r="N165"/>
  <c r="K437"/>
  <c r="I437"/>
  <c r="K553"/>
  <c r="K571"/>
  <c r="I592"/>
  <c r="I591"/>
  <c r="I599"/>
  <c r="I923" i="3"/>
  <c r="I922"/>
  <c r="J923"/>
  <c r="J922"/>
  <c r="H923"/>
  <c r="H922"/>
  <c r="H767"/>
  <c r="H766"/>
  <c r="I571" i="5"/>
  <c r="H553"/>
  <c r="J553"/>
  <c r="J485"/>
  <c r="J484"/>
  <c r="J483"/>
  <c r="J482"/>
  <c r="J499"/>
  <c r="H888" i="3"/>
  <c r="H887"/>
  <c r="H886"/>
  <c r="F48" i="2"/>
  <c r="J888" i="3"/>
  <c r="J887"/>
  <c r="J886"/>
  <c r="H48" i="2"/>
  <c r="K121" i="5"/>
  <c r="I237"/>
  <c r="I236"/>
  <c r="I235"/>
  <c r="I241"/>
  <c r="K237"/>
  <c r="K236"/>
  <c r="K235"/>
  <c r="K241"/>
  <c r="K281"/>
  <c r="K274"/>
  <c r="J274"/>
  <c r="J281"/>
  <c r="I108"/>
  <c r="I107"/>
  <c r="J108"/>
  <c r="J107"/>
  <c r="J237"/>
  <c r="J236"/>
  <c r="J235"/>
  <c r="J241"/>
  <c r="H274"/>
  <c r="H281"/>
  <c r="I165"/>
  <c r="K165"/>
  <c r="I274"/>
  <c r="I329"/>
  <c r="I328"/>
  <c r="K329"/>
  <c r="K328"/>
  <c r="H437"/>
  <c r="J437"/>
  <c r="H466"/>
  <c r="H465"/>
  <c r="H464"/>
  <c r="I485"/>
  <c r="I484"/>
  <c r="I483"/>
  <c r="I482"/>
  <c r="I499"/>
  <c r="I553"/>
  <c r="I16" i="3"/>
  <c r="I15"/>
  <c r="I14"/>
  <c r="I13"/>
  <c r="G13" i="2"/>
  <c r="I661" i="3"/>
  <c r="H661"/>
  <c r="J661"/>
  <c r="J559"/>
  <c r="J558"/>
  <c r="G396"/>
  <c r="I396"/>
  <c r="I579"/>
  <c r="I578"/>
  <c r="H559"/>
  <c r="H558"/>
  <c r="I559"/>
  <c r="I558"/>
  <c r="J579"/>
  <c r="J578"/>
  <c r="H579"/>
  <c r="H578"/>
  <c r="I187"/>
  <c r="H417"/>
  <c r="J417"/>
  <c r="J413"/>
  <c r="G631"/>
  <c r="H187"/>
  <c r="J187"/>
  <c r="I618"/>
  <c r="I617"/>
  <c r="I616"/>
  <c r="G193"/>
  <c r="G192"/>
  <c r="I193"/>
  <c r="I192"/>
  <c r="K193"/>
  <c r="H193"/>
  <c r="H192"/>
  <c r="J193"/>
  <c r="J192"/>
  <c r="H221"/>
  <c r="J278"/>
  <c r="H278"/>
  <c r="H277"/>
  <c r="H276"/>
  <c r="H275"/>
  <c r="F29" i="2"/>
  <c r="H334" i="3"/>
  <c r="H333"/>
  <c r="J334"/>
  <c r="H396"/>
  <c r="J396"/>
  <c r="I417"/>
  <c r="I413"/>
  <c r="H631"/>
  <c r="J631"/>
  <c r="H429"/>
  <c r="H424"/>
  <c r="H696"/>
  <c r="H692"/>
  <c r="J696"/>
  <c r="J692"/>
  <c r="G696"/>
  <c r="I696"/>
  <c r="I692"/>
  <c r="I631"/>
  <c r="I334"/>
  <c r="I76"/>
  <c r="I75"/>
  <c r="H638"/>
  <c r="H637"/>
  <c r="I805"/>
  <c r="J751"/>
  <c r="H751"/>
  <c r="H804"/>
  <c r="J889"/>
  <c r="G805"/>
  <c r="G782"/>
  <c r="G781"/>
  <c r="E43" i="2"/>
  <c r="H182" i="3"/>
  <c r="I889"/>
  <c r="I51"/>
  <c r="I50"/>
  <c r="G94"/>
  <c r="I94"/>
  <c r="J182"/>
  <c r="J364"/>
  <c r="J363"/>
  <c r="H364"/>
  <c r="H363"/>
  <c r="I383"/>
  <c r="G617"/>
  <c r="G616"/>
  <c r="H782"/>
  <c r="J804"/>
  <c r="I751"/>
  <c r="H75"/>
  <c r="H76"/>
  <c r="J75"/>
  <c r="J76"/>
  <c r="H24"/>
  <c r="H23"/>
  <c r="H22"/>
  <c r="H21"/>
  <c r="F14" i="2"/>
  <c r="H16" i="3"/>
  <c r="H15"/>
  <c r="H14"/>
  <c r="H13"/>
  <c r="F13" i="2"/>
  <c r="J24" i="3"/>
  <c r="J23"/>
  <c r="J22"/>
  <c r="J21"/>
  <c r="H14" i="2"/>
  <c r="H51" i="3"/>
  <c r="H50"/>
  <c r="J51"/>
  <c r="J50"/>
  <c r="I182"/>
  <c r="H383"/>
  <c r="H94"/>
  <c r="J94"/>
  <c r="I278"/>
  <c r="I323"/>
  <c r="I364"/>
  <c r="I363"/>
  <c r="J383"/>
  <c r="H617"/>
  <c r="H616"/>
  <c r="H618"/>
  <c r="J617"/>
  <c r="J616"/>
  <c r="J618"/>
  <c r="G24"/>
  <c r="G23"/>
  <c r="G22"/>
  <c r="G21"/>
  <c r="E14" i="2"/>
  <c r="I24" i="3"/>
  <c r="I23"/>
  <c r="I22"/>
  <c r="I21"/>
  <c r="G14" i="2"/>
  <c r="J16" i="3"/>
  <c r="J15"/>
  <c r="J14"/>
  <c r="J13"/>
  <c r="H13" i="2"/>
  <c r="H323" i="3"/>
  <c r="J323"/>
  <c r="G348"/>
  <c r="M716" i="4"/>
  <c r="M1098"/>
  <c r="O1098"/>
  <c r="L1098"/>
  <c r="K1098"/>
  <c r="J1098"/>
  <c r="I1098"/>
  <c r="K127" i="3"/>
  <c r="M127"/>
  <c r="L593" i="5"/>
  <c r="N594"/>
  <c r="L277"/>
  <c r="N278"/>
  <c r="L135"/>
  <c r="N136"/>
  <c r="L543"/>
  <c r="N543"/>
  <c r="N544"/>
  <c r="L526"/>
  <c r="N526"/>
  <c r="N527"/>
  <c r="L393"/>
  <c r="N394"/>
  <c r="L132"/>
  <c r="N132"/>
  <c r="N133"/>
  <c r="L118"/>
  <c r="N119"/>
  <c r="L534"/>
  <c r="N534"/>
  <c r="N535"/>
  <c r="L436"/>
  <c r="N436"/>
  <c r="N433"/>
  <c r="L300"/>
  <c r="N301"/>
  <c r="L263"/>
  <c r="N263"/>
  <c r="N264"/>
  <c r="L174"/>
  <c r="N174"/>
  <c r="N175"/>
  <c r="L529"/>
  <c r="N529"/>
  <c r="N530"/>
  <c r="L503"/>
  <c r="N504"/>
  <c r="L467"/>
  <c r="N467"/>
  <c r="N468"/>
  <c r="L432"/>
  <c r="N432"/>
  <c r="N429"/>
  <c r="L399"/>
  <c r="N399"/>
  <c r="N400"/>
  <c r="L214"/>
  <c r="N214"/>
  <c r="N215"/>
  <c r="K923" i="3"/>
  <c r="K847"/>
  <c r="M847"/>
  <c r="M715" i="4"/>
  <c r="O715"/>
  <c r="O716"/>
  <c r="L204" i="5"/>
  <c r="N204"/>
  <c r="N205"/>
  <c r="L490"/>
  <c r="N490"/>
  <c r="N491"/>
  <c r="L231"/>
  <c r="N232"/>
  <c r="L171"/>
  <c r="N172"/>
  <c r="L583"/>
  <c r="N583"/>
  <c r="N584"/>
  <c r="L333"/>
  <c r="N334"/>
  <c r="L270"/>
  <c r="N271"/>
  <c r="L62"/>
  <c r="N63"/>
  <c r="L81"/>
  <c r="N81"/>
  <c r="N82"/>
  <c r="L102"/>
  <c r="N103"/>
  <c r="L437"/>
  <c r="N437"/>
  <c r="K767" i="3"/>
  <c r="L458" i="5"/>
  <c r="N459"/>
  <c r="L428"/>
  <c r="N428"/>
  <c r="N425"/>
  <c r="L189"/>
  <c r="N189"/>
  <c r="N190"/>
  <c r="L160"/>
  <c r="N160"/>
  <c r="N157"/>
  <c r="L92"/>
  <c r="N92"/>
  <c r="N89"/>
  <c r="L618"/>
  <c r="N619"/>
  <c r="L110"/>
  <c r="N111"/>
  <c r="L580"/>
  <c r="N580"/>
  <c r="N581"/>
  <c r="L522"/>
  <c r="N522"/>
  <c r="N519"/>
  <c r="L424"/>
  <c r="N424"/>
  <c r="N421"/>
  <c r="L336"/>
  <c r="N336"/>
  <c r="N337"/>
  <c r="L304"/>
  <c r="N305"/>
  <c r="L186"/>
  <c r="N186"/>
  <c r="N187"/>
  <c r="L156"/>
  <c r="N156"/>
  <c r="N153"/>
  <c r="L285"/>
  <c r="N286"/>
  <c r="L98"/>
  <c r="N98"/>
  <c r="N93"/>
  <c r="L575"/>
  <c r="N578"/>
  <c r="L470"/>
  <c r="N470"/>
  <c r="N471"/>
  <c r="L418"/>
  <c r="N418"/>
  <c r="N419"/>
  <c r="L377"/>
  <c r="N377"/>
  <c r="N378"/>
  <c r="L315"/>
  <c r="N315"/>
  <c r="N316"/>
  <c r="L292"/>
  <c r="N293"/>
  <c r="L222"/>
  <c r="N222"/>
  <c r="N218"/>
  <c r="L180"/>
  <c r="N180"/>
  <c r="N181"/>
  <c r="L523"/>
  <c r="N523"/>
  <c r="N524"/>
  <c r="L496"/>
  <c r="N496"/>
  <c r="N497"/>
  <c r="L442"/>
  <c r="N442"/>
  <c r="N443"/>
  <c r="L402"/>
  <c r="N402"/>
  <c r="N403"/>
  <c r="L362"/>
  <c r="N363"/>
  <c r="L260"/>
  <c r="N261"/>
  <c r="L114"/>
  <c r="N115"/>
  <c r="L46"/>
  <c r="N47"/>
  <c r="K686" i="3"/>
  <c r="M686"/>
  <c r="M687"/>
  <c r="K151"/>
  <c r="M151"/>
  <c r="M152"/>
  <c r="K91"/>
  <c r="M91"/>
  <c r="M92"/>
  <c r="K901"/>
  <c r="M901"/>
  <c r="M902"/>
  <c r="K895"/>
  <c r="M895"/>
  <c r="M896"/>
  <c r="K433"/>
  <c r="M433"/>
  <c r="M434"/>
  <c r="K601"/>
  <c r="M601"/>
  <c r="M602"/>
  <c r="K400"/>
  <c r="M400"/>
  <c r="M401"/>
  <c r="K762"/>
  <c r="M763"/>
  <c r="K665"/>
  <c r="M665"/>
  <c r="M666"/>
  <c r="K475"/>
  <c r="M476"/>
  <c r="K369"/>
  <c r="M369"/>
  <c r="M370"/>
  <c r="K289"/>
  <c r="M289"/>
  <c r="M290"/>
  <c r="K108"/>
  <c r="M109"/>
  <c r="K88"/>
  <c r="M88"/>
  <c r="M89"/>
  <c r="K598"/>
  <c r="M598"/>
  <c r="M599"/>
  <c r="K507"/>
  <c r="M507"/>
  <c r="M508"/>
  <c r="K100"/>
  <c r="M101"/>
  <c r="K501"/>
  <c r="M501"/>
  <c r="M502"/>
  <c r="K834"/>
  <c r="M834"/>
  <c r="M835"/>
  <c r="K504"/>
  <c r="M504"/>
  <c r="M505"/>
  <c r="K397"/>
  <c r="M398"/>
  <c r="K226"/>
  <c r="M226"/>
  <c r="M227"/>
  <c r="K95"/>
  <c r="M95"/>
  <c r="M96"/>
  <c r="K696"/>
  <c r="M696"/>
  <c r="K417"/>
  <c r="K548"/>
  <c r="M549"/>
  <c r="K426"/>
  <c r="M427"/>
  <c r="K24"/>
  <c r="K631"/>
  <c r="M631"/>
  <c r="K197"/>
  <c r="K722"/>
  <c r="M722"/>
  <c r="M723"/>
  <c r="K616"/>
  <c r="M616"/>
  <c r="M617"/>
  <c r="K192"/>
  <c r="M192"/>
  <c r="M193"/>
  <c r="K575"/>
  <c r="M576"/>
  <c r="K207"/>
  <c r="M208"/>
  <c r="K445"/>
  <c r="M445"/>
  <c r="M446"/>
  <c r="K910"/>
  <c r="M911"/>
  <c r="K866"/>
  <c r="M867"/>
  <c r="K726"/>
  <c r="M727"/>
  <c r="K693"/>
  <c r="M693"/>
  <c r="M694"/>
  <c r="K677"/>
  <c r="M677"/>
  <c r="M678"/>
  <c r="K492"/>
  <c r="M492"/>
  <c r="M493"/>
  <c r="K439"/>
  <c r="M439"/>
  <c r="M440"/>
  <c r="K327"/>
  <c r="M327"/>
  <c r="M328"/>
  <c r="K758"/>
  <c r="M758"/>
  <c r="M759"/>
  <c r="K569"/>
  <c r="M569"/>
  <c r="M570"/>
  <c r="K159"/>
  <c r="M159"/>
  <c r="M160"/>
  <c r="K595"/>
  <c r="M595"/>
  <c r="M596"/>
  <c r="K752"/>
  <c r="M753"/>
  <c r="K352"/>
  <c r="M352"/>
  <c r="M353"/>
  <c r="K305"/>
  <c r="M305"/>
  <c r="M306"/>
  <c r="K448"/>
  <c r="M448"/>
  <c r="M449"/>
  <c r="K892"/>
  <c r="M892"/>
  <c r="M893"/>
  <c r="K644"/>
  <c r="M645"/>
  <c r="K324"/>
  <c r="M325"/>
  <c r="K283"/>
  <c r="M284"/>
  <c r="K471"/>
  <c r="M472"/>
  <c r="K179"/>
  <c r="M179"/>
  <c r="M180"/>
  <c r="K278"/>
  <c r="M278"/>
  <c r="K16"/>
  <c r="K922"/>
  <c r="M922"/>
  <c r="M923"/>
  <c r="K176"/>
  <c r="M176"/>
  <c r="M177"/>
  <c r="K334"/>
  <c r="K766"/>
  <c r="M766"/>
  <c r="M767"/>
  <c r="K68"/>
  <c r="M69"/>
  <c r="K662"/>
  <c r="M663"/>
  <c r="K716"/>
  <c r="M716"/>
  <c r="M717"/>
  <c r="K572"/>
  <c r="M572"/>
  <c r="M573"/>
  <c r="K882"/>
  <c r="M883"/>
  <c r="K747"/>
  <c r="M747"/>
  <c r="M748"/>
  <c r="K680"/>
  <c r="M680"/>
  <c r="M681"/>
  <c r="K618"/>
  <c r="M618"/>
  <c r="M619"/>
  <c r="K498"/>
  <c r="M498"/>
  <c r="M499"/>
  <c r="K393"/>
  <c r="M393"/>
  <c r="M394"/>
  <c r="K349"/>
  <c r="M349"/>
  <c r="M350"/>
  <c r="K755"/>
  <c r="M755"/>
  <c r="M756"/>
  <c r="K580"/>
  <c r="M581"/>
  <c r="K414"/>
  <c r="M414"/>
  <c r="M415"/>
  <c r="K898"/>
  <c r="M898"/>
  <c r="M899"/>
  <c r="K689"/>
  <c r="M689"/>
  <c r="M690"/>
  <c r="K555"/>
  <c r="M555"/>
  <c r="M556"/>
  <c r="K784"/>
  <c r="M785"/>
  <c r="K379"/>
  <c r="M380"/>
  <c r="K330"/>
  <c r="M330"/>
  <c r="M331"/>
  <c r="K683"/>
  <c r="M683"/>
  <c r="M684"/>
  <c r="K510"/>
  <c r="M510"/>
  <c r="M511"/>
  <c r="K442"/>
  <c r="M442"/>
  <c r="M443"/>
  <c r="K804"/>
  <c r="M804"/>
  <c r="M806"/>
  <c r="K712"/>
  <c r="M712"/>
  <c r="M713"/>
  <c r="K648"/>
  <c r="M648"/>
  <c r="M649"/>
  <c r="K592"/>
  <c r="M592"/>
  <c r="M593"/>
  <c r="K489"/>
  <c r="M489"/>
  <c r="M490"/>
  <c r="K436"/>
  <c r="M436"/>
  <c r="M437"/>
  <c r="K390"/>
  <c r="M390"/>
  <c r="M391"/>
  <c r="K319"/>
  <c r="M319"/>
  <c r="M320"/>
  <c r="K302"/>
  <c r="M302"/>
  <c r="M303"/>
  <c r="K266"/>
  <c r="M266"/>
  <c r="M267"/>
  <c r="K165"/>
  <c r="M165"/>
  <c r="M166"/>
  <c r="K104"/>
  <c r="M105"/>
  <c r="K387"/>
  <c r="M387"/>
  <c r="M388"/>
  <c r="K310"/>
  <c r="M310"/>
  <c r="M311"/>
  <c r="K249"/>
  <c r="M250"/>
  <c r="K340"/>
  <c r="M340"/>
  <c r="M341"/>
  <c r="K838"/>
  <c r="M839"/>
  <c r="K815"/>
  <c r="M816"/>
  <c r="K560"/>
  <c r="M560"/>
  <c r="M561"/>
  <c r="K482"/>
  <c r="M482"/>
  <c r="M483"/>
  <c r="K384"/>
  <c r="M385"/>
  <c r="K299"/>
  <c r="M299"/>
  <c r="M300"/>
  <c r="K156"/>
  <c r="M156"/>
  <c r="M157"/>
  <c r="K42"/>
  <c r="M43"/>
  <c r="K841"/>
  <c r="M841"/>
  <c r="K861"/>
  <c r="M861"/>
  <c r="J590" i="5"/>
  <c r="K590"/>
  <c r="H590"/>
  <c r="H599"/>
  <c r="I417"/>
  <c r="I416"/>
  <c r="I415"/>
  <c r="I590"/>
  <c r="L417"/>
  <c r="K417"/>
  <c r="K416"/>
  <c r="K415"/>
  <c r="J417"/>
  <c r="J416"/>
  <c r="J415"/>
  <c r="I327"/>
  <c r="I326"/>
  <c r="I325"/>
  <c r="K327"/>
  <c r="K326"/>
  <c r="K325"/>
  <c r="J204"/>
  <c r="J212"/>
  <c r="K212"/>
  <c r="L212"/>
  <c r="N212"/>
  <c r="I212"/>
  <c r="H212"/>
  <c r="H204"/>
  <c r="J382" i="3"/>
  <c r="I382"/>
  <c r="J121" i="5"/>
  <c r="I121"/>
  <c r="H481"/>
  <c r="J175" i="3"/>
  <c r="H322"/>
  <c r="H382"/>
  <c r="I175"/>
  <c r="H175"/>
  <c r="I660"/>
  <c r="J660"/>
  <c r="H660"/>
  <c r="L45" i="5"/>
  <c r="N46"/>
  <c r="L266"/>
  <c r="N266"/>
  <c r="N260"/>
  <c r="L291"/>
  <c r="N292"/>
  <c r="L303"/>
  <c r="N303"/>
  <c r="N304"/>
  <c r="L617"/>
  <c r="N618"/>
  <c r="L269"/>
  <c r="N270"/>
  <c r="L230"/>
  <c r="N231"/>
  <c r="L117"/>
  <c r="N117"/>
  <c r="N118"/>
  <c r="N393"/>
  <c r="L392"/>
  <c r="L276"/>
  <c r="N277"/>
  <c r="K692" i="3"/>
  <c r="L113" i="5"/>
  <c r="N113"/>
  <c r="N114"/>
  <c r="N362"/>
  <c r="L361"/>
  <c r="N575"/>
  <c r="L571"/>
  <c r="L284"/>
  <c r="N285"/>
  <c r="L109"/>
  <c r="N110"/>
  <c r="N458"/>
  <c r="L457"/>
  <c r="L462"/>
  <c r="N462"/>
  <c r="L101"/>
  <c r="N102"/>
  <c r="L61"/>
  <c r="N62"/>
  <c r="L332"/>
  <c r="N332"/>
  <c r="N333"/>
  <c r="N171"/>
  <c r="L170"/>
  <c r="L502"/>
  <c r="N503"/>
  <c r="N300"/>
  <c r="L299"/>
  <c r="N135"/>
  <c r="L124"/>
  <c r="L599"/>
  <c r="N593"/>
  <c r="L416"/>
  <c r="N417"/>
  <c r="M692" i="3"/>
  <c r="K470"/>
  <c r="M470"/>
  <c r="M471"/>
  <c r="M752"/>
  <c r="K751"/>
  <c r="M751"/>
  <c r="K725"/>
  <c r="M725"/>
  <c r="M726"/>
  <c r="K206"/>
  <c r="M207"/>
  <c r="K99"/>
  <c r="M100"/>
  <c r="K107"/>
  <c r="M107"/>
  <c r="M108"/>
  <c r="K248"/>
  <c r="M249"/>
  <c r="K783"/>
  <c r="M784"/>
  <c r="K661"/>
  <c r="M661"/>
  <c r="M662"/>
  <c r="K41"/>
  <c r="M41"/>
  <c r="M42"/>
  <c r="K814"/>
  <c r="M814"/>
  <c r="M815"/>
  <c r="K103"/>
  <c r="M103"/>
  <c r="M104"/>
  <c r="K378"/>
  <c r="M378"/>
  <c r="M379"/>
  <c r="M580"/>
  <c r="K579"/>
  <c r="K881"/>
  <c r="M881"/>
  <c r="M882"/>
  <c r="K67"/>
  <c r="M68"/>
  <c r="K15"/>
  <c r="M16"/>
  <c r="K429"/>
  <c r="M429"/>
  <c r="M324"/>
  <c r="K323"/>
  <c r="K909"/>
  <c r="M910"/>
  <c r="K23"/>
  <c r="M24"/>
  <c r="K547"/>
  <c r="M547"/>
  <c r="M548"/>
  <c r="M397"/>
  <c r="K396"/>
  <c r="M396"/>
  <c r="M384"/>
  <c r="K383"/>
  <c r="K837"/>
  <c r="M837"/>
  <c r="M838"/>
  <c r="K196"/>
  <c r="M196"/>
  <c r="M197"/>
  <c r="K413"/>
  <c r="M413"/>
  <c r="M417"/>
  <c r="K333"/>
  <c r="M333"/>
  <c r="M334"/>
  <c r="M283"/>
  <c r="K277"/>
  <c r="K643"/>
  <c r="M643"/>
  <c r="M644"/>
  <c r="K865"/>
  <c r="M866"/>
  <c r="K559"/>
  <c r="M575"/>
  <c r="K425"/>
  <c r="M426"/>
  <c r="M475"/>
  <c r="K474"/>
  <c r="K761"/>
  <c r="M761"/>
  <c r="M762"/>
  <c r="J451" i="5"/>
  <c r="J358"/>
  <c r="I451"/>
  <c r="I358"/>
  <c r="K451"/>
  <c r="K358"/>
  <c r="K331"/>
  <c r="K348"/>
  <c r="I331"/>
  <c r="I348"/>
  <c r="L330"/>
  <c r="N330"/>
  <c r="K891" i="3"/>
  <c r="M891"/>
  <c r="L485" i="4"/>
  <c r="K485"/>
  <c r="J485"/>
  <c r="L100" i="5"/>
  <c r="N101"/>
  <c r="L123"/>
  <c r="N124"/>
  <c r="L283"/>
  <c r="N284"/>
  <c r="L415"/>
  <c r="N416"/>
  <c r="L501"/>
  <c r="N502"/>
  <c r="L268"/>
  <c r="N269"/>
  <c r="L298"/>
  <c r="N299"/>
  <c r="L169"/>
  <c r="N170"/>
  <c r="N109"/>
  <c r="L108"/>
  <c r="L391"/>
  <c r="N392"/>
  <c r="L589"/>
  <c r="N589"/>
  <c r="N571"/>
  <c r="L275"/>
  <c r="N276"/>
  <c r="L592"/>
  <c r="N599"/>
  <c r="L60"/>
  <c r="N61"/>
  <c r="L456"/>
  <c r="N456"/>
  <c r="N457"/>
  <c r="L360"/>
  <c r="N361"/>
  <c r="L229"/>
  <c r="N230"/>
  <c r="L616"/>
  <c r="N617"/>
  <c r="L290"/>
  <c r="N291"/>
  <c r="L44"/>
  <c r="N45"/>
  <c r="K558" i="3"/>
  <c r="M558"/>
  <c r="M559"/>
  <c r="M323"/>
  <c r="K322"/>
  <c r="M322"/>
  <c r="M99"/>
  <c r="K94"/>
  <c r="M94"/>
  <c r="I45" i="2"/>
  <c r="K45"/>
  <c r="M865" i="3"/>
  <c r="K22"/>
  <c r="M23"/>
  <c r="K578"/>
  <c r="M578"/>
  <c r="M579"/>
  <c r="K908"/>
  <c r="M908"/>
  <c r="M909"/>
  <c r="M277"/>
  <c r="K276"/>
  <c r="K14"/>
  <c r="M15"/>
  <c r="K247"/>
  <c r="M248"/>
  <c r="M425"/>
  <c r="K424"/>
  <c r="M424"/>
  <c r="K469"/>
  <c r="M469"/>
  <c r="M474"/>
  <c r="M383"/>
  <c r="K382"/>
  <c r="M382"/>
  <c r="K66"/>
  <c r="M66"/>
  <c r="M67"/>
  <c r="M783"/>
  <c r="K782"/>
  <c r="M782"/>
  <c r="K781"/>
  <c r="K205"/>
  <c r="M206"/>
  <c r="K660"/>
  <c r="M660"/>
  <c r="K890"/>
  <c r="L495" i="5"/>
  <c r="K374" i="3"/>
  <c r="I64" i="5"/>
  <c r="I63"/>
  <c r="I62"/>
  <c r="I61"/>
  <c r="I60"/>
  <c r="I59"/>
  <c r="I65"/>
  <c r="H817" i="3"/>
  <c r="H816"/>
  <c r="H815"/>
  <c r="H814"/>
  <c r="K64" i="5"/>
  <c r="K63"/>
  <c r="K62"/>
  <c r="K61"/>
  <c r="K60"/>
  <c r="K59"/>
  <c r="K65"/>
  <c r="J817" i="3"/>
  <c r="J816"/>
  <c r="J815"/>
  <c r="J814"/>
  <c r="L477" i="5"/>
  <c r="K359" i="3"/>
  <c r="J64" i="5"/>
  <c r="J63"/>
  <c r="J62"/>
  <c r="J61"/>
  <c r="J60"/>
  <c r="J59"/>
  <c r="J65"/>
  <c r="I817" i="3"/>
  <c r="I816"/>
  <c r="I815"/>
  <c r="I814"/>
  <c r="L329" i="5"/>
  <c r="L716" i="4"/>
  <c r="L715"/>
  <c r="K716"/>
  <c r="K715"/>
  <c r="J716"/>
  <c r="J715"/>
  <c r="I716"/>
  <c r="I715"/>
  <c r="G716"/>
  <c r="G715"/>
  <c r="L494" i="5"/>
  <c r="N495"/>
  <c r="L359"/>
  <c r="N360"/>
  <c r="L390"/>
  <c r="N391"/>
  <c r="N415"/>
  <c r="L451"/>
  <c r="N451"/>
  <c r="L107"/>
  <c r="N108"/>
  <c r="L43"/>
  <c r="N44"/>
  <c r="L615"/>
  <c r="N616"/>
  <c r="L59"/>
  <c r="N60"/>
  <c r="N275"/>
  <c r="L148"/>
  <c r="N169"/>
  <c r="L267"/>
  <c r="N268"/>
  <c r="L122"/>
  <c r="N123"/>
  <c r="L328"/>
  <c r="N328"/>
  <c r="N329"/>
  <c r="L476"/>
  <c r="N477"/>
  <c r="L289"/>
  <c r="N290"/>
  <c r="L228"/>
  <c r="N229"/>
  <c r="N592"/>
  <c r="L591"/>
  <c r="N298"/>
  <c r="L297"/>
  <c r="L506"/>
  <c r="N506"/>
  <c r="N501"/>
  <c r="L500"/>
  <c r="N500"/>
  <c r="L282"/>
  <c r="N283"/>
  <c r="L99"/>
  <c r="N100"/>
  <c r="K358" i="3"/>
  <c r="M359"/>
  <c r="K888"/>
  <c r="M888"/>
  <c r="M890"/>
  <c r="K246"/>
  <c r="M247"/>
  <c r="M205"/>
  <c r="I20" i="2"/>
  <c r="K204" i="3"/>
  <c r="M204"/>
  <c r="K275"/>
  <c r="M276"/>
  <c r="I43" i="2"/>
  <c r="K43"/>
  <c r="M781" i="3"/>
  <c r="K373"/>
  <c r="M374"/>
  <c r="K13"/>
  <c r="M14"/>
  <c r="K21"/>
  <c r="M22"/>
  <c r="K889"/>
  <c r="M889"/>
  <c r="L327" i="5"/>
  <c r="L475"/>
  <c r="N476"/>
  <c r="L49"/>
  <c r="N49"/>
  <c r="N43"/>
  <c r="L288"/>
  <c r="N288"/>
  <c r="N282"/>
  <c r="N297"/>
  <c r="L324"/>
  <c r="N324"/>
  <c r="L147"/>
  <c r="N147"/>
  <c r="N122"/>
  <c r="L105"/>
  <c r="N105"/>
  <c r="N99"/>
  <c r="L590"/>
  <c r="N590"/>
  <c r="N591"/>
  <c r="L274"/>
  <c r="N274"/>
  <c r="L234"/>
  <c r="N234"/>
  <c r="N228"/>
  <c r="L195"/>
  <c r="N195"/>
  <c r="N148"/>
  <c r="L65"/>
  <c r="N65"/>
  <c r="N59"/>
  <c r="L389"/>
  <c r="N389"/>
  <c r="N359"/>
  <c r="L358"/>
  <c r="N358"/>
  <c r="L326"/>
  <c r="N327"/>
  <c r="L295"/>
  <c r="N295"/>
  <c r="N289"/>
  <c r="L273"/>
  <c r="N273"/>
  <c r="N267"/>
  <c r="L621"/>
  <c r="N621"/>
  <c r="N615"/>
  <c r="N107"/>
  <c r="L121"/>
  <c r="N121"/>
  <c r="L106"/>
  <c r="N106"/>
  <c r="L414"/>
  <c r="N414"/>
  <c r="N390"/>
  <c r="L493"/>
  <c r="N493"/>
  <c r="N494"/>
  <c r="I13" i="2"/>
  <c r="K13"/>
  <c r="M13" i="3"/>
  <c r="I19" i="2"/>
  <c r="K19"/>
  <c r="K20"/>
  <c r="K887" i="3"/>
  <c r="I14" i="2"/>
  <c r="K14"/>
  <c r="M21" i="3"/>
  <c r="K372"/>
  <c r="M372"/>
  <c r="M373"/>
  <c r="I29" i="2"/>
  <c r="K29"/>
  <c r="M275" i="3"/>
  <c r="I25" i="2"/>
  <c r="K25"/>
  <c r="M246" i="3"/>
  <c r="K357"/>
  <c r="M358"/>
  <c r="M768" i="4"/>
  <c r="M859"/>
  <c r="M1031"/>
  <c r="O1031"/>
  <c r="K935" i="3"/>
  <c r="O859" i="4"/>
  <c r="K657" i="3"/>
  <c r="K656"/>
  <c r="M656"/>
  <c r="O768" i="4"/>
  <c r="L325" i="5"/>
  <c r="N326"/>
  <c r="N475"/>
  <c r="L466"/>
  <c r="K934" i="3"/>
  <c r="M934"/>
  <c r="M935"/>
  <c r="K348"/>
  <c r="M348"/>
  <c r="M357"/>
  <c r="K886"/>
  <c r="M887"/>
  <c r="K412"/>
  <c r="M40" i="4"/>
  <c r="O40"/>
  <c r="L465" i="5"/>
  <c r="N466"/>
  <c r="M657" i="3"/>
  <c r="N325" i="5"/>
  <c r="L331"/>
  <c r="N331"/>
  <c r="L348"/>
  <c r="N348"/>
  <c r="M886" i="3"/>
  <c r="I48" i="2"/>
  <c r="K48"/>
  <c r="K411" i="3"/>
  <c r="M411"/>
  <c r="M412"/>
  <c r="M1062" i="4"/>
  <c r="O1062"/>
  <c r="M1037"/>
  <c r="O1037"/>
  <c r="M871"/>
  <c r="O871"/>
  <c r="K53" i="3"/>
  <c r="M1102" i="4"/>
  <c r="K944" i="3"/>
  <c r="M1084" i="4"/>
  <c r="M1079"/>
  <c r="M1074"/>
  <c r="O1074"/>
  <c r="M1072"/>
  <c r="O1072"/>
  <c r="M1066"/>
  <c r="O1066"/>
  <c r="M1064"/>
  <c r="O1064"/>
  <c r="M1056"/>
  <c r="M1046"/>
  <c r="M1039"/>
  <c r="O1039"/>
  <c r="M1034"/>
  <c r="M1030"/>
  <c r="O1030"/>
  <c r="M1028"/>
  <c r="O1028"/>
  <c r="M1020"/>
  <c r="M1017"/>
  <c r="M1013"/>
  <c r="M1010"/>
  <c r="M1007"/>
  <c r="M1004"/>
  <c r="M999"/>
  <c r="M995"/>
  <c r="M992"/>
  <c r="M989"/>
  <c r="M986"/>
  <c r="O986"/>
  <c r="M977"/>
  <c r="M972"/>
  <c r="M969"/>
  <c r="M960"/>
  <c r="M956"/>
  <c r="O956"/>
  <c r="M954"/>
  <c r="O954"/>
  <c r="M950"/>
  <c r="M947"/>
  <c r="M944"/>
  <c r="M939"/>
  <c r="M936"/>
  <c r="M930"/>
  <c r="M922"/>
  <c r="M919"/>
  <c r="M916"/>
  <c r="M907"/>
  <c r="O907"/>
  <c r="M905"/>
  <c r="M911"/>
  <c r="M901"/>
  <c r="M895"/>
  <c r="O895"/>
  <c r="M887"/>
  <c r="M880"/>
  <c r="M873"/>
  <c r="O873"/>
  <c r="M869"/>
  <c r="O869"/>
  <c r="M865"/>
  <c r="M858"/>
  <c r="O858"/>
  <c r="M857"/>
  <c r="M854"/>
  <c r="O854"/>
  <c r="M850"/>
  <c r="O850"/>
  <c r="M848"/>
  <c r="O848"/>
  <c r="M841"/>
  <c r="O841"/>
  <c r="M835"/>
  <c r="O835"/>
  <c r="M834"/>
  <c r="M826"/>
  <c r="M823"/>
  <c r="M820"/>
  <c r="M817"/>
  <c r="M814"/>
  <c r="M807"/>
  <c r="M801"/>
  <c r="M796"/>
  <c r="M793"/>
  <c r="M790"/>
  <c r="M787"/>
  <c r="M784"/>
  <c r="M781"/>
  <c r="M767"/>
  <c r="O767"/>
  <c r="M766"/>
  <c r="O766"/>
  <c r="M764"/>
  <c r="O764"/>
  <c r="M760"/>
  <c r="M757"/>
  <c r="O757"/>
  <c r="M754"/>
  <c r="O754"/>
  <c r="M749"/>
  <c r="O749"/>
  <c r="M747"/>
  <c r="O747"/>
  <c r="M745"/>
  <c r="O745"/>
  <c r="K625" i="3"/>
  <c r="M733" i="4"/>
  <c r="M727"/>
  <c r="M724"/>
  <c r="M721"/>
  <c r="M713"/>
  <c r="O713"/>
  <c r="M709"/>
  <c r="K544" i="3"/>
  <c r="M695" i="4"/>
  <c r="O695"/>
  <c r="M689"/>
  <c r="O689"/>
  <c r="M686"/>
  <c r="O686"/>
  <c r="M683"/>
  <c r="M679"/>
  <c r="M676"/>
  <c r="M671"/>
  <c r="M668"/>
  <c r="M665"/>
  <c r="M662"/>
  <c r="M659"/>
  <c r="M653"/>
  <c r="M650"/>
  <c r="M647"/>
  <c r="M644"/>
  <c r="M640"/>
  <c r="M635"/>
  <c r="K464" i="3"/>
  <c r="M623" i="4"/>
  <c r="O623"/>
  <c r="M619"/>
  <c r="M614"/>
  <c r="M611"/>
  <c r="M608"/>
  <c r="M605"/>
  <c r="M602"/>
  <c r="M599"/>
  <c r="M595"/>
  <c r="M584"/>
  <c r="M569"/>
  <c r="M563"/>
  <c r="M560"/>
  <c r="M556"/>
  <c r="M548"/>
  <c r="K40" i="3"/>
  <c r="M538" i="4"/>
  <c r="O538"/>
  <c r="M536"/>
  <c r="O536"/>
  <c r="M534"/>
  <c r="O534"/>
  <c r="M526"/>
  <c r="M522"/>
  <c r="O522"/>
  <c r="M518"/>
  <c r="M515"/>
  <c r="M510"/>
  <c r="M506"/>
  <c r="O506"/>
  <c r="M504"/>
  <c r="O504"/>
  <c r="M501"/>
  <c r="M498"/>
  <c r="M492"/>
  <c r="M489"/>
  <c r="M484"/>
  <c r="M480"/>
  <c r="O480"/>
  <c r="M474"/>
  <c r="M470"/>
  <c r="M467"/>
  <c r="M463"/>
  <c r="O463"/>
  <c r="M452"/>
  <c r="O452"/>
  <c r="M450"/>
  <c r="O450"/>
  <c r="M449"/>
  <c r="O449"/>
  <c r="M444"/>
  <c r="O444"/>
  <c r="M442"/>
  <c r="O442"/>
  <c r="M437"/>
  <c r="M430"/>
  <c r="M424"/>
  <c r="M418"/>
  <c r="M413"/>
  <c r="M410"/>
  <c r="M402"/>
  <c r="O402"/>
  <c r="M400"/>
  <c r="M398"/>
  <c r="M392"/>
  <c r="M388"/>
  <c r="M385"/>
  <c r="M382"/>
  <c r="M379"/>
  <c r="M376"/>
  <c r="M373"/>
  <c r="M370"/>
  <c r="M367"/>
  <c r="O367"/>
  <c r="M365"/>
  <c r="O365"/>
  <c r="M362"/>
  <c r="M358"/>
  <c r="O358"/>
  <c r="M356"/>
  <c r="O356"/>
  <c r="M354"/>
  <c r="O354"/>
  <c r="M351"/>
  <c r="M348"/>
  <c r="M345"/>
  <c r="M342"/>
  <c r="M339"/>
  <c r="M336"/>
  <c r="M333"/>
  <c r="M326"/>
  <c r="M317"/>
  <c r="M315"/>
  <c r="O315"/>
  <c r="M309"/>
  <c r="M306"/>
  <c r="M303"/>
  <c r="M300"/>
  <c r="M297"/>
  <c r="M294"/>
  <c r="M291"/>
  <c r="M288"/>
  <c r="M274"/>
  <c r="O274"/>
  <c r="M234"/>
  <c r="O234"/>
  <c r="M228"/>
  <c r="M223"/>
  <c r="M211"/>
  <c r="M184"/>
  <c r="M176"/>
  <c r="K217" i="3"/>
  <c r="M173" i="4"/>
  <c r="M166"/>
  <c r="M159"/>
  <c r="M154"/>
  <c r="O154"/>
  <c r="M152"/>
  <c r="O152"/>
  <c r="M146"/>
  <c r="M143"/>
  <c r="M140"/>
  <c r="M137"/>
  <c r="M133"/>
  <c r="O133"/>
  <c r="M126"/>
  <c r="M123"/>
  <c r="K164" i="3"/>
  <c r="M115" i="4"/>
  <c r="M112"/>
  <c r="O112"/>
  <c r="M110"/>
  <c r="O110"/>
  <c r="M99"/>
  <c r="M95"/>
  <c r="M91"/>
  <c r="M87"/>
  <c r="M83"/>
  <c r="M78"/>
  <c r="M73"/>
  <c r="O73"/>
  <c r="M61"/>
  <c r="K61" i="3"/>
  <c r="M51" i="4"/>
  <c r="O51"/>
  <c r="M42"/>
  <c r="M39"/>
  <c r="O39"/>
  <c r="M37"/>
  <c r="O37"/>
  <c r="M27"/>
  <c r="M22"/>
  <c r="O22"/>
  <c r="M20"/>
  <c r="O20"/>
  <c r="M18"/>
  <c r="O18"/>
  <c r="M308"/>
  <c r="O308"/>
  <c r="O309"/>
  <c r="M344"/>
  <c r="O344"/>
  <c r="O345"/>
  <c r="M500"/>
  <c r="O500"/>
  <c r="O501"/>
  <c r="M547"/>
  <c r="O548"/>
  <c r="M946"/>
  <c r="O946"/>
  <c r="O947"/>
  <c r="M998"/>
  <c r="O999"/>
  <c r="M1097"/>
  <c r="O1102"/>
  <c r="M26"/>
  <c r="O27"/>
  <c r="M77"/>
  <c r="O77"/>
  <c r="O78"/>
  <c r="M94"/>
  <c r="O95"/>
  <c r="M114"/>
  <c r="O114"/>
  <c r="O115"/>
  <c r="M145"/>
  <c r="O145"/>
  <c r="O146"/>
  <c r="M165"/>
  <c r="O166"/>
  <c r="M183"/>
  <c r="O183"/>
  <c r="O184"/>
  <c r="M293"/>
  <c r="O293"/>
  <c r="O294"/>
  <c r="M305"/>
  <c r="O305"/>
  <c r="O306"/>
  <c r="M325"/>
  <c r="O326"/>
  <c r="M341"/>
  <c r="O341"/>
  <c r="O342"/>
  <c r="M375"/>
  <c r="O375"/>
  <c r="O376"/>
  <c r="M387"/>
  <c r="O387"/>
  <c r="O388"/>
  <c r="M423"/>
  <c r="O423"/>
  <c r="O424"/>
  <c r="M497"/>
  <c r="O497"/>
  <c r="O498"/>
  <c r="M509"/>
  <c r="O510"/>
  <c r="M525"/>
  <c r="O526"/>
  <c r="M562"/>
  <c r="O562"/>
  <c r="O563"/>
  <c r="M598"/>
  <c r="O598"/>
  <c r="O599"/>
  <c r="M610"/>
  <c r="O610"/>
  <c r="O611"/>
  <c r="M646"/>
  <c r="O646"/>
  <c r="O647"/>
  <c r="M661"/>
  <c r="O661"/>
  <c r="O662"/>
  <c r="M675"/>
  <c r="O675"/>
  <c r="O676"/>
  <c r="M732"/>
  <c r="O733"/>
  <c r="M783"/>
  <c r="O783"/>
  <c r="O784"/>
  <c r="M795"/>
  <c r="O795"/>
  <c r="O796"/>
  <c r="M816"/>
  <c r="O816"/>
  <c r="O817"/>
  <c r="M833"/>
  <c r="O833"/>
  <c r="O1133"/>
  <c r="O834"/>
  <c r="M864"/>
  <c r="O864"/>
  <c r="O865"/>
  <c r="M886"/>
  <c r="O887"/>
  <c r="M904"/>
  <c r="O904"/>
  <c r="O905"/>
  <c r="M921"/>
  <c r="O921"/>
  <c r="O922"/>
  <c r="M943"/>
  <c r="O943"/>
  <c r="O944"/>
  <c r="M976"/>
  <c r="O976"/>
  <c r="O977"/>
  <c r="M994"/>
  <c r="O994"/>
  <c r="O995"/>
  <c r="M1009"/>
  <c r="O1009"/>
  <c r="O1010"/>
  <c r="M1045"/>
  <c r="O1046"/>
  <c r="M82"/>
  <c r="O83"/>
  <c r="M136"/>
  <c r="O136"/>
  <c r="O137"/>
  <c r="M172"/>
  <c r="O172"/>
  <c r="O173"/>
  <c r="M391"/>
  <c r="O392"/>
  <c r="M429"/>
  <c r="O429"/>
  <c r="O430"/>
  <c r="M483"/>
  <c r="O484"/>
  <c r="M514"/>
  <c r="O514"/>
  <c r="O515"/>
  <c r="M601"/>
  <c r="O601"/>
  <c r="O602"/>
  <c r="M664"/>
  <c r="O664"/>
  <c r="O665"/>
  <c r="M819"/>
  <c r="O819"/>
  <c r="O820"/>
  <c r="M369"/>
  <c r="O369"/>
  <c r="O370"/>
  <c r="M381"/>
  <c r="O381"/>
  <c r="O382"/>
  <c r="M397"/>
  <c r="O397"/>
  <c r="O398"/>
  <c r="M412"/>
  <c r="O412"/>
  <c r="O413"/>
  <c r="M436"/>
  <c r="O437"/>
  <c r="M469"/>
  <c r="O470"/>
  <c r="M488"/>
  <c r="O489"/>
  <c r="M517"/>
  <c r="O517"/>
  <c r="O518"/>
  <c r="M555"/>
  <c r="O556"/>
  <c r="M583"/>
  <c r="O584"/>
  <c r="M604"/>
  <c r="O604"/>
  <c r="O605"/>
  <c r="M618"/>
  <c r="O618"/>
  <c r="O619"/>
  <c r="M639"/>
  <c r="O640"/>
  <c r="M652"/>
  <c r="O652"/>
  <c r="O653"/>
  <c r="M667"/>
  <c r="O667"/>
  <c r="O668"/>
  <c r="M682"/>
  <c r="O683"/>
  <c r="M723"/>
  <c r="O723"/>
  <c r="O724"/>
  <c r="M789"/>
  <c r="O789"/>
  <c r="O790"/>
  <c r="M806"/>
  <c r="O806"/>
  <c r="O807"/>
  <c r="M822"/>
  <c r="O822"/>
  <c r="O823"/>
  <c r="K933" i="3"/>
  <c r="O857" i="4"/>
  <c r="M900"/>
  <c r="O901"/>
  <c r="M915"/>
  <c r="O915"/>
  <c r="O916"/>
  <c r="M935"/>
  <c r="O935"/>
  <c r="O936"/>
  <c r="M949"/>
  <c r="O949"/>
  <c r="O950"/>
  <c r="M968"/>
  <c r="O968"/>
  <c r="O969"/>
  <c r="M988"/>
  <c r="O988"/>
  <c r="O989"/>
  <c r="M1003"/>
  <c r="O1003"/>
  <c r="O1004"/>
  <c r="M1016"/>
  <c r="O1016"/>
  <c r="O1017"/>
  <c r="M1033"/>
  <c r="O1033"/>
  <c r="O1034"/>
  <c r="M1078"/>
  <c r="O1079"/>
  <c r="M98"/>
  <c r="O99"/>
  <c r="M210"/>
  <c r="O210"/>
  <c r="O211"/>
  <c r="M296"/>
  <c r="O296"/>
  <c r="O297"/>
  <c r="M332"/>
  <c r="O332"/>
  <c r="O333"/>
  <c r="M378"/>
  <c r="O378"/>
  <c r="O379"/>
  <c r="M409"/>
  <c r="O410"/>
  <c r="M466"/>
  <c r="O467"/>
  <c r="M568"/>
  <c r="O569"/>
  <c r="M613"/>
  <c r="O613"/>
  <c r="O614"/>
  <c r="M634"/>
  <c r="O635"/>
  <c r="M649"/>
  <c r="O649"/>
  <c r="O650"/>
  <c r="M678"/>
  <c r="O678"/>
  <c r="O679"/>
  <c r="M720"/>
  <c r="O720"/>
  <c r="O721"/>
  <c r="M786"/>
  <c r="O786"/>
  <c r="O787"/>
  <c r="M800"/>
  <c r="O800"/>
  <c r="O801"/>
  <c r="M929"/>
  <c r="O929"/>
  <c r="O930"/>
  <c r="M959"/>
  <c r="O959"/>
  <c r="O960"/>
  <c r="M1054"/>
  <c r="O1056"/>
  <c r="M58"/>
  <c r="O61"/>
  <c r="M86"/>
  <c r="O87"/>
  <c r="M122"/>
  <c r="O122"/>
  <c r="O123"/>
  <c r="M139"/>
  <c r="O139"/>
  <c r="O140"/>
  <c r="M222"/>
  <c r="O223"/>
  <c r="M287"/>
  <c r="O287"/>
  <c r="O288"/>
  <c r="M299"/>
  <c r="O299"/>
  <c r="O300"/>
  <c r="M335"/>
  <c r="O335"/>
  <c r="O336"/>
  <c r="M347"/>
  <c r="O347"/>
  <c r="O348"/>
  <c r="M41"/>
  <c r="O41"/>
  <c r="O42"/>
  <c r="M90"/>
  <c r="O91"/>
  <c r="M142"/>
  <c r="O142"/>
  <c r="O143"/>
  <c r="M158"/>
  <c r="O158"/>
  <c r="O159"/>
  <c r="M175"/>
  <c r="O175"/>
  <c r="O176"/>
  <c r="M227"/>
  <c r="O228"/>
  <c r="M290"/>
  <c r="O290"/>
  <c r="O291"/>
  <c r="M302"/>
  <c r="O302"/>
  <c r="O303"/>
  <c r="M316"/>
  <c r="O316"/>
  <c r="O317"/>
  <c r="M338"/>
  <c r="O338"/>
  <c r="O339"/>
  <c r="M350"/>
  <c r="O350"/>
  <c r="O351"/>
  <c r="M361"/>
  <c r="O361"/>
  <c r="O362"/>
  <c r="M372"/>
  <c r="O372"/>
  <c r="O373"/>
  <c r="M384"/>
  <c r="O384"/>
  <c r="O385"/>
  <c r="M399"/>
  <c r="O399"/>
  <c r="O400"/>
  <c r="M417"/>
  <c r="O417"/>
  <c r="O418"/>
  <c r="M473"/>
  <c r="O474"/>
  <c r="M491"/>
  <c r="O491"/>
  <c r="O492"/>
  <c r="M559"/>
  <c r="O559"/>
  <c r="O560"/>
  <c r="M594"/>
  <c r="O595"/>
  <c r="M607"/>
  <c r="O607"/>
  <c r="O608"/>
  <c r="M643"/>
  <c r="O643"/>
  <c r="O644"/>
  <c r="M658"/>
  <c r="O658"/>
  <c r="O659"/>
  <c r="M670"/>
  <c r="O670"/>
  <c r="O671"/>
  <c r="M708"/>
  <c r="O709"/>
  <c r="M726"/>
  <c r="O726"/>
  <c r="O727"/>
  <c r="M759"/>
  <c r="O759"/>
  <c r="O760"/>
  <c r="M780"/>
  <c r="O780"/>
  <c r="O781"/>
  <c r="M792"/>
  <c r="O792"/>
  <c r="O793"/>
  <c r="M813"/>
  <c r="O813"/>
  <c r="O814"/>
  <c r="M825"/>
  <c r="O825"/>
  <c r="O826"/>
  <c r="M879"/>
  <c r="O880"/>
  <c r="M910"/>
  <c r="O910"/>
  <c r="O911"/>
  <c r="M918"/>
  <c r="O918"/>
  <c r="O919"/>
  <c r="M938"/>
  <c r="O938"/>
  <c r="O939"/>
  <c r="M971"/>
  <c r="O971"/>
  <c r="O972"/>
  <c r="M991"/>
  <c r="O991"/>
  <c r="O992"/>
  <c r="M1019"/>
  <c r="O1019"/>
  <c r="O1020"/>
  <c r="M1083"/>
  <c r="O1084"/>
  <c r="L464" i="5"/>
  <c r="N465"/>
  <c r="M125" i="4"/>
  <c r="O125"/>
  <c r="O126"/>
  <c r="M1006"/>
  <c r="O1006"/>
  <c r="O1007"/>
  <c r="M1012"/>
  <c r="O1012"/>
  <c r="O1013"/>
  <c r="K543" i="3"/>
  <c r="M544"/>
  <c r="K39"/>
  <c r="M39"/>
  <c r="M40"/>
  <c r="K463"/>
  <c r="M464"/>
  <c r="K943"/>
  <c r="M944"/>
  <c r="K216"/>
  <c r="M217"/>
  <c r="K932"/>
  <c r="M933"/>
  <c r="K52"/>
  <c r="M53"/>
  <c r="K60"/>
  <c r="M61"/>
  <c r="K163"/>
  <c r="M164"/>
  <c r="K624"/>
  <c r="M625"/>
  <c r="M642" i="4"/>
  <c r="M120"/>
  <c r="M903"/>
  <c r="M273"/>
  <c r="M364"/>
  <c r="M631"/>
  <c r="M746"/>
  <c r="O746"/>
  <c r="M353"/>
  <c r="M533"/>
  <c r="O533"/>
  <c r="M847"/>
  <c r="M953"/>
  <c r="M66"/>
  <c r="L240" i="5"/>
  <c r="K78" i="3"/>
  <c r="M151" i="4"/>
  <c r="O151"/>
  <c r="K186" i="3"/>
  <c r="M156" i="4"/>
  <c r="K191" i="3"/>
  <c r="M179" i="4"/>
  <c r="O179"/>
  <c r="K223" i="3"/>
  <c r="M216" i="4"/>
  <c r="O216"/>
  <c r="K273" i="3"/>
  <c r="M239" i="4"/>
  <c r="O239"/>
  <c r="K878" i="3"/>
  <c r="M314" i="4"/>
  <c r="K608" i="3"/>
  <c r="M320" i="4"/>
  <c r="K614" i="3"/>
  <c r="M404" i="4"/>
  <c r="K740" i="3"/>
  <c r="M740"/>
  <c r="M441" i="4"/>
  <c r="M448"/>
  <c r="K775" i="3"/>
  <c r="K799"/>
  <c r="L34" i="5"/>
  <c r="L41"/>
  <c r="K803" i="3"/>
  <c r="M478" i="4"/>
  <c r="L55" i="5"/>
  <c r="K811" i="3"/>
  <c r="L71" i="5"/>
  <c r="K821" i="3"/>
  <c r="L80" i="5"/>
  <c r="K827" i="3"/>
  <c r="M521" i="4"/>
  <c r="K872" i="3"/>
  <c r="M625" i="4"/>
  <c r="K458" i="3"/>
  <c r="M688" i="4"/>
  <c r="K529" i="3"/>
  <c r="M694" i="4"/>
  <c r="K535" i="3"/>
  <c r="M700" i="4"/>
  <c r="K541" i="3"/>
  <c r="M712" i="4"/>
  <c r="K554" i="3"/>
  <c r="L551" i="5"/>
  <c r="K630" i="3"/>
  <c r="M765" i="4"/>
  <c r="O765"/>
  <c r="K655" i="3"/>
  <c r="M856" i="4"/>
  <c r="M894"/>
  <c r="O894"/>
  <c r="L18" i="5"/>
  <c r="K258" i="3"/>
  <c r="M933" i="4"/>
  <c r="L539" i="5"/>
  <c r="K315" i="3"/>
  <c r="M984" i="4"/>
  <c r="L487" i="5"/>
  <c r="K366" i="3"/>
  <c r="M17" i="4"/>
  <c r="M35"/>
  <c r="K36" i="3"/>
  <c r="M50" i="4"/>
  <c r="M70"/>
  <c r="L253" i="5"/>
  <c r="K82" i="3"/>
  <c r="M75" i="4"/>
  <c r="L258" i="5"/>
  <c r="K87" i="3"/>
  <c r="M131" i="4"/>
  <c r="K172" i="3"/>
  <c r="M149" i="4"/>
  <c r="O149"/>
  <c r="K184" i="3"/>
  <c r="M181" i="4"/>
  <c r="O181"/>
  <c r="K225" i="3"/>
  <c r="M201" i="4"/>
  <c r="K245" i="3"/>
  <c r="M214" i="4"/>
  <c r="O214"/>
  <c r="K271" i="3"/>
  <c r="M233" i="4"/>
  <c r="K852" i="3"/>
  <c r="M241" i="4"/>
  <c r="O241"/>
  <c r="K880" i="3"/>
  <c r="M407" i="4"/>
  <c r="K743" i="3"/>
  <c r="M461" i="4"/>
  <c r="K794" i="3"/>
  <c r="L28" i="5"/>
  <c r="K38" i="3"/>
  <c r="M622" i="4"/>
  <c r="K455" i="3"/>
  <c r="M628" i="4"/>
  <c r="K461" i="3"/>
  <c r="M685" i="4"/>
  <c r="K526" i="3"/>
  <c r="M691" i="4"/>
  <c r="K532" i="3"/>
  <c r="M697" i="4"/>
  <c r="K538" i="3"/>
  <c r="M703" i="4"/>
  <c r="M739"/>
  <c r="M744"/>
  <c r="M756"/>
  <c r="K642" i="3"/>
  <c r="M763" i="4"/>
  <c r="O763"/>
  <c r="K653" i="3"/>
  <c r="M804" i="4"/>
  <c r="K611" i="3"/>
  <c r="M1071" i="4"/>
  <c r="M503"/>
  <c r="M832"/>
  <c r="O832"/>
  <c r="M1133"/>
  <c r="M1036"/>
  <c r="M109"/>
  <c r="O109"/>
  <c r="M396"/>
  <c r="O396"/>
  <c r="M1015"/>
  <c r="O1015"/>
  <c r="M558"/>
  <c r="M868"/>
  <c r="M1061"/>
  <c r="M779"/>
  <c r="L388"/>
  <c r="L387"/>
  <c r="K388"/>
  <c r="K387"/>
  <c r="J388"/>
  <c r="J387"/>
  <c r="I388"/>
  <c r="I387"/>
  <c r="G388"/>
  <c r="G387"/>
  <c r="J451"/>
  <c r="H777" i="3"/>
  <c r="H776"/>
  <c r="H773"/>
  <c r="H772"/>
  <c r="H765"/>
  <c r="H750"/>
  <c r="F41" i="2"/>
  <c r="K174" i="4"/>
  <c r="I217" i="3"/>
  <c r="I216"/>
  <c r="I215"/>
  <c r="J174" i="4"/>
  <c r="H217" i="3"/>
  <c r="H216"/>
  <c r="H215"/>
  <c r="J1035" i="4"/>
  <c r="H416" i="3"/>
  <c r="H415"/>
  <c r="H414"/>
  <c r="H413"/>
  <c r="L1101" i="4"/>
  <c r="J944" i="3"/>
  <c r="J943"/>
  <c r="J940"/>
  <c r="J939"/>
  <c r="J938"/>
  <c r="J937"/>
  <c r="K1101" i="4"/>
  <c r="I944" i="3"/>
  <c r="I943"/>
  <c r="I940"/>
  <c r="I939"/>
  <c r="I938"/>
  <c r="I937"/>
  <c r="L451" i="4"/>
  <c r="J777" i="3"/>
  <c r="J776"/>
  <c r="J773"/>
  <c r="J772"/>
  <c r="K451" i="4"/>
  <c r="I777" i="3"/>
  <c r="I776"/>
  <c r="I773"/>
  <c r="I772"/>
  <c r="M1060" i="4"/>
  <c r="O1061"/>
  <c r="M983"/>
  <c r="O984"/>
  <c r="L40" i="5"/>
  <c r="N41"/>
  <c r="L239"/>
  <c r="N240"/>
  <c r="M898" i="4"/>
  <c r="O903"/>
  <c r="M226"/>
  <c r="O227"/>
  <c r="M57"/>
  <c r="O58"/>
  <c r="M899"/>
  <c r="O899"/>
  <c r="O900"/>
  <c r="M390"/>
  <c r="O390"/>
  <c r="O391"/>
  <c r="M93"/>
  <c r="O93"/>
  <c r="O94"/>
  <c r="M997"/>
  <c r="O998"/>
  <c r="M942"/>
  <c r="O942"/>
  <c r="M286"/>
  <c r="O558"/>
  <c r="M812"/>
  <c r="M1070"/>
  <c r="O1071"/>
  <c r="M696"/>
  <c r="O696"/>
  <c r="O697"/>
  <c r="M684"/>
  <c r="O684"/>
  <c r="O685"/>
  <c r="M621"/>
  <c r="O621"/>
  <c r="O622"/>
  <c r="M458"/>
  <c r="O461"/>
  <c r="M130"/>
  <c r="O130"/>
  <c r="O131"/>
  <c r="L486" i="5"/>
  <c r="N487"/>
  <c r="M932" i="4"/>
  <c r="O933"/>
  <c r="M853"/>
  <c r="O856"/>
  <c r="L550" i="5"/>
  <c r="N551"/>
  <c r="M687" i="4"/>
  <c r="O687"/>
  <c r="O688"/>
  <c r="M520"/>
  <c r="O521"/>
  <c r="L70" i="5"/>
  <c r="N71"/>
  <c r="M313" i="4"/>
  <c r="O313"/>
  <c r="O314"/>
  <c r="M153"/>
  <c r="O153"/>
  <c r="O156"/>
  <c r="M846"/>
  <c r="O846"/>
  <c r="O847"/>
  <c r="M778"/>
  <c r="O778"/>
  <c r="O779"/>
  <c r="L252" i="5"/>
  <c r="N253"/>
  <c r="M447" i="4"/>
  <c r="O448"/>
  <c r="O642"/>
  <c r="M878"/>
  <c r="O879"/>
  <c r="M593"/>
  <c r="O593"/>
  <c r="O594"/>
  <c r="M89"/>
  <c r="O89"/>
  <c r="O90"/>
  <c r="M221"/>
  <c r="O222"/>
  <c r="M465"/>
  <c r="O465"/>
  <c r="O466"/>
  <c r="M97"/>
  <c r="O98"/>
  <c r="M681"/>
  <c r="O681"/>
  <c r="O682"/>
  <c r="M582"/>
  <c r="O583"/>
  <c r="M468"/>
  <c r="O468"/>
  <c r="O469"/>
  <c r="M482"/>
  <c r="O482"/>
  <c r="O483"/>
  <c r="M524"/>
  <c r="O524"/>
  <c r="O525"/>
  <c r="M25"/>
  <c r="O26"/>
  <c r="M546"/>
  <c r="O547"/>
  <c r="M719"/>
  <c r="M867"/>
  <c r="O868"/>
  <c r="M1032"/>
  <c r="O1032"/>
  <c r="O1036"/>
  <c r="M803"/>
  <c r="O804"/>
  <c r="M753"/>
  <c r="O756"/>
  <c r="M702"/>
  <c r="O702"/>
  <c r="O703"/>
  <c r="L27" i="5"/>
  <c r="N28"/>
  <c r="M232" i="4"/>
  <c r="O233"/>
  <c r="L257" i="5"/>
  <c r="N258"/>
  <c r="M69" i="4"/>
  <c r="O69"/>
  <c r="O70"/>
  <c r="M16"/>
  <c r="O17"/>
  <c r="L17" i="5"/>
  <c r="N17"/>
  <c r="N18"/>
  <c r="M711" i="4"/>
  <c r="O711"/>
  <c r="O712"/>
  <c r="M693"/>
  <c r="O693"/>
  <c r="O694"/>
  <c r="M624"/>
  <c r="O624"/>
  <c r="O625"/>
  <c r="L79" i="5"/>
  <c r="N80"/>
  <c r="L54"/>
  <c r="N55"/>
  <c r="L33"/>
  <c r="N34"/>
  <c r="M440" i="4"/>
  <c r="O440"/>
  <c r="O441"/>
  <c r="M319"/>
  <c r="O319"/>
  <c r="O320"/>
  <c r="M65"/>
  <c r="O66"/>
  <c r="M331"/>
  <c r="O331"/>
  <c r="O353"/>
  <c r="M360"/>
  <c r="O360"/>
  <c r="O364"/>
  <c r="M119"/>
  <c r="O119"/>
  <c r="O120"/>
  <c r="M1002"/>
  <c r="O1002"/>
  <c r="M34"/>
  <c r="O35"/>
  <c r="M630"/>
  <c r="O630"/>
  <c r="O631"/>
  <c r="L481" i="5"/>
  <c r="N481"/>
  <c r="N464"/>
  <c r="M1044" i="4"/>
  <c r="O1045"/>
  <c r="M863"/>
  <c r="O863"/>
  <c r="M597"/>
  <c r="M490"/>
  <c r="O490"/>
  <c r="O503"/>
  <c r="M743"/>
  <c r="O743"/>
  <c r="O744"/>
  <c r="M72"/>
  <c r="O72"/>
  <c r="O75"/>
  <c r="M49"/>
  <c r="O49"/>
  <c r="O50"/>
  <c r="L538" i="5"/>
  <c r="N539"/>
  <c r="M477" i="4"/>
  <c r="O478"/>
  <c r="M952"/>
  <c r="O952"/>
  <c r="O953"/>
  <c r="M416"/>
  <c r="O416"/>
  <c r="M272"/>
  <c r="O272"/>
  <c r="O273"/>
  <c r="M967"/>
  <c r="O967"/>
  <c r="M1082"/>
  <c r="O1083"/>
  <c r="M707"/>
  <c r="O708"/>
  <c r="M472"/>
  <c r="O472"/>
  <c r="O473"/>
  <c r="M85"/>
  <c r="O85"/>
  <c r="O86"/>
  <c r="M1053"/>
  <c r="O1054"/>
  <c r="M633"/>
  <c r="O633"/>
  <c r="O634"/>
  <c r="M567"/>
  <c r="O568"/>
  <c r="K746" i="3"/>
  <c r="O409" i="4"/>
  <c r="M1077"/>
  <c r="O1078"/>
  <c r="M638"/>
  <c r="O638"/>
  <c r="O639"/>
  <c r="M554"/>
  <c r="O555"/>
  <c r="M487"/>
  <c r="O488"/>
  <c r="M435"/>
  <c r="O435"/>
  <c r="O436"/>
  <c r="M81"/>
  <c r="O82"/>
  <c r="M885"/>
  <c r="O886"/>
  <c r="M731"/>
  <c r="O732"/>
  <c r="M508"/>
  <c r="O508"/>
  <c r="O509"/>
  <c r="M324"/>
  <c r="O325"/>
  <c r="M164"/>
  <c r="O165"/>
  <c r="M1096"/>
  <c r="O1097"/>
  <c r="M738"/>
  <c r="O739"/>
  <c r="M699"/>
  <c r="O699"/>
  <c r="O700"/>
  <c r="M401"/>
  <c r="O401"/>
  <c r="O404"/>
  <c r="M690"/>
  <c r="O690"/>
  <c r="O691"/>
  <c r="M627"/>
  <c r="O627"/>
  <c r="O628"/>
  <c r="M406"/>
  <c r="O406"/>
  <c r="O407"/>
  <c r="M200"/>
  <c r="O201"/>
  <c r="K81" i="3"/>
  <c r="M82"/>
  <c r="K774"/>
  <c r="M775"/>
  <c r="K641"/>
  <c r="M642"/>
  <c r="K531"/>
  <c r="M532"/>
  <c r="K460"/>
  <c r="M461"/>
  <c r="K742"/>
  <c r="M743"/>
  <c r="K851"/>
  <c r="M851"/>
  <c r="M852"/>
  <c r="K183"/>
  <c r="M183"/>
  <c r="M184"/>
  <c r="K257"/>
  <c r="M257"/>
  <c r="M258"/>
  <c r="K654"/>
  <c r="M654"/>
  <c r="M655"/>
  <c r="K534"/>
  <c r="M535"/>
  <c r="K826"/>
  <c r="M827"/>
  <c r="K877"/>
  <c r="M877"/>
  <c r="M878"/>
  <c r="K185"/>
  <c r="M185"/>
  <c r="M186"/>
  <c r="K59"/>
  <c r="M60"/>
  <c r="K929"/>
  <c r="M932"/>
  <c r="K314"/>
  <c r="M315"/>
  <c r="K35"/>
  <c r="M35"/>
  <c r="M36"/>
  <c r="K802"/>
  <c r="M803"/>
  <c r="K77"/>
  <c r="M77"/>
  <c r="M78"/>
  <c r="K610"/>
  <c r="M611"/>
  <c r="K37"/>
  <c r="M37"/>
  <c r="M38"/>
  <c r="K244"/>
  <c r="M245"/>
  <c r="K86"/>
  <c r="M87"/>
  <c r="K553"/>
  <c r="M554"/>
  <c r="K457"/>
  <c r="M458"/>
  <c r="K810"/>
  <c r="M811"/>
  <c r="K613"/>
  <c r="M614"/>
  <c r="K222"/>
  <c r="M222"/>
  <c r="M223"/>
  <c r="K940"/>
  <c r="M943"/>
  <c r="K652"/>
  <c r="M652"/>
  <c r="M653"/>
  <c r="K537"/>
  <c r="M538"/>
  <c r="K525"/>
  <c r="M526"/>
  <c r="K454"/>
  <c r="M455"/>
  <c r="K793"/>
  <c r="M794"/>
  <c r="K879"/>
  <c r="M879"/>
  <c r="M880"/>
  <c r="K270"/>
  <c r="M270"/>
  <c r="M271"/>
  <c r="K224"/>
  <c r="M224"/>
  <c r="M225"/>
  <c r="K171"/>
  <c r="M172"/>
  <c r="K365"/>
  <c r="M366"/>
  <c r="K629"/>
  <c r="M630"/>
  <c r="K540"/>
  <c r="M541"/>
  <c r="K528"/>
  <c r="M529"/>
  <c r="K871"/>
  <c r="M872"/>
  <c r="K820"/>
  <c r="M821"/>
  <c r="K798"/>
  <c r="M799"/>
  <c r="K607"/>
  <c r="M608"/>
  <c r="K272"/>
  <c r="M272"/>
  <c r="M273"/>
  <c r="K190"/>
  <c r="M191"/>
  <c r="K623"/>
  <c r="M624"/>
  <c r="K162"/>
  <c r="M162"/>
  <c r="M163"/>
  <c r="K51"/>
  <c r="M52"/>
  <c r="K215"/>
  <c r="M215"/>
  <c r="M216"/>
  <c r="K462"/>
  <c r="M462"/>
  <c r="M463"/>
  <c r="K542"/>
  <c r="M542"/>
  <c r="M543"/>
  <c r="L485" i="5"/>
  <c r="N486"/>
  <c r="K850" i="3"/>
  <c r="M850"/>
  <c r="M532" i="4"/>
  <c r="O532"/>
  <c r="M762"/>
  <c r="L570" i="5"/>
  <c r="N570"/>
  <c r="M617" i="4"/>
  <c r="O617"/>
  <c r="M736"/>
  <c r="M1001"/>
  <c r="O1001"/>
  <c r="M213"/>
  <c r="M178"/>
  <c r="M148"/>
  <c r="M742"/>
  <c r="K269" i="3"/>
  <c r="I936"/>
  <c r="G51" i="2"/>
  <c r="G50"/>
  <c r="J936" i="3"/>
  <c r="H51" i="2"/>
  <c r="H50"/>
  <c r="H214" i="3"/>
  <c r="H213"/>
  <c r="H212"/>
  <c r="K34"/>
  <c r="M34"/>
  <c r="K739"/>
  <c r="K221"/>
  <c r="M221"/>
  <c r="M238" i="4"/>
  <c r="L174"/>
  <c r="J217" i="3"/>
  <c r="J216"/>
  <c r="J215"/>
  <c r="M395" i="4"/>
  <c r="J1101"/>
  <c r="H944" i="3"/>
  <c r="H943"/>
  <c r="H940"/>
  <c r="H939"/>
  <c r="H938"/>
  <c r="H937"/>
  <c r="K1075" i="4"/>
  <c r="K1073"/>
  <c r="L1073"/>
  <c r="L1054"/>
  <c r="K1054"/>
  <c r="J1054"/>
  <c r="K961"/>
  <c r="J947"/>
  <c r="K947"/>
  <c r="L947"/>
  <c r="K909"/>
  <c r="I285" i="3"/>
  <c r="I284"/>
  <c r="I283"/>
  <c r="I277"/>
  <c r="I276"/>
  <c r="I275"/>
  <c r="G29" i="2"/>
  <c r="H201" i="3"/>
  <c r="H200"/>
  <c r="H197"/>
  <c r="H196"/>
  <c r="M209" i="4"/>
  <c r="O209"/>
  <c r="O213"/>
  <c r="L76" i="5"/>
  <c r="N79"/>
  <c r="M330" i="4"/>
  <c r="O330"/>
  <c r="M135"/>
  <c r="O135"/>
  <c r="O148"/>
  <c r="M171"/>
  <c r="O178"/>
  <c r="M941"/>
  <c r="M271"/>
  <c r="O271"/>
  <c r="M1095"/>
  <c r="O1096"/>
  <c r="M323"/>
  <c r="O324"/>
  <c r="M730"/>
  <c r="O730"/>
  <c r="O731"/>
  <c r="O81"/>
  <c r="M80"/>
  <c r="M486"/>
  <c r="O486"/>
  <c r="O487"/>
  <c r="K745" i="3"/>
  <c r="M746"/>
  <c r="O707" i="4"/>
  <c r="M706"/>
  <c r="L537" i="5"/>
  <c r="N538"/>
  <c r="M1043" i="4"/>
  <c r="O1044"/>
  <c r="M545"/>
  <c r="O546"/>
  <c r="M877"/>
  <c r="O878"/>
  <c r="M446"/>
  <c r="O447"/>
  <c r="L69" i="5"/>
  <c r="N70"/>
  <c r="M852" i="4"/>
  <c r="O853"/>
  <c r="M457"/>
  <c r="O458"/>
  <c r="M1069"/>
  <c r="O1070"/>
  <c r="M285"/>
  <c r="O285"/>
  <c r="O286"/>
  <c r="M1152"/>
  <c r="O742"/>
  <c r="M231"/>
  <c r="O232"/>
  <c r="M811"/>
  <c r="O812"/>
  <c r="M1144"/>
  <c r="O226"/>
  <c r="O1144"/>
  <c r="L238" i="5"/>
  <c r="N239"/>
  <c r="M68" i="4"/>
  <c r="M163"/>
  <c r="O164"/>
  <c r="M884"/>
  <c r="O885"/>
  <c r="M553"/>
  <c r="O554"/>
  <c r="O1077"/>
  <c r="M1076"/>
  <c r="O1076"/>
  <c r="O567"/>
  <c r="M566"/>
  <c r="M1052"/>
  <c r="O1053"/>
  <c r="M1081"/>
  <c r="O1081"/>
  <c r="O1082"/>
  <c r="O1152"/>
  <c r="M476"/>
  <c r="O476"/>
  <c r="O477"/>
  <c r="M33"/>
  <c r="O34"/>
  <c r="M718"/>
  <c r="O718"/>
  <c r="O719"/>
  <c r="M24"/>
  <c r="O24"/>
  <c r="O25"/>
  <c r="O582"/>
  <c r="M581"/>
  <c r="O97"/>
  <c r="O1153"/>
  <c r="M1153"/>
  <c r="M220"/>
  <c r="O221"/>
  <c r="M637"/>
  <c r="O637"/>
  <c r="L251" i="5"/>
  <c r="N252"/>
  <c r="M513" i="4"/>
  <c r="O520"/>
  <c r="L549" i="5"/>
  <c r="N550"/>
  <c r="M914" i="4"/>
  <c r="O932"/>
  <c r="M758"/>
  <c r="O762"/>
  <c r="M592"/>
  <c r="O597"/>
  <c r="L32" i="5"/>
  <c r="N32"/>
  <c r="N33"/>
  <c r="M799" i="4"/>
  <c r="O803"/>
  <c r="M862"/>
  <c r="O867"/>
  <c r="M982"/>
  <c r="O983"/>
  <c r="M237"/>
  <c r="O237"/>
  <c r="O238"/>
  <c r="M674"/>
  <c r="K876" i="3"/>
  <c r="M312" i="4"/>
  <c r="M108"/>
  <c r="O108"/>
  <c r="M1121"/>
  <c r="O1121"/>
  <c r="M64"/>
  <c r="O64"/>
  <c r="O65"/>
  <c r="L53" i="5"/>
  <c r="N54"/>
  <c r="M15" i="4"/>
  <c r="O16"/>
  <c r="L254" i="5"/>
  <c r="N254"/>
  <c r="N257"/>
  <c r="L24"/>
  <c r="N27"/>
  <c r="M752" i="4"/>
  <c r="O752"/>
  <c r="O753"/>
  <c r="M1154"/>
  <c r="O997"/>
  <c r="O1154"/>
  <c r="M56"/>
  <c r="O57"/>
  <c r="M897"/>
  <c r="O897"/>
  <c r="O898"/>
  <c r="L39" i="5"/>
  <c r="N40"/>
  <c r="M1059" i="4"/>
  <c r="O1060"/>
  <c r="M1127"/>
  <c r="O395"/>
  <c r="O1127"/>
  <c r="M735"/>
  <c r="O736"/>
  <c r="M673"/>
  <c r="O674"/>
  <c r="O1113"/>
  <c r="M196"/>
  <c r="O200"/>
  <c r="M737"/>
  <c r="O737"/>
  <c r="O738"/>
  <c r="K736" i="3"/>
  <c r="M736"/>
  <c r="M739"/>
  <c r="K606"/>
  <c r="M607"/>
  <c r="K527"/>
  <c r="M527"/>
  <c r="M528"/>
  <c r="K524"/>
  <c r="M525"/>
  <c r="K456"/>
  <c r="M456"/>
  <c r="M457"/>
  <c r="K928"/>
  <c r="M929"/>
  <c r="K823"/>
  <c r="M826"/>
  <c r="K741"/>
  <c r="M741"/>
  <c r="M742"/>
  <c r="K773"/>
  <c r="M774"/>
  <c r="K75"/>
  <c r="M75"/>
  <c r="K265"/>
  <c r="M269"/>
  <c r="K875"/>
  <c r="M875"/>
  <c r="M876"/>
  <c r="K187"/>
  <c r="M187"/>
  <c r="M190"/>
  <c r="K819"/>
  <c r="M820"/>
  <c r="K628"/>
  <c r="M629"/>
  <c r="K170"/>
  <c r="M171"/>
  <c r="K790"/>
  <c r="M793"/>
  <c r="K612"/>
  <c r="M612"/>
  <c r="M613"/>
  <c r="K83"/>
  <c r="M83"/>
  <c r="M86"/>
  <c r="K530"/>
  <c r="M530"/>
  <c r="M531"/>
  <c r="K76"/>
  <c r="M76"/>
  <c r="K182"/>
  <c r="K651"/>
  <c r="K50"/>
  <c r="M50"/>
  <c r="M51"/>
  <c r="K622"/>
  <c r="M623"/>
  <c r="K797"/>
  <c r="M797"/>
  <c r="M798"/>
  <c r="K870"/>
  <c r="M871"/>
  <c r="K539"/>
  <c r="M539"/>
  <c r="M540"/>
  <c r="K364"/>
  <c r="M365"/>
  <c r="K453"/>
  <c r="M454"/>
  <c r="K536"/>
  <c r="M536"/>
  <c r="M537"/>
  <c r="K939"/>
  <c r="M940"/>
  <c r="K809"/>
  <c r="M810"/>
  <c r="K552"/>
  <c r="M553"/>
  <c r="K243"/>
  <c r="M244"/>
  <c r="K609"/>
  <c r="M609"/>
  <c r="M610"/>
  <c r="K801"/>
  <c r="M802"/>
  <c r="K313"/>
  <c r="M314"/>
  <c r="K58"/>
  <c r="M59"/>
  <c r="K533"/>
  <c r="M533"/>
  <c r="M534"/>
  <c r="K459"/>
  <c r="M459"/>
  <c r="M460"/>
  <c r="K638"/>
  <c r="M641"/>
  <c r="K80"/>
  <c r="M81"/>
  <c r="L484" i="5"/>
  <c r="N485"/>
  <c r="M531" i="4"/>
  <c r="O531"/>
  <c r="M1107"/>
  <c r="M1113"/>
  <c r="M616"/>
  <c r="K33" i="3"/>
  <c r="M107" i="4"/>
  <c r="M1147"/>
  <c r="M208"/>
  <c r="K874" i="3"/>
  <c r="M394" i="4"/>
  <c r="H211" i="3"/>
  <c r="F22" i="2"/>
  <c r="F21"/>
  <c r="H936" i="3"/>
  <c r="F51" i="2"/>
  <c r="F50"/>
  <c r="K214" i="3"/>
  <c r="J531" i="5"/>
  <c r="J530"/>
  <c r="J529"/>
  <c r="I307" i="3"/>
  <c r="I306"/>
  <c r="I305"/>
  <c r="I477" i="5"/>
  <c r="I476"/>
  <c r="I475"/>
  <c r="I466"/>
  <c r="I465"/>
  <c r="I464"/>
  <c r="H359" i="3"/>
  <c r="H358"/>
  <c r="H357"/>
  <c r="H348"/>
  <c r="K477" i="5"/>
  <c r="K476"/>
  <c r="K475"/>
  <c r="K466"/>
  <c r="K465"/>
  <c r="K464"/>
  <c r="J359" i="3"/>
  <c r="J358"/>
  <c r="J357"/>
  <c r="J348"/>
  <c r="J347"/>
  <c r="J346"/>
  <c r="H31" i="2"/>
  <c r="J528" i="5"/>
  <c r="J527"/>
  <c r="J526"/>
  <c r="I304" i="3"/>
  <c r="I303"/>
  <c r="I302"/>
  <c r="I536" i="5"/>
  <c r="I535"/>
  <c r="I534"/>
  <c r="H312" i="3"/>
  <c r="H311"/>
  <c r="H310"/>
  <c r="L961" i="4"/>
  <c r="J342" i="3"/>
  <c r="J341"/>
  <c r="J340"/>
  <c r="J333"/>
  <c r="J322"/>
  <c r="I342"/>
  <c r="I341"/>
  <c r="I340"/>
  <c r="I333"/>
  <c r="I322"/>
  <c r="J477" i="5"/>
  <c r="J476"/>
  <c r="J475"/>
  <c r="J466"/>
  <c r="J465"/>
  <c r="J464"/>
  <c r="I359" i="3"/>
  <c r="I358"/>
  <c r="I357"/>
  <c r="I348"/>
  <c r="I347"/>
  <c r="I346"/>
  <c r="G31" i="2"/>
  <c r="L1075" i="4"/>
  <c r="I201" i="3"/>
  <c r="I200"/>
  <c r="I197"/>
  <c r="I196"/>
  <c r="L909" i="4"/>
  <c r="J285" i="3"/>
  <c r="J284"/>
  <c r="J283"/>
  <c r="J277"/>
  <c r="J276"/>
  <c r="J275"/>
  <c r="H29" i="2"/>
  <c r="L977" i="4"/>
  <c r="L844"/>
  <c r="K844"/>
  <c r="J844"/>
  <c r="K824"/>
  <c r="K823"/>
  <c r="K822"/>
  <c r="L826"/>
  <c r="L825"/>
  <c r="K826"/>
  <c r="K825"/>
  <c r="J826"/>
  <c r="J825"/>
  <c r="I826"/>
  <c r="I825"/>
  <c r="G826"/>
  <c r="G825"/>
  <c r="L823"/>
  <c r="L822"/>
  <c r="J823"/>
  <c r="J822"/>
  <c r="I823"/>
  <c r="I822"/>
  <c r="G823"/>
  <c r="G822"/>
  <c r="L796"/>
  <c r="L795"/>
  <c r="K796"/>
  <c r="K795"/>
  <c r="J796"/>
  <c r="J795"/>
  <c r="I796"/>
  <c r="I795"/>
  <c r="G796"/>
  <c r="G795"/>
  <c r="L671"/>
  <c r="L670"/>
  <c r="K671"/>
  <c r="K670"/>
  <c r="J671"/>
  <c r="J670"/>
  <c r="I671"/>
  <c r="I670"/>
  <c r="G671"/>
  <c r="G670"/>
  <c r="J651"/>
  <c r="J614"/>
  <c r="J613"/>
  <c r="I614"/>
  <c r="I613"/>
  <c r="G614"/>
  <c r="G613"/>
  <c r="K615"/>
  <c r="J146" i="5"/>
  <c r="J145"/>
  <c r="J144"/>
  <c r="J611" i="4"/>
  <c r="J610"/>
  <c r="I611"/>
  <c r="I610"/>
  <c r="G611"/>
  <c r="G610"/>
  <c r="K612"/>
  <c r="J143" i="5"/>
  <c r="J142"/>
  <c r="J141"/>
  <c r="M311" i="4"/>
  <c r="O312"/>
  <c r="M203"/>
  <c r="O203"/>
  <c r="O208"/>
  <c r="M236"/>
  <c r="M219"/>
  <c r="O219"/>
  <c r="O220"/>
  <c r="M1143"/>
  <c r="O68"/>
  <c r="O1143"/>
  <c r="M230"/>
  <c r="O231"/>
  <c r="O457"/>
  <c r="M456"/>
  <c r="L68" i="5"/>
  <c r="N69"/>
  <c r="M876" i="4"/>
  <c r="O877"/>
  <c r="M1042"/>
  <c r="O1043"/>
  <c r="M1094"/>
  <c r="O1095"/>
  <c r="M170"/>
  <c r="O171"/>
  <c r="M1058"/>
  <c r="O1058"/>
  <c r="O1059"/>
  <c r="M1051"/>
  <c r="O1052"/>
  <c r="M883"/>
  <c r="O883"/>
  <c r="O884"/>
  <c r="M1145"/>
  <c r="O80"/>
  <c r="O1145"/>
  <c r="O33"/>
  <c r="M32"/>
  <c r="M565"/>
  <c r="O565"/>
  <c r="O566"/>
  <c r="N238" i="5"/>
  <c r="L237"/>
  <c r="M810" i="4"/>
  <c r="O810"/>
  <c r="O811"/>
  <c r="M1068"/>
  <c r="O1068"/>
  <c r="O1069"/>
  <c r="O852"/>
  <c r="M845"/>
  <c r="O845"/>
  <c r="O446"/>
  <c r="M439"/>
  <c r="M540"/>
  <c r="O540"/>
  <c r="O545"/>
  <c r="L518" i="5"/>
  <c r="N537"/>
  <c r="M745" i="3"/>
  <c r="K744"/>
  <c r="M322" i="4"/>
  <c r="O322"/>
  <c r="O323"/>
  <c r="M913"/>
  <c r="O913"/>
  <c r="O941"/>
  <c r="N24" i="5"/>
  <c r="L23"/>
  <c r="M14" i="4"/>
  <c r="O15"/>
  <c r="M861"/>
  <c r="O861"/>
  <c r="O862"/>
  <c r="M751"/>
  <c r="O758"/>
  <c r="N549" i="5"/>
  <c r="L548"/>
  <c r="N251"/>
  <c r="L250"/>
  <c r="L259"/>
  <c r="N259"/>
  <c r="L75"/>
  <c r="N76"/>
  <c r="M1130" i="4"/>
  <c r="M245"/>
  <c r="L38" i="5"/>
  <c r="N39"/>
  <c r="M55" i="4"/>
  <c r="O55"/>
  <c r="O56"/>
  <c r="L52" i="5"/>
  <c r="N53"/>
  <c r="O982" i="4"/>
  <c r="M966"/>
  <c r="O799"/>
  <c r="M798"/>
  <c r="O592"/>
  <c r="M1141"/>
  <c r="O914"/>
  <c r="O1151"/>
  <c r="M1151"/>
  <c r="O513"/>
  <c r="O1130"/>
  <c r="M512"/>
  <c r="O512"/>
  <c r="M573"/>
  <c r="O581"/>
  <c r="O553"/>
  <c r="M552"/>
  <c r="M162"/>
  <c r="O163"/>
  <c r="O706"/>
  <c r="M705"/>
  <c r="O705"/>
  <c r="O1147"/>
  <c r="M591"/>
  <c r="O591"/>
  <c r="O616"/>
  <c r="M729"/>
  <c r="O729"/>
  <c r="O735"/>
  <c r="M329"/>
  <c r="O329"/>
  <c r="O394"/>
  <c r="M63"/>
  <c r="O107"/>
  <c r="M195"/>
  <c r="O196"/>
  <c r="M1118"/>
  <c r="M636"/>
  <c r="O636"/>
  <c r="O673"/>
  <c r="K213" i="3"/>
  <c r="M214"/>
  <c r="K938"/>
  <c r="M939"/>
  <c r="M453"/>
  <c r="K452"/>
  <c r="M790"/>
  <c r="K789"/>
  <c r="K627"/>
  <c r="M627"/>
  <c r="M628"/>
  <c r="K264"/>
  <c r="M265"/>
  <c r="M606"/>
  <c r="K605"/>
  <c r="K32"/>
  <c r="M33"/>
  <c r="M80"/>
  <c r="K79"/>
  <c r="K57"/>
  <c r="M58"/>
  <c r="K800"/>
  <c r="M800"/>
  <c r="M801"/>
  <c r="K239"/>
  <c r="M243"/>
  <c r="K808"/>
  <c r="M808"/>
  <c r="M809"/>
  <c r="K363"/>
  <c r="M364"/>
  <c r="M870"/>
  <c r="K846"/>
  <c r="K621"/>
  <c r="M622"/>
  <c r="K175"/>
  <c r="M182"/>
  <c r="K145"/>
  <c r="M145"/>
  <c r="M170"/>
  <c r="K818"/>
  <c r="M818"/>
  <c r="M819"/>
  <c r="K637"/>
  <c r="M637"/>
  <c r="M638"/>
  <c r="K295"/>
  <c r="M313"/>
  <c r="K551"/>
  <c r="M552"/>
  <c r="K647"/>
  <c r="M651"/>
  <c r="K921"/>
  <c r="M921"/>
  <c r="M928"/>
  <c r="M524"/>
  <c r="K514"/>
  <c r="K873"/>
  <c r="M874"/>
  <c r="K772"/>
  <c r="M773"/>
  <c r="K822"/>
  <c r="M822"/>
  <c r="M823"/>
  <c r="L483" i="5"/>
  <c r="N484"/>
  <c r="M530" i="4"/>
  <c r="O530"/>
  <c r="J124" i="5"/>
  <c r="J123"/>
  <c r="J122"/>
  <c r="J147"/>
  <c r="H347" i="3"/>
  <c r="H346"/>
  <c r="F31" i="2"/>
  <c r="I900" i="3"/>
  <c r="I899"/>
  <c r="I898"/>
  <c r="J344" i="5"/>
  <c r="J343"/>
  <c r="J342"/>
  <c r="J327"/>
  <c r="J326"/>
  <c r="J325"/>
  <c r="J356"/>
  <c r="J355"/>
  <c r="J352"/>
  <c r="J351"/>
  <c r="J350"/>
  <c r="J349"/>
  <c r="I920" i="3"/>
  <c r="I919"/>
  <c r="I916"/>
  <c r="I915"/>
  <c r="I914"/>
  <c r="K528" i="5"/>
  <c r="K527"/>
  <c r="K526"/>
  <c r="J304" i="3"/>
  <c r="J303"/>
  <c r="J302"/>
  <c r="J481" i="5"/>
  <c r="J463"/>
  <c r="K481"/>
  <c r="K463"/>
  <c r="I463"/>
  <c r="I481"/>
  <c r="K611" i="4"/>
  <c r="K610"/>
  <c r="I447" i="3"/>
  <c r="I446"/>
  <c r="I445"/>
  <c r="K614" i="4"/>
  <c r="K613"/>
  <c r="I450" i="3"/>
  <c r="I449"/>
  <c r="I448"/>
  <c r="I173" i="5"/>
  <c r="I172"/>
  <c r="I171"/>
  <c r="I170"/>
  <c r="H491" i="3"/>
  <c r="H490"/>
  <c r="H489"/>
  <c r="H474"/>
  <c r="H469"/>
  <c r="I356" i="5"/>
  <c r="I355"/>
  <c r="I352"/>
  <c r="I351"/>
  <c r="I350"/>
  <c r="I349"/>
  <c r="H920" i="3"/>
  <c r="H919"/>
  <c r="H916"/>
  <c r="H915"/>
  <c r="H914"/>
  <c r="K356" i="5"/>
  <c r="K355"/>
  <c r="K352"/>
  <c r="K351"/>
  <c r="K350"/>
  <c r="K349"/>
  <c r="J920" i="3"/>
  <c r="J919"/>
  <c r="J916"/>
  <c r="J915"/>
  <c r="J914"/>
  <c r="K531" i="5"/>
  <c r="K530"/>
  <c r="K529"/>
  <c r="J307" i="3"/>
  <c r="J306"/>
  <c r="J305"/>
  <c r="J536" i="5"/>
  <c r="J535"/>
  <c r="J534"/>
  <c r="I312" i="3"/>
  <c r="I311"/>
  <c r="I310"/>
  <c r="J201"/>
  <c r="J200"/>
  <c r="J197"/>
  <c r="J196"/>
  <c r="K651" i="4"/>
  <c r="L612"/>
  <c r="K143" i="5"/>
  <c r="K142"/>
  <c r="K141"/>
  <c r="L615" i="4"/>
  <c r="K146" i="5"/>
  <c r="K145"/>
  <c r="K144"/>
  <c r="M551" i="4"/>
  <c r="O552"/>
  <c r="M1149"/>
  <c r="O966"/>
  <c r="O1149"/>
  <c r="M965"/>
  <c r="O965"/>
  <c r="O245"/>
  <c r="M244"/>
  <c r="O244"/>
  <c r="L517" i="5"/>
  <c r="N518"/>
  <c r="M1093" i="4"/>
  <c r="O1094"/>
  <c r="M875"/>
  <c r="O875"/>
  <c r="O876"/>
  <c r="M777"/>
  <c r="O798"/>
  <c r="O1124"/>
  <c r="M1124"/>
  <c r="O751"/>
  <c r="M741"/>
  <c r="O741"/>
  <c r="M13"/>
  <c r="O14"/>
  <c r="M1050"/>
  <c r="O1051"/>
  <c r="M169"/>
  <c r="O170"/>
  <c r="O1042"/>
  <c r="M1041"/>
  <c r="M1129"/>
  <c r="L67" i="5"/>
  <c r="N68"/>
  <c r="M225" i="4"/>
  <c r="O225"/>
  <c r="O230"/>
  <c r="O1141"/>
  <c r="L249" i="5"/>
  <c r="N250"/>
  <c r="M744" i="3"/>
  <c r="K730"/>
  <c r="M590" i="4"/>
  <c r="M161"/>
  <c r="O162"/>
  <c r="O573"/>
  <c r="M572"/>
  <c r="O572"/>
  <c r="L51" i="5"/>
  <c r="N52"/>
  <c r="L37"/>
  <c r="N38"/>
  <c r="L74"/>
  <c r="N75"/>
  <c r="L547"/>
  <c r="N547"/>
  <c r="N548"/>
  <c r="L22"/>
  <c r="N23"/>
  <c r="M415" i="4"/>
  <c r="O439"/>
  <c r="L236" i="5"/>
  <c r="N237"/>
  <c r="M31" i="4"/>
  <c r="O31"/>
  <c r="O32"/>
  <c r="M1140"/>
  <c r="O456"/>
  <c r="O1140"/>
  <c r="M455"/>
  <c r="M235"/>
  <c r="O236"/>
  <c r="M284"/>
  <c r="O311"/>
  <c r="M571"/>
  <c r="O571"/>
  <c r="O590"/>
  <c r="M30"/>
  <c r="O30"/>
  <c r="O63"/>
  <c r="O1118"/>
  <c r="O1107"/>
  <c r="O195"/>
  <c r="M187"/>
  <c r="M789" i="3"/>
  <c r="K788"/>
  <c r="K765"/>
  <c r="M772"/>
  <c r="K546"/>
  <c r="M546"/>
  <c r="M551"/>
  <c r="K615"/>
  <c r="M621"/>
  <c r="K347"/>
  <c r="M363"/>
  <c r="K238"/>
  <c r="M239"/>
  <c r="K56"/>
  <c r="M57"/>
  <c r="K31"/>
  <c r="M32"/>
  <c r="M264"/>
  <c r="K259"/>
  <c r="K937"/>
  <c r="M938"/>
  <c r="M514"/>
  <c r="K513"/>
  <c r="M846"/>
  <c r="K845"/>
  <c r="M845"/>
  <c r="M79"/>
  <c r="K604"/>
  <c r="M605"/>
  <c r="M452"/>
  <c r="K451"/>
  <c r="I46" i="2"/>
  <c r="K46"/>
  <c r="M873" i="3"/>
  <c r="K636"/>
  <c r="M647"/>
  <c r="M295"/>
  <c r="K294"/>
  <c r="K144"/>
  <c r="M144"/>
  <c r="M175"/>
  <c r="K212"/>
  <c r="M213"/>
  <c r="L482" i="5"/>
  <c r="N483"/>
  <c r="M529" i="4"/>
  <c r="O529"/>
  <c r="I888" i="3"/>
  <c r="I887"/>
  <c r="I886"/>
  <c r="G48" i="2"/>
  <c r="J348" i="5"/>
  <c r="J331"/>
  <c r="K124"/>
  <c r="K123"/>
  <c r="K122"/>
  <c r="K147"/>
  <c r="L611" i="4"/>
  <c r="L610"/>
  <c r="J447" i="3"/>
  <c r="J446"/>
  <c r="J445"/>
  <c r="I429"/>
  <c r="I424"/>
  <c r="J173" i="5"/>
  <c r="J172"/>
  <c r="J171"/>
  <c r="J170"/>
  <c r="I491" i="3"/>
  <c r="I490"/>
  <c r="I489"/>
  <c r="I474"/>
  <c r="I469"/>
  <c r="L614" i="4"/>
  <c r="L613"/>
  <c r="J450" i="3"/>
  <c r="J449"/>
  <c r="J448"/>
  <c r="K536" i="5"/>
  <c r="K535"/>
  <c r="K534"/>
  <c r="J312" i="3"/>
  <c r="J311"/>
  <c r="J310"/>
  <c r="K357" i="5"/>
  <c r="K296"/>
  <c r="I357"/>
  <c r="I296"/>
  <c r="I169"/>
  <c r="I148"/>
  <c r="I195"/>
  <c r="I106"/>
  <c r="J357"/>
  <c r="J296"/>
  <c r="L651" i="4"/>
  <c r="L650"/>
  <c r="L649"/>
  <c r="K535"/>
  <c r="K534"/>
  <c r="I522"/>
  <c r="G872" i="3"/>
  <c r="G871"/>
  <c r="G870"/>
  <c r="J463" i="4"/>
  <c r="K445"/>
  <c r="K443"/>
  <c r="I769" i="3"/>
  <c r="I768"/>
  <c r="L351" i="4"/>
  <c r="L350"/>
  <c r="K351"/>
  <c r="K350"/>
  <c r="J351"/>
  <c r="J350"/>
  <c r="I351"/>
  <c r="I350"/>
  <c r="G351"/>
  <c r="G350"/>
  <c r="I309"/>
  <c r="I308"/>
  <c r="L309"/>
  <c r="L308"/>
  <c r="K309"/>
  <c r="K308"/>
  <c r="J309"/>
  <c r="J308"/>
  <c r="G309"/>
  <c r="G308"/>
  <c r="K224"/>
  <c r="I786" i="3"/>
  <c r="I785"/>
  <c r="I784"/>
  <c r="I783"/>
  <c r="K182" i="4"/>
  <c r="I225" i="3"/>
  <c r="I224"/>
  <c r="I221"/>
  <c r="K185" i="4"/>
  <c r="I228" i="3"/>
  <c r="I227"/>
  <c r="I226"/>
  <c r="J71" i="4"/>
  <c r="K71"/>
  <c r="K70"/>
  <c r="K69"/>
  <c r="L71"/>
  <c r="K43"/>
  <c r="I44" i="3"/>
  <c r="I43"/>
  <c r="I42"/>
  <c r="I41"/>
  <c r="K36" i="4"/>
  <c r="L36"/>
  <c r="L35"/>
  <c r="K19"/>
  <c r="I61" i="3"/>
  <c r="I60"/>
  <c r="J21" i="4"/>
  <c r="H63" i="3"/>
  <c r="H62"/>
  <c r="H59"/>
  <c r="H58"/>
  <c r="H57"/>
  <c r="H56"/>
  <c r="F16" i="2"/>
  <c r="L1102" i="4"/>
  <c r="K1102"/>
  <c r="J1102"/>
  <c r="I1102"/>
  <c r="L1100"/>
  <c r="L1097"/>
  <c r="L1096"/>
  <c r="L1095"/>
  <c r="K1100"/>
  <c r="K1097"/>
  <c r="K1096"/>
  <c r="K1095"/>
  <c r="J1100"/>
  <c r="J1097"/>
  <c r="J1096"/>
  <c r="J1095"/>
  <c r="G944" i="3"/>
  <c r="G943"/>
  <c r="G940"/>
  <c r="G939"/>
  <c r="G938"/>
  <c r="G937"/>
  <c r="L1084" i="4"/>
  <c r="L1083"/>
  <c r="L1082"/>
  <c r="L1081"/>
  <c r="K1084"/>
  <c r="K1083"/>
  <c r="K1082"/>
  <c r="K1081"/>
  <c r="J1084"/>
  <c r="J1083"/>
  <c r="J1082"/>
  <c r="J1081"/>
  <c r="I1084"/>
  <c r="I1083"/>
  <c r="I1082"/>
  <c r="I1081"/>
  <c r="L1079"/>
  <c r="L1078"/>
  <c r="L1077"/>
  <c r="K1079"/>
  <c r="K1078"/>
  <c r="K1077"/>
  <c r="J1079"/>
  <c r="J1078"/>
  <c r="J1077"/>
  <c r="I1079"/>
  <c r="I1078"/>
  <c r="I1077"/>
  <c r="L1074"/>
  <c r="K1074"/>
  <c r="J1074"/>
  <c r="I1074"/>
  <c r="L1072"/>
  <c r="K1072"/>
  <c r="K1071"/>
  <c r="K1070"/>
  <c r="K1069"/>
  <c r="K1068"/>
  <c r="J1072"/>
  <c r="I1072"/>
  <c r="L1066"/>
  <c r="K1066"/>
  <c r="J1066"/>
  <c r="I1066"/>
  <c r="L1064"/>
  <c r="K1064"/>
  <c r="J1064"/>
  <c r="I1064"/>
  <c r="L1062"/>
  <c r="K1062"/>
  <c r="J1062"/>
  <c r="I1062"/>
  <c r="L1056"/>
  <c r="K1056"/>
  <c r="J1056"/>
  <c r="I1056"/>
  <c r="G18" i="3"/>
  <c r="G17"/>
  <c r="L1046" i="4"/>
  <c r="L1045"/>
  <c r="L1044"/>
  <c r="L1043"/>
  <c r="L1042"/>
  <c r="K1046"/>
  <c r="K1045"/>
  <c r="K1044"/>
  <c r="K1043"/>
  <c r="K1042"/>
  <c r="J1046"/>
  <c r="J1045"/>
  <c r="J1044"/>
  <c r="J1043"/>
  <c r="J1042"/>
  <c r="I1046"/>
  <c r="I1045"/>
  <c r="I1044"/>
  <c r="I1043"/>
  <c r="I1042"/>
  <c r="L1039"/>
  <c r="J1039"/>
  <c r="G421" i="3"/>
  <c r="G420"/>
  <c r="K1039" i="4"/>
  <c r="L1037"/>
  <c r="J1037"/>
  <c r="J1036"/>
  <c r="G419" i="3"/>
  <c r="G418"/>
  <c r="K1037" i="4"/>
  <c r="L1034"/>
  <c r="L1033"/>
  <c r="K1034"/>
  <c r="K1033"/>
  <c r="J1034"/>
  <c r="J1033"/>
  <c r="I1034"/>
  <c r="I1033"/>
  <c r="L1031"/>
  <c r="J412" i="3"/>
  <c r="J411"/>
  <c r="K1031" i="4"/>
  <c r="I412" i="3"/>
  <c r="I411"/>
  <c r="J1031" i="4"/>
  <c r="H412" i="3"/>
  <c r="H411"/>
  <c r="I1031" i="4"/>
  <c r="G412" i="3"/>
  <c r="G411"/>
  <c r="I1028" i="4"/>
  <c r="K1026"/>
  <c r="G408" i="3"/>
  <c r="G407"/>
  <c r="L1026" i="4"/>
  <c r="J1026"/>
  <c r="L1020"/>
  <c r="L1019"/>
  <c r="K1020"/>
  <c r="K1019"/>
  <c r="J1020"/>
  <c r="J1019"/>
  <c r="I1020"/>
  <c r="I1019"/>
  <c r="L1017"/>
  <c r="L1016"/>
  <c r="K1017"/>
  <c r="K1016"/>
  <c r="K1015"/>
  <c r="J1017"/>
  <c r="J1016"/>
  <c r="J1015"/>
  <c r="I1017"/>
  <c r="I1016"/>
  <c r="L1013"/>
  <c r="L1012"/>
  <c r="K1013"/>
  <c r="K1012"/>
  <c r="J1013"/>
  <c r="J1012"/>
  <c r="I1013"/>
  <c r="I1012"/>
  <c r="L1010"/>
  <c r="L1009"/>
  <c r="K1010"/>
  <c r="K1009"/>
  <c r="J1010"/>
  <c r="J1009"/>
  <c r="I1010"/>
  <c r="I1009"/>
  <c r="L1007"/>
  <c r="L1006"/>
  <c r="K1007"/>
  <c r="K1006"/>
  <c r="J1007"/>
  <c r="J1006"/>
  <c r="I1007"/>
  <c r="I1006"/>
  <c r="L1004"/>
  <c r="L1003"/>
  <c r="J1004"/>
  <c r="J1003"/>
  <c r="I1005"/>
  <c r="G386" i="3"/>
  <c r="G385"/>
  <c r="G384"/>
  <c r="G383"/>
  <c r="G382"/>
  <c r="K1004" i="4"/>
  <c r="K1003"/>
  <c r="L999"/>
  <c r="L998"/>
  <c r="L997"/>
  <c r="L1154"/>
  <c r="K999"/>
  <c r="K998"/>
  <c r="K997"/>
  <c r="K1154"/>
  <c r="J999"/>
  <c r="J998"/>
  <c r="J997"/>
  <c r="J1154"/>
  <c r="I999"/>
  <c r="I998"/>
  <c r="I997"/>
  <c r="I1154"/>
  <c r="L995"/>
  <c r="L994"/>
  <c r="K995"/>
  <c r="K994"/>
  <c r="J995"/>
  <c r="J994"/>
  <c r="I995"/>
  <c r="I994"/>
  <c r="L992"/>
  <c r="L991"/>
  <c r="K992"/>
  <c r="K991"/>
  <c r="J992"/>
  <c r="J991"/>
  <c r="I992"/>
  <c r="I991"/>
  <c r="L989"/>
  <c r="L988"/>
  <c r="K989"/>
  <c r="K988"/>
  <c r="J989"/>
  <c r="J988"/>
  <c r="I989"/>
  <c r="I988"/>
  <c r="L986"/>
  <c r="K986"/>
  <c r="J986"/>
  <c r="I986"/>
  <c r="K984"/>
  <c r="I985"/>
  <c r="I984"/>
  <c r="L984"/>
  <c r="J984"/>
  <c r="K977"/>
  <c r="K976"/>
  <c r="J977"/>
  <c r="J976"/>
  <c r="I977"/>
  <c r="I976"/>
  <c r="L976"/>
  <c r="L972"/>
  <c r="L971"/>
  <c r="K972"/>
  <c r="K971"/>
  <c r="J972"/>
  <c r="J971"/>
  <c r="I972"/>
  <c r="I971"/>
  <c r="L969"/>
  <c r="L968"/>
  <c r="K969"/>
  <c r="K968"/>
  <c r="J969"/>
  <c r="J968"/>
  <c r="I969"/>
  <c r="I968"/>
  <c r="L960"/>
  <c r="L959"/>
  <c r="K960"/>
  <c r="K959"/>
  <c r="J960"/>
  <c r="J959"/>
  <c r="I960"/>
  <c r="I959"/>
  <c r="L956"/>
  <c r="K956"/>
  <c r="J956"/>
  <c r="I956"/>
  <c r="L954"/>
  <c r="K954"/>
  <c r="J954"/>
  <c r="G336" i="3"/>
  <c r="G335"/>
  <c r="G334"/>
  <c r="G333"/>
  <c r="L950" i="4"/>
  <c r="L949"/>
  <c r="K950"/>
  <c r="K949"/>
  <c r="J950"/>
  <c r="J949"/>
  <c r="I950"/>
  <c r="I949"/>
  <c r="L946"/>
  <c r="J946"/>
  <c r="I947"/>
  <c r="I946"/>
  <c r="K946"/>
  <c r="K944"/>
  <c r="K943"/>
  <c r="I945"/>
  <c r="G326" i="3"/>
  <c r="G325"/>
  <c r="G324"/>
  <c r="G323"/>
  <c r="L944" i="4"/>
  <c r="L943"/>
  <c r="J944"/>
  <c r="J943"/>
  <c r="I940"/>
  <c r="I936"/>
  <c r="I935"/>
  <c r="I934"/>
  <c r="I931"/>
  <c r="I926"/>
  <c r="I923"/>
  <c r="I919"/>
  <c r="I918"/>
  <c r="I916"/>
  <c r="I915"/>
  <c r="L908"/>
  <c r="L907"/>
  <c r="J908"/>
  <c r="J907"/>
  <c r="I909"/>
  <c r="G285" i="3"/>
  <c r="G284"/>
  <c r="G283"/>
  <c r="K908" i="4"/>
  <c r="K907"/>
  <c r="K905"/>
  <c r="K904"/>
  <c r="I906"/>
  <c r="G282" i="3"/>
  <c r="G281"/>
  <c r="G278"/>
  <c r="L905" i="4"/>
  <c r="L904"/>
  <c r="J905"/>
  <c r="J904"/>
  <c r="L911"/>
  <c r="L910"/>
  <c r="K911"/>
  <c r="K910"/>
  <c r="J911"/>
  <c r="J910"/>
  <c r="I911"/>
  <c r="I910"/>
  <c r="L901"/>
  <c r="L900"/>
  <c r="L899"/>
  <c r="K901"/>
  <c r="K900"/>
  <c r="K899"/>
  <c r="J901"/>
  <c r="J900"/>
  <c r="J899"/>
  <c r="I901"/>
  <c r="I900"/>
  <c r="I899"/>
  <c r="L895"/>
  <c r="K895"/>
  <c r="J895"/>
  <c r="J894"/>
  <c r="I895"/>
  <c r="L894"/>
  <c r="L887"/>
  <c r="L886"/>
  <c r="L885"/>
  <c r="L884"/>
  <c r="L883"/>
  <c r="K887"/>
  <c r="K886"/>
  <c r="K885"/>
  <c r="K884"/>
  <c r="K883"/>
  <c r="J887"/>
  <c r="J886"/>
  <c r="J885"/>
  <c r="J884"/>
  <c r="J883"/>
  <c r="I887"/>
  <c r="I886"/>
  <c r="I885"/>
  <c r="I884"/>
  <c r="I883"/>
  <c r="L880"/>
  <c r="L879"/>
  <c r="L878"/>
  <c r="L877"/>
  <c r="L876"/>
  <c r="L875"/>
  <c r="K880"/>
  <c r="K879"/>
  <c r="K878"/>
  <c r="K877"/>
  <c r="K876"/>
  <c r="K875"/>
  <c r="J880"/>
  <c r="J879"/>
  <c r="J878"/>
  <c r="J877"/>
  <c r="J876"/>
  <c r="J875"/>
  <c r="I880"/>
  <c r="I879"/>
  <c r="I878"/>
  <c r="I877"/>
  <c r="I876"/>
  <c r="I875"/>
  <c r="L873"/>
  <c r="K873"/>
  <c r="J873"/>
  <c r="I873"/>
  <c r="K871"/>
  <c r="G201" i="3"/>
  <c r="G200"/>
  <c r="L871" i="4"/>
  <c r="J871"/>
  <c r="L869"/>
  <c r="K869"/>
  <c r="J869"/>
  <c r="G199" i="3"/>
  <c r="G198"/>
  <c r="L865" i="4"/>
  <c r="L864"/>
  <c r="L863"/>
  <c r="K865"/>
  <c r="K864"/>
  <c r="J865"/>
  <c r="J864"/>
  <c r="J863"/>
  <c r="I865"/>
  <c r="I864"/>
  <c r="I863"/>
  <c r="L859"/>
  <c r="J935" i="3"/>
  <c r="J934"/>
  <c r="K859" i="4"/>
  <c r="I935" i="3"/>
  <c r="I934"/>
  <c r="J859" i="4"/>
  <c r="H935" i="3"/>
  <c r="H934"/>
  <c r="I859" i="4"/>
  <c r="G935" i="3"/>
  <c r="G934"/>
  <c r="G933"/>
  <c r="G932"/>
  <c r="L854" i="4"/>
  <c r="K854"/>
  <c r="J854"/>
  <c r="G931" i="3"/>
  <c r="G930"/>
  <c r="L850" i="4"/>
  <c r="K850"/>
  <c r="J850"/>
  <c r="I850"/>
  <c r="L848"/>
  <c r="K848"/>
  <c r="J848"/>
  <c r="I848"/>
  <c r="L843"/>
  <c r="J843"/>
  <c r="I844"/>
  <c r="K843"/>
  <c r="L841"/>
  <c r="K841"/>
  <c r="J841"/>
  <c r="I841"/>
  <c r="L835"/>
  <c r="K835"/>
  <c r="J835"/>
  <c r="I835"/>
  <c r="L834"/>
  <c r="L833"/>
  <c r="L1133"/>
  <c r="K834"/>
  <c r="K833"/>
  <c r="K1133"/>
  <c r="J834"/>
  <c r="J833"/>
  <c r="J1133"/>
  <c r="I834"/>
  <c r="I833"/>
  <c r="I1133"/>
  <c r="L820"/>
  <c r="L819"/>
  <c r="K820"/>
  <c r="K819"/>
  <c r="J820"/>
  <c r="J819"/>
  <c r="I820"/>
  <c r="I819"/>
  <c r="L817"/>
  <c r="L816"/>
  <c r="K817"/>
  <c r="K816"/>
  <c r="J817"/>
  <c r="J816"/>
  <c r="I818"/>
  <c r="L814"/>
  <c r="L813"/>
  <c r="J814"/>
  <c r="J813"/>
  <c r="K814"/>
  <c r="K813"/>
  <c r="L808"/>
  <c r="L807"/>
  <c r="L806"/>
  <c r="K808"/>
  <c r="K807"/>
  <c r="K806"/>
  <c r="J808"/>
  <c r="J807"/>
  <c r="J806"/>
  <c r="I808"/>
  <c r="I807"/>
  <c r="I806"/>
  <c r="L805"/>
  <c r="K805"/>
  <c r="K804"/>
  <c r="K803"/>
  <c r="J805"/>
  <c r="I805"/>
  <c r="L801"/>
  <c r="L800"/>
  <c r="K801"/>
  <c r="K800"/>
  <c r="J801"/>
  <c r="J800"/>
  <c r="I801"/>
  <c r="I800"/>
  <c r="L793"/>
  <c r="L792"/>
  <c r="K793"/>
  <c r="K792"/>
  <c r="J793"/>
  <c r="J792"/>
  <c r="I793"/>
  <c r="I792"/>
  <c r="L790"/>
  <c r="L789"/>
  <c r="K790"/>
  <c r="K789"/>
  <c r="J790"/>
  <c r="J789"/>
  <c r="I790"/>
  <c r="I789"/>
  <c r="L787"/>
  <c r="L786"/>
  <c r="K787"/>
  <c r="K786"/>
  <c r="J787"/>
  <c r="J786"/>
  <c r="I787"/>
  <c r="I786"/>
  <c r="L784"/>
  <c r="L783"/>
  <c r="K784"/>
  <c r="K783"/>
  <c r="J784"/>
  <c r="J783"/>
  <c r="I784"/>
  <c r="I783"/>
  <c r="L781"/>
  <c r="L780"/>
  <c r="J781"/>
  <c r="J780"/>
  <c r="K781"/>
  <c r="K780"/>
  <c r="L768"/>
  <c r="J657" i="3"/>
  <c r="J656"/>
  <c r="K768" i="4"/>
  <c r="I657" i="3"/>
  <c r="I656"/>
  <c r="J768" i="4"/>
  <c r="H657" i="3"/>
  <c r="H656"/>
  <c r="I768" i="4"/>
  <c r="G657" i="3"/>
  <c r="G656"/>
  <c r="G655"/>
  <c r="G654"/>
  <c r="L763" i="4"/>
  <c r="J763"/>
  <c r="G653" i="3"/>
  <c r="G652"/>
  <c r="K763" i="4"/>
  <c r="K760"/>
  <c r="K759"/>
  <c r="I761"/>
  <c r="G650" i="3"/>
  <c r="G649"/>
  <c r="G648"/>
  <c r="L760" i="4"/>
  <c r="L759"/>
  <c r="J760"/>
  <c r="J759"/>
  <c r="L756"/>
  <c r="G642" i="3"/>
  <c r="G641"/>
  <c r="K756" i="4"/>
  <c r="J756"/>
  <c r="L754"/>
  <c r="J754"/>
  <c r="G640" i="3"/>
  <c r="G639"/>
  <c r="K754" i="4"/>
  <c r="L749"/>
  <c r="K749"/>
  <c r="J749"/>
  <c r="I749"/>
  <c r="L747"/>
  <c r="K747"/>
  <c r="J747"/>
  <c r="I747"/>
  <c r="L745"/>
  <c r="L744"/>
  <c r="L743"/>
  <c r="K745"/>
  <c r="J745"/>
  <c r="I745"/>
  <c r="L740"/>
  <c r="J625" i="3"/>
  <c r="J624"/>
  <c r="J623"/>
  <c r="J622"/>
  <c r="J621"/>
  <c r="J615"/>
  <c r="H37" i="2"/>
  <c r="K740" i="4"/>
  <c r="I625" i="3"/>
  <c r="I624"/>
  <c r="I623"/>
  <c r="I622"/>
  <c r="I621"/>
  <c r="I615"/>
  <c r="G37" i="2"/>
  <c r="J740" i="4"/>
  <c r="H625" i="3"/>
  <c r="H624"/>
  <c r="H623"/>
  <c r="H622"/>
  <c r="H621"/>
  <c r="H615"/>
  <c r="F37" i="2"/>
  <c r="I740" i="4"/>
  <c r="G625" i="3"/>
  <c r="G624"/>
  <c r="G623"/>
  <c r="G622"/>
  <c r="G621"/>
  <c r="G615"/>
  <c r="E37" i="2"/>
  <c r="L733" i="4"/>
  <c r="L732"/>
  <c r="L731"/>
  <c r="L730"/>
  <c r="K733"/>
  <c r="K732"/>
  <c r="K731"/>
  <c r="K730"/>
  <c r="J733"/>
  <c r="J732"/>
  <c r="J731"/>
  <c r="J730"/>
  <c r="I733"/>
  <c r="I732"/>
  <c r="I731"/>
  <c r="I730"/>
  <c r="L727"/>
  <c r="L726"/>
  <c r="K727"/>
  <c r="K726"/>
  <c r="J727"/>
  <c r="J726"/>
  <c r="I727"/>
  <c r="I726"/>
  <c r="L724"/>
  <c r="L723"/>
  <c r="K724"/>
  <c r="K723"/>
  <c r="J724"/>
  <c r="J723"/>
  <c r="I724"/>
  <c r="I723"/>
  <c r="L721"/>
  <c r="L720"/>
  <c r="K721"/>
  <c r="K720"/>
  <c r="J721"/>
  <c r="J720"/>
  <c r="I721"/>
  <c r="I720"/>
  <c r="L713"/>
  <c r="J554" i="3"/>
  <c r="J553"/>
  <c r="J552"/>
  <c r="J551"/>
  <c r="J546"/>
  <c r="K713" i="4"/>
  <c r="I554" i="3"/>
  <c r="I553"/>
  <c r="I552"/>
  <c r="I551"/>
  <c r="I546"/>
  <c r="J713" i="4"/>
  <c r="H554" i="3"/>
  <c r="H553"/>
  <c r="H552"/>
  <c r="H551"/>
  <c r="H546"/>
  <c r="I713" i="4"/>
  <c r="G554" i="3"/>
  <c r="G553"/>
  <c r="G552"/>
  <c r="G551"/>
  <c r="K709" i="4"/>
  <c r="K708"/>
  <c r="K707"/>
  <c r="L709"/>
  <c r="L708"/>
  <c r="L707"/>
  <c r="J709"/>
  <c r="J708"/>
  <c r="J707"/>
  <c r="L704"/>
  <c r="J544" i="3"/>
  <c r="J543"/>
  <c r="J542"/>
  <c r="K704" i="4"/>
  <c r="I544" i="3"/>
  <c r="I543"/>
  <c r="I542"/>
  <c r="J704" i="4"/>
  <c r="H544" i="3"/>
  <c r="H543"/>
  <c r="H542"/>
  <c r="I704" i="4"/>
  <c r="G544" i="3"/>
  <c r="G543"/>
  <c r="G542"/>
  <c r="L701" i="4"/>
  <c r="J541" i="3"/>
  <c r="J540"/>
  <c r="J539"/>
  <c r="K701" i="4"/>
  <c r="I541" i="3"/>
  <c r="I540"/>
  <c r="I539"/>
  <c r="J701" i="4"/>
  <c r="H541" i="3"/>
  <c r="H540"/>
  <c r="H539"/>
  <c r="I701" i="4"/>
  <c r="G541" i="3"/>
  <c r="G540"/>
  <c r="G539"/>
  <c r="L698" i="4"/>
  <c r="J538" i="3"/>
  <c r="J537"/>
  <c r="J536"/>
  <c r="K698" i="4"/>
  <c r="I538" i="3"/>
  <c r="I537"/>
  <c r="I536"/>
  <c r="J698" i="4"/>
  <c r="H538" i="3"/>
  <c r="H537"/>
  <c r="H536"/>
  <c r="I698" i="4"/>
  <c r="G538" i="3"/>
  <c r="G537"/>
  <c r="G536"/>
  <c r="L695" i="4"/>
  <c r="J535" i="3"/>
  <c r="J534"/>
  <c r="J533"/>
  <c r="K695" i="4"/>
  <c r="I535" i="3"/>
  <c r="I534"/>
  <c r="I533"/>
  <c r="J695" i="4"/>
  <c r="H535" i="3"/>
  <c r="H534"/>
  <c r="H533"/>
  <c r="I695" i="4"/>
  <c r="G535" i="3"/>
  <c r="G534"/>
  <c r="G533"/>
  <c r="L692" i="4"/>
  <c r="J532" i="3"/>
  <c r="J531"/>
  <c r="J530"/>
  <c r="K692" i="4"/>
  <c r="I532" i="3"/>
  <c r="I531"/>
  <c r="I530"/>
  <c r="J692" i="4"/>
  <c r="H532" i="3"/>
  <c r="H531"/>
  <c r="H530"/>
  <c r="I692" i="4"/>
  <c r="G532" i="3"/>
  <c r="G531"/>
  <c r="G530"/>
  <c r="L689" i="4"/>
  <c r="J529" i="3"/>
  <c r="J528"/>
  <c r="J527"/>
  <c r="K689" i="4"/>
  <c r="I529" i="3"/>
  <c r="I528"/>
  <c r="I527"/>
  <c r="J689" i="4"/>
  <c r="H529" i="3"/>
  <c r="H528"/>
  <c r="H527"/>
  <c r="I689" i="4"/>
  <c r="G529" i="3"/>
  <c r="G528"/>
  <c r="G527"/>
  <c r="L686" i="4"/>
  <c r="J526" i="3"/>
  <c r="J525"/>
  <c r="J524"/>
  <c r="K686" i="4"/>
  <c r="I526" i="3"/>
  <c r="I525"/>
  <c r="I524"/>
  <c r="J686" i="4"/>
  <c r="H526" i="3"/>
  <c r="H525"/>
  <c r="H524"/>
  <c r="I686" i="4"/>
  <c r="G526" i="3"/>
  <c r="G525"/>
  <c r="G524"/>
  <c r="L683" i="4"/>
  <c r="K683"/>
  <c r="K682"/>
  <c r="K681"/>
  <c r="J683"/>
  <c r="J682"/>
  <c r="J681"/>
  <c r="I683"/>
  <c r="I682"/>
  <c r="I681"/>
  <c r="L682"/>
  <c r="L681"/>
  <c r="L679"/>
  <c r="L678"/>
  <c r="K679"/>
  <c r="K678"/>
  <c r="J679"/>
  <c r="J678"/>
  <c r="I679"/>
  <c r="I678"/>
  <c r="L676"/>
  <c r="L675"/>
  <c r="K676"/>
  <c r="K675"/>
  <c r="J676"/>
  <c r="J675"/>
  <c r="I676"/>
  <c r="I675"/>
  <c r="L668"/>
  <c r="L667"/>
  <c r="K668"/>
  <c r="K667"/>
  <c r="J668"/>
  <c r="J667"/>
  <c r="I668"/>
  <c r="I667"/>
  <c r="L665"/>
  <c r="L664"/>
  <c r="K665"/>
  <c r="K664"/>
  <c r="J665"/>
  <c r="J664"/>
  <c r="I665"/>
  <c r="I664"/>
  <c r="L662"/>
  <c r="L661"/>
  <c r="K662"/>
  <c r="K661"/>
  <c r="J662"/>
  <c r="J661"/>
  <c r="I662"/>
  <c r="I661"/>
  <c r="L659"/>
  <c r="L658"/>
  <c r="J659"/>
  <c r="J658"/>
  <c r="I660"/>
  <c r="K659"/>
  <c r="K658"/>
  <c r="L656"/>
  <c r="L655"/>
  <c r="K656"/>
  <c r="K655"/>
  <c r="J656"/>
  <c r="J655"/>
  <c r="I656"/>
  <c r="I655"/>
  <c r="L653"/>
  <c r="L652"/>
  <c r="K653"/>
  <c r="K652"/>
  <c r="J653"/>
  <c r="J652"/>
  <c r="I653"/>
  <c r="I652"/>
  <c r="K650"/>
  <c r="K649"/>
  <c r="J650"/>
  <c r="J649"/>
  <c r="L647"/>
  <c r="L646"/>
  <c r="K647"/>
  <c r="K646"/>
  <c r="J647"/>
  <c r="J646"/>
  <c r="I647"/>
  <c r="I646"/>
  <c r="L644"/>
  <c r="L643"/>
  <c r="K644"/>
  <c r="K643"/>
  <c r="J644"/>
  <c r="J643"/>
  <c r="I644"/>
  <c r="I643"/>
  <c r="L640"/>
  <c r="L639"/>
  <c r="L638"/>
  <c r="J640"/>
  <c r="J639"/>
  <c r="J638"/>
  <c r="K640"/>
  <c r="K639"/>
  <c r="K638"/>
  <c r="L635"/>
  <c r="L634"/>
  <c r="L633"/>
  <c r="K635"/>
  <c r="K634"/>
  <c r="K633"/>
  <c r="J635"/>
  <c r="J634"/>
  <c r="J633"/>
  <c r="I635"/>
  <c r="I634"/>
  <c r="I633"/>
  <c r="L632"/>
  <c r="J464" i="3"/>
  <c r="J463"/>
  <c r="J462"/>
  <c r="K632" i="4"/>
  <c r="I464" i="3"/>
  <c r="I463"/>
  <c r="I462"/>
  <c r="J632" i="4"/>
  <c r="H464" i="3"/>
  <c r="H463"/>
  <c r="H462"/>
  <c r="I632" i="4"/>
  <c r="G464" i="3"/>
  <c r="G463"/>
  <c r="G462"/>
  <c r="L629" i="4"/>
  <c r="J461" i="3"/>
  <c r="J460"/>
  <c r="J459"/>
  <c r="K629" i="4"/>
  <c r="I461" i="3"/>
  <c r="I460"/>
  <c r="I459"/>
  <c r="J629" i="4"/>
  <c r="H461" i="3"/>
  <c r="H460"/>
  <c r="H459"/>
  <c r="I629" i="4"/>
  <c r="G461" i="3"/>
  <c r="G460"/>
  <c r="G459"/>
  <c r="L626" i="4"/>
  <c r="J458" i="3"/>
  <c r="J457"/>
  <c r="J456"/>
  <c r="K626" i="4"/>
  <c r="I458" i="3"/>
  <c r="I457"/>
  <c r="I456"/>
  <c r="J626" i="4"/>
  <c r="H458" i="3"/>
  <c r="H457"/>
  <c r="H456"/>
  <c r="I626" i="4"/>
  <c r="G458" i="3"/>
  <c r="G457"/>
  <c r="G456"/>
  <c r="L623" i="4"/>
  <c r="J455" i="3"/>
  <c r="J454"/>
  <c r="J453"/>
  <c r="K623" i="4"/>
  <c r="I455" i="3"/>
  <c r="I454"/>
  <c r="I453"/>
  <c r="J623" i="4"/>
  <c r="H455" i="3"/>
  <c r="H454"/>
  <c r="H453"/>
  <c r="I623" i="4"/>
  <c r="G455" i="3"/>
  <c r="G454"/>
  <c r="G453"/>
  <c r="L619" i="4"/>
  <c r="L618"/>
  <c r="K619"/>
  <c r="K618"/>
  <c r="J619"/>
  <c r="J618"/>
  <c r="I619"/>
  <c r="I618"/>
  <c r="L608"/>
  <c r="L607"/>
  <c r="K608"/>
  <c r="K607"/>
  <c r="J608"/>
  <c r="J607"/>
  <c r="I608"/>
  <c r="I607"/>
  <c r="L605"/>
  <c r="L604"/>
  <c r="K605"/>
  <c r="K604"/>
  <c r="J605"/>
  <c r="J604"/>
  <c r="I605"/>
  <c r="I604"/>
  <c r="L602"/>
  <c r="L601"/>
  <c r="K602"/>
  <c r="K601"/>
  <c r="I603"/>
  <c r="J602"/>
  <c r="J601"/>
  <c r="L599"/>
  <c r="L598"/>
  <c r="K599"/>
  <c r="K598"/>
  <c r="J599"/>
  <c r="J598"/>
  <c r="I599"/>
  <c r="I598"/>
  <c r="L595"/>
  <c r="L594"/>
  <c r="L593"/>
  <c r="K595"/>
  <c r="K594"/>
  <c r="K593"/>
  <c r="J595"/>
  <c r="J594"/>
  <c r="J593"/>
  <c r="L584"/>
  <c r="L583"/>
  <c r="L582"/>
  <c r="K584"/>
  <c r="K583"/>
  <c r="K582"/>
  <c r="J584"/>
  <c r="J583"/>
  <c r="J582"/>
  <c r="I584"/>
  <c r="I583"/>
  <c r="I582"/>
  <c r="L570"/>
  <c r="L569"/>
  <c r="L568"/>
  <c r="L567"/>
  <c r="L566"/>
  <c r="L565"/>
  <c r="K570"/>
  <c r="K569"/>
  <c r="K568"/>
  <c r="K567"/>
  <c r="K566"/>
  <c r="K565"/>
  <c r="J570"/>
  <c r="J569"/>
  <c r="J568"/>
  <c r="J567"/>
  <c r="J566"/>
  <c r="J565"/>
  <c r="I570"/>
  <c r="I569"/>
  <c r="I568"/>
  <c r="I567"/>
  <c r="I566"/>
  <c r="I565"/>
  <c r="L563"/>
  <c r="L562"/>
  <c r="K563"/>
  <c r="K562"/>
  <c r="J563"/>
  <c r="J562"/>
  <c r="I563"/>
  <c r="I562"/>
  <c r="L560"/>
  <c r="L559"/>
  <c r="K560"/>
  <c r="K559"/>
  <c r="J560"/>
  <c r="J559"/>
  <c r="I560"/>
  <c r="I559"/>
  <c r="L556"/>
  <c r="L555"/>
  <c r="L554"/>
  <c r="L553"/>
  <c r="K556"/>
  <c r="K555"/>
  <c r="K554"/>
  <c r="K553"/>
  <c r="J556"/>
  <c r="J555"/>
  <c r="J554"/>
  <c r="J553"/>
  <c r="I556"/>
  <c r="I555"/>
  <c r="I554"/>
  <c r="I553"/>
  <c r="I549"/>
  <c r="G178" i="3"/>
  <c r="G177"/>
  <c r="G176"/>
  <c r="L548" i="4"/>
  <c r="L547"/>
  <c r="L546"/>
  <c r="L545"/>
  <c r="L540"/>
  <c r="K548"/>
  <c r="K547"/>
  <c r="K546"/>
  <c r="K545"/>
  <c r="K540"/>
  <c r="J548"/>
  <c r="J547"/>
  <c r="J546"/>
  <c r="J545"/>
  <c r="J540"/>
  <c r="L539"/>
  <c r="K539"/>
  <c r="J539"/>
  <c r="I539"/>
  <c r="I538"/>
  <c r="I537"/>
  <c r="I536"/>
  <c r="J534"/>
  <c r="I534"/>
  <c r="L526"/>
  <c r="L525"/>
  <c r="L524"/>
  <c r="K526"/>
  <c r="K525"/>
  <c r="K524"/>
  <c r="J526"/>
  <c r="J525"/>
  <c r="J524"/>
  <c r="I526"/>
  <c r="I525"/>
  <c r="I524"/>
  <c r="L521"/>
  <c r="L520"/>
  <c r="K521"/>
  <c r="K520"/>
  <c r="J521"/>
  <c r="J520"/>
  <c r="L518"/>
  <c r="L517"/>
  <c r="K518"/>
  <c r="K517"/>
  <c r="J518"/>
  <c r="J517"/>
  <c r="I518"/>
  <c r="I517"/>
  <c r="L515"/>
  <c r="L514"/>
  <c r="K515"/>
  <c r="K514"/>
  <c r="J515"/>
  <c r="J514"/>
  <c r="I515"/>
  <c r="I514"/>
  <c r="L510"/>
  <c r="L509"/>
  <c r="L508"/>
  <c r="J510"/>
  <c r="J509"/>
  <c r="J508"/>
  <c r="I511"/>
  <c r="K510"/>
  <c r="K509"/>
  <c r="K508"/>
  <c r="L506"/>
  <c r="K506"/>
  <c r="J506"/>
  <c r="I506"/>
  <c r="L504"/>
  <c r="L503"/>
  <c r="K504"/>
  <c r="J504"/>
  <c r="I504"/>
  <c r="L501"/>
  <c r="L500"/>
  <c r="K501"/>
  <c r="K500"/>
  <c r="J501"/>
  <c r="J500"/>
  <c r="I501"/>
  <c r="I500"/>
  <c r="L498"/>
  <c r="L497"/>
  <c r="K498"/>
  <c r="K497"/>
  <c r="J498"/>
  <c r="J497"/>
  <c r="I498"/>
  <c r="I497"/>
  <c r="L493"/>
  <c r="K493"/>
  <c r="J493"/>
  <c r="J492"/>
  <c r="J491"/>
  <c r="I493"/>
  <c r="L489"/>
  <c r="K489"/>
  <c r="J489"/>
  <c r="I489"/>
  <c r="L484"/>
  <c r="L483"/>
  <c r="L482"/>
  <c r="K484"/>
  <c r="K483"/>
  <c r="K482"/>
  <c r="J484"/>
  <c r="J483"/>
  <c r="J482"/>
  <c r="L480"/>
  <c r="K480"/>
  <c r="J480"/>
  <c r="I480"/>
  <c r="L479"/>
  <c r="L478"/>
  <c r="L477"/>
  <c r="L476"/>
  <c r="K479"/>
  <c r="J479"/>
  <c r="J478"/>
  <c r="I479"/>
  <c r="L474"/>
  <c r="L473"/>
  <c r="L472"/>
  <c r="K474"/>
  <c r="K473"/>
  <c r="K472"/>
  <c r="J474"/>
  <c r="J473"/>
  <c r="J472"/>
  <c r="I474"/>
  <c r="I473"/>
  <c r="I472"/>
  <c r="L471"/>
  <c r="K471"/>
  <c r="J471"/>
  <c r="I471"/>
  <c r="L467"/>
  <c r="K467"/>
  <c r="K466"/>
  <c r="K465"/>
  <c r="J467"/>
  <c r="I467"/>
  <c r="L463"/>
  <c r="K463"/>
  <c r="I463"/>
  <c r="L462"/>
  <c r="K462"/>
  <c r="J462"/>
  <c r="I462"/>
  <c r="L452"/>
  <c r="K452"/>
  <c r="J452"/>
  <c r="I452"/>
  <c r="G777" i="3"/>
  <c r="G776"/>
  <c r="L450" i="4"/>
  <c r="K450"/>
  <c r="J450"/>
  <c r="G775" i="3"/>
  <c r="G774"/>
  <c r="L448" i="4"/>
  <c r="K448"/>
  <c r="J448"/>
  <c r="I448"/>
  <c r="J444"/>
  <c r="I444"/>
  <c r="J442"/>
  <c r="I442"/>
  <c r="L437"/>
  <c r="L436"/>
  <c r="L435"/>
  <c r="K437"/>
  <c r="K436"/>
  <c r="K435"/>
  <c r="J437"/>
  <c r="J436"/>
  <c r="J435"/>
  <c r="I437"/>
  <c r="I436"/>
  <c r="I435"/>
  <c r="I431"/>
  <c r="I430"/>
  <c r="I429"/>
  <c r="L430"/>
  <c r="L429"/>
  <c r="K430"/>
  <c r="K429"/>
  <c r="J430"/>
  <c r="J429"/>
  <c r="L424"/>
  <c r="L423"/>
  <c r="K424"/>
  <c r="K423"/>
  <c r="J424"/>
  <c r="J423"/>
  <c r="I424"/>
  <c r="I423"/>
  <c r="L418"/>
  <c r="L417"/>
  <c r="K418"/>
  <c r="K417"/>
  <c r="J418"/>
  <c r="J417"/>
  <c r="I418"/>
  <c r="I417"/>
  <c r="L413"/>
  <c r="L412"/>
  <c r="K413"/>
  <c r="K412"/>
  <c r="J413"/>
  <c r="J412"/>
  <c r="I413"/>
  <c r="I412"/>
  <c r="L411"/>
  <c r="L410"/>
  <c r="L409"/>
  <c r="J746" i="3"/>
  <c r="J745"/>
  <c r="J744"/>
  <c r="K411" i="4"/>
  <c r="K410"/>
  <c r="K409"/>
  <c r="I746" i="3"/>
  <c r="I745"/>
  <c r="I744"/>
  <c r="J411" i="4"/>
  <c r="J410"/>
  <c r="J409"/>
  <c r="H746" i="3"/>
  <c r="H745"/>
  <c r="H744"/>
  <c r="I411" i="4"/>
  <c r="I410"/>
  <c r="I409"/>
  <c r="G746" i="3"/>
  <c r="G745"/>
  <c r="G744"/>
  <c r="L408" i="4"/>
  <c r="J743" i="3"/>
  <c r="J742"/>
  <c r="J741"/>
  <c r="K408" i="4"/>
  <c r="I743" i="3"/>
  <c r="I742"/>
  <c r="I741"/>
  <c r="J408" i="4"/>
  <c r="H743" i="3"/>
  <c r="H742"/>
  <c r="H741"/>
  <c r="I408" i="4"/>
  <c r="G743" i="3"/>
  <c r="G742"/>
  <c r="G741"/>
  <c r="L405" i="4"/>
  <c r="J740" i="3"/>
  <c r="K405" i="4"/>
  <c r="I740" i="3"/>
  <c r="J405" i="4"/>
  <c r="H740" i="3"/>
  <c r="I405" i="4"/>
  <c r="G740" i="3"/>
  <c r="L402" i="4"/>
  <c r="K402"/>
  <c r="J402"/>
  <c r="I402"/>
  <c r="L400"/>
  <c r="L399"/>
  <c r="K400"/>
  <c r="K399"/>
  <c r="J400"/>
  <c r="J399"/>
  <c r="I400"/>
  <c r="I399"/>
  <c r="L398"/>
  <c r="L397"/>
  <c r="K398"/>
  <c r="K397"/>
  <c r="J398"/>
  <c r="J397"/>
  <c r="I398"/>
  <c r="I397"/>
  <c r="L392"/>
  <c r="L391"/>
  <c r="L390"/>
  <c r="L1148"/>
  <c r="K392"/>
  <c r="K391"/>
  <c r="K390"/>
  <c r="K1148"/>
  <c r="J392"/>
  <c r="J391"/>
  <c r="J390"/>
  <c r="J1148"/>
  <c r="I392"/>
  <c r="I391"/>
  <c r="I390"/>
  <c r="I1148"/>
  <c r="L385"/>
  <c r="L384"/>
  <c r="K385"/>
  <c r="K384"/>
  <c r="J385"/>
  <c r="J384"/>
  <c r="I385"/>
  <c r="I384"/>
  <c r="L382"/>
  <c r="L381"/>
  <c r="K382"/>
  <c r="K381"/>
  <c r="J382"/>
  <c r="J381"/>
  <c r="I382"/>
  <c r="I381"/>
  <c r="L379"/>
  <c r="L378"/>
  <c r="K379"/>
  <c r="K378"/>
  <c r="J379"/>
  <c r="J378"/>
  <c r="I379"/>
  <c r="I378"/>
  <c r="L376"/>
  <c r="L375"/>
  <c r="K376"/>
  <c r="K375"/>
  <c r="J376"/>
  <c r="J375"/>
  <c r="I376"/>
  <c r="I375"/>
  <c r="L373"/>
  <c r="L372"/>
  <c r="K373"/>
  <c r="K372"/>
  <c r="J373"/>
  <c r="J372"/>
  <c r="I373"/>
  <c r="I372"/>
  <c r="L370"/>
  <c r="L369"/>
  <c r="K370"/>
  <c r="K369"/>
  <c r="J370"/>
  <c r="J369"/>
  <c r="I370"/>
  <c r="I369"/>
  <c r="L367"/>
  <c r="K367"/>
  <c r="J367"/>
  <c r="I367"/>
  <c r="L365"/>
  <c r="L364"/>
  <c r="K365"/>
  <c r="K364"/>
  <c r="J365"/>
  <c r="I365"/>
  <c r="I363"/>
  <c r="L362"/>
  <c r="L361"/>
  <c r="K362"/>
  <c r="K361"/>
  <c r="J362"/>
  <c r="J361"/>
  <c r="L358"/>
  <c r="K358"/>
  <c r="J358"/>
  <c r="I358"/>
  <c r="L356"/>
  <c r="K356"/>
  <c r="J356"/>
  <c r="I356"/>
  <c r="L354"/>
  <c r="K354"/>
  <c r="J354"/>
  <c r="I354"/>
  <c r="L348"/>
  <c r="L347"/>
  <c r="K348"/>
  <c r="K347"/>
  <c r="J348"/>
  <c r="J347"/>
  <c r="I348"/>
  <c r="I347"/>
  <c r="L345"/>
  <c r="L344"/>
  <c r="K345"/>
  <c r="K344"/>
  <c r="J345"/>
  <c r="J344"/>
  <c r="I345"/>
  <c r="I344"/>
  <c r="I343"/>
  <c r="I342"/>
  <c r="I341"/>
  <c r="L342"/>
  <c r="L341"/>
  <c r="K342"/>
  <c r="K341"/>
  <c r="J342"/>
  <c r="J341"/>
  <c r="L339"/>
  <c r="L338"/>
  <c r="K339"/>
  <c r="K338"/>
  <c r="J339"/>
  <c r="J338"/>
  <c r="I339"/>
  <c r="I338"/>
  <c r="L336"/>
  <c r="L335"/>
  <c r="K336"/>
  <c r="K335"/>
  <c r="J336"/>
  <c r="J335"/>
  <c r="I336"/>
  <c r="I335"/>
  <c r="I334"/>
  <c r="L333"/>
  <c r="L332"/>
  <c r="K333"/>
  <c r="K332"/>
  <c r="J333"/>
  <c r="J332"/>
  <c r="L326"/>
  <c r="L325"/>
  <c r="L324"/>
  <c r="L323"/>
  <c r="L322"/>
  <c r="K326"/>
  <c r="K325"/>
  <c r="K324"/>
  <c r="K323"/>
  <c r="K322"/>
  <c r="J326"/>
  <c r="J325"/>
  <c r="J324"/>
  <c r="J323"/>
  <c r="J322"/>
  <c r="I326"/>
  <c r="I325"/>
  <c r="I324"/>
  <c r="I323"/>
  <c r="I322"/>
  <c r="L321"/>
  <c r="K321"/>
  <c r="J321"/>
  <c r="I321"/>
  <c r="L318"/>
  <c r="L317"/>
  <c r="L316"/>
  <c r="K318"/>
  <c r="K317"/>
  <c r="K316"/>
  <c r="J318"/>
  <c r="J317"/>
  <c r="J316"/>
  <c r="I318"/>
  <c r="I317"/>
  <c r="I316"/>
  <c r="L315"/>
  <c r="J608" i="3"/>
  <c r="J607"/>
  <c r="J606"/>
  <c r="K315" i="4"/>
  <c r="I608" i="3"/>
  <c r="I607"/>
  <c r="I606"/>
  <c r="J315" i="4"/>
  <c r="H608" i="3"/>
  <c r="H607"/>
  <c r="H606"/>
  <c r="I315" i="4"/>
  <c r="G608" i="3"/>
  <c r="G607"/>
  <c r="G606"/>
  <c r="L306" i="4"/>
  <c r="L305"/>
  <c r="K306"/>
  <c r="K305"/>
  <c r="J306"/>
  <c r="J305"/>
  <c r="I306"/>
  <c r="I305"/>
  <c r="L303"/>
  <c r="L302"/>
  <c r="K303"/>
  <c r="K302"/>
  <c r="J303"/>
  <c r="J302"/>
  <c r="I303"/>
  <c r="I302"/>
  <c r="L300"/>
  <c r="L299"/>
  <c r="K300"/>
  <c r="K299"/>
  <c r="J300"/>
  <c r="J299"/>
  <c r="I300"/>
  <c r="I299"/>
  <c r="L297"/>
  <c r="L296"/>
  <c r="K297"/>
  <c r="K296"/>
  <c r="J297"/>
  <c r="J296"/>
  <c r="I297"/>
  <c r="I296"/>
  <c r="L294"/>
  <c r="L293"/>
  <c r="K294"/>
  <c r="K293"/>
  <c r="J294"/>
  <c r="J293"/>
  <c r="I294"/>
  <c r="I293"/>
  <c r="L291"/>
  <c r="L290"/>
  <c r="K291"/>
  <c r="K290"/>
  <c r="J291"/>
  <c r="J290"/>
  <c r="I291"/>
  <c r="I290"/>
  <c r="L288"/>
  <c r="L287"/>
  <c r="K288"/>
  <c r="K287"/>
  <c r="J288"/>
  <c r="J287"/>
  <c r="I288"/>
  <c r="I287"/>
  <c r="L274"/>
  <c r="K274"/>
  <c r="J274"/>
  <c r="I274"/>
  <c r="L242"/>
  <c r="J880" i="3"/>
  <c r="J879"/>
  <c r="K242" i="4"/>
  <c r="I880" i="3"/>
  <c r="I879"/>
  <c r="J242" i="4"/>
  <c r="H880" i="3"/>
  <c r="H879"/>
  <c r="I242" i="4"/>
  <c r="G880" i="3"/>
  <c r="G879"/>
  <c r="L240" i="4"/>
  <c r="J878" i="3"/>
  <c r="J877"/>
  <c r="J876"/>
  <c r="J875"/>
  <c r="J874"/>
  <c r="J873"/>
  <c r="H46" i="2"/>
  <c r="K240" i="4"/>
  <c r="I878" i="3"/>
  <c r="I877"/>
  <c r="I876"/>
  <c r="I875"/>
  <c r="I874"/>
  <c r="I873"/>
  <c r="G46" i="2"/>
  <c r="J240" i="4"/>
  <c r="H878" i="3"/>
  <c r="H877"/>
  <c r="I240" i="4"/>
  <c r="G878" i="3"/>
  <c r="G877"/>
  <c r="L234" i="4"/>
  <c r="J852" i="3"/>
  <c r="J851"/>
  <c r="J850"/>
  <c r="J846"/>
  <c r="J845"/>
  <c r="K234" i="4"/>
  <c r="I852" i="3"/>
  <c r="I851"/>
  <c r="I850"/>
  <c r="I846"/>
  <c r="I845"/>
  <c r="J234" i="4"/>
  <c r="H852" i="3"/>
  <c r="H851"/>
  <c r="H850"/>
  <c r="H846"/>
  <c r="H845"/>
  <c r="I234" i="4"/>
  <c r="G852" i="3"/>
  <c r="G851"/>
  <c r="G850"/>
  <c r="L228" i="4"/>
  <c r="L227"/>
  <c r="L226"/>
  <c r="K228"/>
  <c r="K227"/>
  <c r="K226"/>
  <c r="J228"/>
  <c r="J227"/>
  <c r="J226"/>
  <c r="I228"/>
  <c r="I227"/>
  <c r="I226"/>
  <c r="J223"/>
  <c r="J222"/>
  <c r="J221"/>
  <c r="J220"/>
  <c r="J219"/>
  <c r="I223"/>
  <c r="I222"/>
  <c r="I221"/>
  <c r="I220"/>
  <c r="I219"/>
  <c r="L217"/>
  <c r="J273" i="3"/>
  <c r="J272"/>
  <c r="K217" i="4"/>
  <c r="I273" i="3"/>
  <c r="I272"/>
  <c r="J217" i="4"/>
  <c r="H273" i="3"/>
  <c r="H272"/>
  <c r="I217" i="4"/>
  <c r="G273" i="3"/>
  <c r="G272"/>
  <c r="L215" i="4"/>
  <c r="J271" i="3"/>
  <c r="J270"/>
  <c r="K215" i="4"/>
  <c r="I271" i="3"/>
  <c r="I270"/>
  <c r="J215" i="4"/>
  <c r="H271" i="3"/>
  <c r="H270"/>
  <c r="I215" i="4"/>
  <c r="G271" i="3"/>
  <c r="G270"/>
  <c r="L211" i="4"/>
  <c r="L210"/>
  <c r="K211"/>
  <c r="K210"/>
  <c r="J211"/>
  <c r="J210"/>
  <c r="I211"/>
  <c r="I210"/>
  <c r="L202"/>
  <c r="J245" i="3"/>
  <c r="J244"/>
  <c r="J243"/>
  <c r="J239"/>
  <c r="J238"/>
  <c r="K202" i="4"/>
  <c r="I245" i="3"/>
  <c r="I244"/>
  <c r="I243"/>
  <c r="I239"/>
  <c r="I238"/>
  <c r="J202" i="4"/>
  <c r="H245" i="3"/>
  <c r="H244"/>
  <c r="H243"/>
  <c r="H239"/>
  <c r="H238"/>
  <c r="I202" i="4"/>
  <c r="G245" i="3"/>
  <c r="G244"/>
  <c r="G243"/>
  <c r="G239"/>
  <c r="G238"/>
  <c r="J184" i="4"/>
  <c r="J183"/>
  <c r="I184"/>
  <c r="I183"/>
  <c r="I182"/>
  <c r="G225" i="3"/>
  <c r="G224"/>
  <c r="J181" i="4"/>
  <c r="G223" i="3"/>
  <c r="G222"/>
  <c r="L179" i="4"/>
  <c r="K179"/>
  <c r="J179"/>
  <c r="I179"/>
  <c r="L176"/>
  <c r="L175"/>
  <c r="K176"/>
  <c r="K175"/>
  <c r="J176"/>
  <c r="J175"/>
  <c r="I176"/>
  <c r="I175"/>
  <c r="G217" i="3"/>
  <c r="G216"/>
  <c r="G215"/>
  <c r="L173" i="4"/>
  <c r="L172"/>
  <c r="K173"/>
  <c r="K172"/>
  <c r="J173"/>
  <c r="J172"/>
  <c r="I173"/>
  <c r="I172"/>
  <c r="L166"/>
  <c r="L165"/>
  <c r="L164"/>
  <c r="L163"/>
  <c r="L162"/>
  <c r="L161"/>
  <c r="K166"/>
  <c r="K165"/>
  <c r="K164"/>
  <c r="K163"/>
  <c r="K162"/>
  <c r="K161"/>
  <c r="J166"/>
  <c r="J165"/>
  <c r="J164"/>
  <c r="J163"/>
  <c r="J162"/>
  <c r="J161"/>
  <c r="I166"/>
  <c r="I165"/>
  <c r="I164"/>
  <c r="I163"/>
  <c r="I162"/>
  <c r="I161"/>
  <c r="L159"/>
  <c r="L158"/>
  <c r="K159"/>
  <c r="K158"/>
  <c r="J159"/>
  <c r="J158"/>
  <c r="I159"/>
  <c r="I158"/>
  <c r="G191" i="3"/>
  <c r="G190"/>
  <c r="L156" i="4"/>
  <c r="K156"/>
  <c r="J156"/>
  <c r="G189" i="3"/>
  <c r="G188"/>
  <c r="L154" i="4"/>
  <c r="K154"/>
  <c r="J154"/>
  <c r="I154"/>
  <c r="G186" i="3"/>
  <c r="G185"/>
  <c r="L151" i="4"/>
  <c r="K151"/>
  <c r="J151"/>
  <c r="I151"/>
  <c r="G184" i="3"/>
  <c r="G183"/>
  <c r="L149" i="4"/>
  <c r="K149"/>
  <c r="J149"/>
  <c r="L146"/>
  <c r="L145"/>
  <c r="K146"/>
  <c r="K145"/>
  <c r="J146"/>
  <c r="J145"/>
  <c r="I146"/>
  <c r="I145"/>
  <c r="L143"/>
  <c r="L142"/>
  <c r="K143"/>
  <c r="K142"/>
  <c r="J143"/>
  <c r="J142"/>
  <c r="I143"/>
  <c r="I142"/>
  <c r="L140"/>
  <c r="L139"/>
  <c r="K140"/>
  <c r="K139"/>
  <c r="J140"/>
  <c r="J139"/>
  <c r="I140"/>
  <c r="I139"/>
  <c r="L137"/>
  <c r="L136"/>
  <c r="K137"/>
  <c r="K136"/>
  <c r="J137"/>
  <c r="J136"/>
  <c r="I137"/>
  <c r="I136"/>
  <c r="L133"/>
  <c r="K133"/>
  <c r="J133"/>
  <c r="I133"/>
  <c r="L132"/>
  <c r="J172" i="3"/>
  <c r="J171"/>
  <c r="J170"/>
  <c r="K132" i="4"/>
  <c r="I172" i="3"/>
  <c r="I171"/>
  <c r="I170"/>
  <c r="J132" i="4"/>
  <c r="H172" i="3"/>
  <c r="H171"/>
  <c r="H170"/>
  <c r="I132" i="4"/>
  <c r="G172" i="3"/>
  <c r="G171"/>
  <c r="G170"/>
  <c r="L126" i="4"/>
  <c r="L125"/>
  <c r="K126"/>
  <c r="K125"/>
  <c r="J126"/>
  <c r="J125"/>
  <c r="I126"/>
  <c r="I125"/>
  <c r="L123"/>
  <c r="L122"/>
  <c r="K123"/>
  <c r="K122"/>
  <c r="J123"/>
  <c r="J122"/>
  <c r="I123"/>
  <c r="I122"/>
  <c r="L121"/>
  <c r="J164" i="3"/>
  <c r="J163"/>
  <c r="J162"/>
  <c r="K121" i="4"/>
  <c r="I164" i="3"/>
  <c r="I163"/>
  <c r="I162"/>
  <c r="J121" i="4"/>
  <c r="H164" i="3"/>
  <c r="H163"/>
  <c r="H162"/>
  <c r="I121" i="4"/>
  <c r="G164" i="3"/>
  <c r="G163"/>
  <c r="G162"/>
  <c r="L115" i="4"/>
  <c r="L114"/>
  <c r="K115"/>
  <c r="K114"/>
  <c r="J115"/>
  <c r="J114"/>
  <c r="I115"/>
  <c r="I114"/>
  <c r="L112"/>
  <c r="K112"/>
  <c r="J112"/>
  <c r="I112"/>
  <c r="L110"/>
  <c r="K110"/>
  <c r="J110"/>
  <c r="I110"/>
  <c r="I109"/>
  <c r="L99"/>
  <c r="L98"/>
  <c r="L97"/>
  <c r="K99"/>
  <c r="K98"/>
  <c r="K97"/>
  <c r="J99"/>
  <c r="J98"/>
  <c r="J97"/>
  <c r="I99"/>
  <c r="I98"/>
  <c r="I97"/>
  <c r="I96"/>
  <c r="I95"/>
  <c r="L95"/>
  <c r="L94"/>
  <c r="L93"/>
  <c r="L1150"/>
  <c r="K95"/>
  <c r="K94"/>
  <c r="K93"/>
  <c r="K1150"/>
  <c r="J95"/>
  <c r="J94"/>
  <c r="J93"/>
  <c r="L91"/>
  <c r="L90"/>
  <c r="L89"/>
  <c r="K91"/>
  <c r="K90"/>
  <c r="K89"/>
  <c r="J91"/>
  <c r="J90"/>
  <c r="J89"/>
  <c r="I91"/>
  <c r="I90"/>
  <c r="I89"/>
  <c r="L87"/>
  <c r="L86"/>
  <c r="L85"/>
  <c r="K87"/>
  <c r="K86"/>
  <c r="K85"/>
  <c r="J87"/>
  <c r="J86"/>
  <c r="J85"/>
  <c r="I87"/>
  <c r="I86"/>
  <c r="I85"/>
  <c r="L83"/>
  <c r="L82"/>
  <c r="L81"/>
  <c r="K83"/>
  <c r="K82"/>
  <c r="K81"/>
  <c r="J83"/>
  <c r="J82"/>
  <c r="J81"/>
  <c r="I83"/>
  <c r="I82"/>
  <c r="I81"/>
  <c r="L78"/>
  <c r="L77"/>
  <c r="K78"/>
  <c r="K77"/>
  <c r="J78"/>
  <c r="J77"/>
  <c r="I78"/>
  <c r="I77"/>
  <c r="I76"/>
  <c r="L73"/>
  <c r="K73"/>
  <c r="J73"/>
  <c r="I73"/>
  <c r="I71"/>
  <c r="L66"/>
  <c r="L65"/>
  <c r="L64"/>
  <c r="L1142"/>
  <c r="K66"/>
  <c r="K65"/>
  <c r="K64"/>
  <c r="K1142"/>
  <c r="J66"/>
  <c r="J65"/>
  <c r="J64"/>
  <c r="J1142"/>
  <c r="I66"/>
  <c r="I65"/>
  <c r="I64"/>
  <c r="I1142"/>
  <c r="L61"/>
  <c r="L58"/>
  <c r="L57"/>
  <c r="L56"/>
  <c r="L55"/>
  <c r="K61"/>
  <c r="K58"/>
  <c r="K57"/>
  <c r="K56"/>
  <c r="K55"/>
  <c r="J61"/>
  <c r="J58"/>
  <c r="J57"/>
  <c r="J56"/>
  <c r="J55"/>
  <c r="I61"/>
  <c r="I58"/>
  <c r="I57"/>
  <c r="I56"/>
  <c r="I55"/>
  <c r="G61" i="3"/>
  <c r="G60"/>
  <c r="G59"/>
  <c r="G58"/>
  <c r="G57"/>
  <c r="G56"/>
  <c r="E16" i="2"/>
  <c r="G55" i="3"/>
  <c r="G54"/>
  <c r="G53"/>
  <c r="G52"/>
  <c r="L51" i="4"/>
  <c r="K51"/>
  <c r="J51"/>
  <c r="J42"/>
  <c r="J41"/>
  <c r="I42"/>
  <c r="I41"/>
  <c r="L40"/>
  <c r="L38"/>
  <c r="K40"/>
  <c r="K38"/>
  <c r="J40"/>
  <c r="J38"/>
  <c r="J37"/>
  <c r="I39"/>
  <c r="I37"/>
  <c r="G36" i="3"/>
  <c r="G35"/>
  <c r="J35" i="4"/>
  <c r="L27"/>
  <c r="L26"/>
  <c r="L25"/>
  <c r="L24"/>
  <c r="K27"/>
  <c r="K26"/>
  <c r="K25"/>
  <c r="K24"/>
  <c r="J27"/>
  <c r="J26"/>
  <c r="J25"/>
  <c r="J24"/>
  <c r="I27"/>
  <c r="I26"/>
  <c r="I25"/>
  <c r="I24"/>
  <c r="L22"/>
  <c r="K22"/>
  <c r="J22"/>
  <c r="I22"/>
  <c r="I20"/>
  <c r="J18"/>
  <c r="I18"/>
  <c r="I79" i="1"/>
  <c r="N236" i="5"/>
  <c r="L235"/>
  <c r="N235"/>
  <c r="L241"/>
  <c r="N241"/>
  <c r="L73"/>
  <c r="N74"/>
  <c r="O161" i="4"/>
  <c r="O1114"/>
  <c r="M1114"/>
  <c r="O284"/>
  <c r="M283"/>
  <c r="L66" i="5"/>
  <c r="N67"/>
  <c r="L516"/>
  <c r="N517"/>
  <c r="L21"/>
  <c r="N22"/>
  <c r="L50"/>
  <c r="N51"/>
  <c r="M168" i="4"/>
  <c r="O169"/>
  <c r="O13"/>
  <c r="M12"/>
  <c r="O12"/>
  <c r="M218"/>
  <c r="O218"/>
  <c r="O235"/>
  <c r="L248" i="5"/>
  <c r="N248"/>
  <c r="N249"/>
  <c r="O1041" i="4"/>
  <c r="M776"/>
  <c r="O777"/>
  <c r="M1086"/>
  <c r="O1086"/>
  <c r="O1093"/>
  <c r="O1134"/>
  <c r="M1134"/>
  <c r="M454"/>
  <c r="O454"/>
  <c r="O455"/>
  <c r="O415"/>
  <c r="M328"/>
  <c r="L36" i="5"/>
  <c r="N37"/>
  <c r="M730" i="3"/>
  <c r="K729"/>
  <c r="O1129" i="4"/>
  <c r="O1050"/>
  <c r="M1049"/>
  <c r="O551"/>
  <c r="M550"/>
  <c r="O550"/>
  <c r="O187"/>
  <c r="M186"/>
  <c r="K545" i="3"/>
  <c r="M604"/>
  <c r="M937"/>
  <c r="I51" i="2"/>
  <c r="K936" i="3"/>
  <c r="M936"/>
  <c r="I15" i="2"/>
  <c r="M31" i="3"/>
  <c r="M238"/>
  <c r="K230"/>
  <c r="K750"/>
  <c r="M765"/>
  <c r="M294"/>
  <c r="I30" i="2"/>
  <c r="K30"/>
  <c r="K423" i="3"/>
  <c r="M451"/>
  <c r="K74"/>
  <c r="K12"/>
  <c r="M12"/>
  <c r="K468"/>
  <c r="M513"/>
  <c r="I27" i="2"/>
  <c r="K27"/>
  <c r="M259" i="3"/>
  <c r="M788"/>
  <c r="K787"/>
  <c r="K626"/>
  <c r="M636"/>
  <c r="I37" i="2"/>
  <c r="K37"/>
  <c r="M615" i="3"/>
  <c r="M212"/>
  <c r="I22" i="2"/>
  <c r="K211" i="3"/>
  <c r="M211"/>
  <c r="I16" i="2"/>
  <c r="K16"/>
  <c r="M56" i="3"/>
  <c r="K346"/>
  <c r="M347"/>
  <c r="N482" i="5"/>
  <c r="L463"/>
  <c r="N463"/>
  <c r="L499"/>
  <c r="N499"/>
  <c r="M1111" i="4"/>
  <c r="M1112"/>
  <c r="L416"/>
  <c r="I503"/>
  <c r="J416"/>
  <c r="I416"/>
  <c r="K442"/>
  <c r="G187" i="3"/>
  <c r="I80" i="4"/>
  <c r="I1145"/>
  <c r="K35"/>
  <c r="G876" i="3"/>
  <c r="G875"/>
  <c r="G874"/>
  <c r="G873"/>
  <c r="E46" i="2"/>
  <c r="L631" i="4"/>
  <c r="L630"/>
  <c r="H230" i="3"/>
  <c r="F24" i="2"/>
  <c r="J230" i="3"/>
  <c r="H24" i="2"/>
  <c r="G230" i="3"/>
  <c r="E24" i="2"/>
  <c r="I230" i="3"/>
  <c r="G24" i="2"/>
  <c r="J967" i="4"/>
  <c r="J903"/>
  <c r="J898"/>
  <c r="J897"/>
  <c r="K903"/>
  <c r="K898"/>
  <c r="K897"/>
  <c r="L903"/>
  <c r="J1032"/>
  <c r="G16" i="3"/>
  <c r="G15"/>
  <c r="G14"/>
  <c r="G13"/>
  <c r="E13" i="2"/>
  <c r="G417" i="3"/>
  <c r="G413"/>
  <c r="G773"/>
  <c r="G772"/>
  <c r="G765"/>
  <c r="G846"/>
  <c r="G845"/>
  <c r="K131" i="4"/>
  <c r="K130"/>
  <c r="K581"/>
  <c r="L581"/>
  <c r="I581"/>
  <c r="G38" i="3"/>
  <c r="G37"/>
  <c r="J581" i="4"/>
  <c r="H876" i="3"/>
  <c r="H875"/>
  <c r="H874"/>
  <c r="H873"/>
  <c r="F46" i="2"/>
  <c r="G406" i="3"/>
  <c r="G405"/>
  <c r="I273" i="4"/>
  <c r="I272"/>
  <c r="I271"/>
  <c r="I245"/>
  <c r="I244"/>
  <c r="K1030"/>
  <c r="K273"/>
  <c r="K272"/>
  <c r="K271"/>
  <c r="J273"/>
  <c r="J272"/>
  <c r="J271"/>
  <c r="J245"/>
  <c r="J233"/>
  <c r="J232"/>
  <c r="J231"/>
  <c r="J230"/>
  <c r="J225"/>
  <c r="L273"/>
  <c r="L272"/>
  <c r="L271"/>
  <c r="I521"/>
  <c r="I520"/>
  <c r="I513"/>
  <c r="I512"/>
  <c r="K216"/>
  <c r="I983"/>
  <c r="I982"/>
  <c r="I533"/>
  <c r="I532"/>
  <c r="I531"/>
  <c r="I530"/>
  <c r="I905"/>
  <c r="I904"/>
  <c r="L39"/>
  <c r="I631"/>
  <c r="I630"/>
  <c r="J739"/>
  <c r="J738"/>
  <c r="J736"/>
  <c r="J735"/>
  <c r="J729"/>
  <c r="L983"/>
  <c r="L982"/>
  <c r="K42"/>
  <c r="K41"/>
  <c r="K184"/>
  <c r="K183"/>
  <c r="K223"/>
  <c r="K222"/>
  <c r="K221"/>
  <c r="K220"/>
  <c r="K219"/>
  <c r="H614" i="3"/>
  <c r="H613"/>
  <c r="H612"/>
  <c r="K18" i="4"/>
  <c r="J120"/>
  <c r="J119"/>
  <c r="J239"/>
  <c r="J614" i="3"/>
  <c r="J613"/>
  <c r="J612"/>
  <c r="I441" i="4"/>
  <c r="I440"/>
  <c r="J625"/>
  <c r="J624"/>
  <c r="K416"/>
  <c r="I614" i="3"/>
  <c r="I613"/>
  <c r="I612"/>
  <c r="K694" i="4"/>
  <c r="K693"/>
  <c r="J320"/>
  <c r="J319"/>
  <c r="J697"/>
  <c r="J696"/>
  <c r="J39"/>
  <c r="J34"/>
  <c r="J33"/>
  <c r="G614" i="3"/>
  <c r="G613"/>
  <c r="G612"/>
  <c r="K622" i="4"/>
  <c r="K621"/>
  <c r="L868"/>
  <c r="L867"/>
  <c r="L862"/>
  <c r="L861"/>
  <c r="G221" i="3"/>
  <c r="G214"/>
  <c r="G213"/>
  <c r="G212"/>
  <c r="H514"/>
  <c r="H513"/>
  <c r="H468"/>
  <c r="F35" i="2"/>
  <c r="J514" i="3"/>
  <c r="J513"/>
  <c r="G322"/>
  <c r="G197"/>
  <c r="G196"/>
  <c r="H452"/>
  <c r="H451"/>
  <c r="H423"/>
  <c r="F34" i="2"/>
  <c r="J452" i="3"/>
  <c r="J451"/>
  <c r="G929"/>
  <c r="G928"/>
  <c r="G921"/>
  <c r="G51"/>
  <c r="G50"/>
  <c r="J868" i="4"/>
  <c r="J867"/>
  <c r="J862"/>
  <c r="J861"/>
  <c r="L445"/>
  <c r="I771" i="3"/>
  <c r="I770"/>
  <c r="I767"/>
  <c r="I766"/>
  <c r="I765"/>
  <c r="I750"/>
  <c r="G41" i="2"/>
  <c r="G936" i="3"/>
  <c r="E51" i="2"/>
  <c r="E50"/>
  <c r="I214" i="3"/>
  <c r="I213"/>
  <c r="I212"/>
  <c r="G269"/>
  <c r="G265"/>
  <c r="G264"/>
  <c r="I269"/>
  <c r="I265"/>
  <c r="I264"/>
  <c r="G514"/>
  <c r="G513"/>
  <c r="I514"/>
  <c r="I513"/>
  <c r="I468"/>
  <c r="G35" i="2"/>
  <c r="G638" i="3"/>
  <c r="G637"/>
  <c r="G277"/>
  <c r="G276"/>
  <c r="G275"/>
  <c r="E29" i="2"/>
  <c r="G182" i="3"/>
  <c r="H145"/>
  <c r="H144"/>
  <c r="J145"/>
  <c r="J144"/>
  <c r="J429"/>
  <c r="J424"/>
  <c r="G651"/>
  <c r="G647"/>
  <c r="H240" i="5"/>
  <c r="H239"/>
  <c r="H238"/>
  <c r="G78" i="3"/>
  <c r="G77"/>
  <c r="H404" i="5"/>
  <c r="H403"/>
  <c r="H402"/>
  <c r="G682" i="3"/>
  <c r="G681"/>
  <c r="G680"/>
  <c r="H420" i="5"/>
  <c r="H419"/>
  <c r="H418"/>
  <c r="G695" i="3"/>
  <c r="G694"/>
  <c r="G693"/>
  <c r="G692"/>
  <c r="H739"/>
  <c r="H736"/>
  <c r="H730"/>
  <c r="H729"/>
  <c r="H659"/>
  <c r="J739"/>
  <c r="J736"/>
  <c r="J730"/>
  <c r="J729"/>
  <c r="J659"/>
  <c r="H40" i="2"/>
  <c r="I28" i="5"/>
  <c r="I27"/>
  <c r="I24"/>
  <c r="H794" i="3"/>
  <c r="H793"/>
  <c r="H790"/>
  <c r="K28" i="5"/>
  <c r="K27"/>
  <c r="K24"/>
  <c r="J794" i="3"/>
  <c r="J793"/>
  <c r="J790"/>
  <c r="I34" i="5"/>
  <c r="I33"/>
  <c r="I32"/>
  <c r="H799" i="3"/>
  <c r="H798"/>
  <c r="H797"/>
  <c r="K34" i="5"/>
  <c r="K33"/>
  <c r="K32"/>
  <c r="J799" i="3"/>
  <c r="J798"/>
  <c r="J797"/>
  <c r="H41" i="5"/>
  <c r="H40"/>
  <c r="H39"/>
  <c r="H38"/>
  <c r="H37"/>
  <c r="H36"/>
  <c r="H42"/>
  <c r="G803" i="3"/>
  <c r="G802"/>
  <c r="G801"/>
  <c r="G800"/>
  <c r="J41" i="5"/>
  <c r="J40"/>
  <c r="J39"/>
  <c r="J38"/>
  <c r="J37"/>
  <c r="J36"/>
  <c r="J42"/>
  <c r="I803" i="3"/>
  <c r="I802"/>
  <c r="I801"/>
  <c r="I800"/>
  <c r="H55" i="5"/>
  <c r="H54"/>
  <c r="H53"/>
  <c r="H52"/>
  <c r="H51"/>
  <c r="H50"/>
  <c r="H58"/>
  <c r="G811" i="3"/>
  <c r="G810"/>
  <c r="G809"/>
  <c r="G808"/>
  <c r="J55" i="5"/>
  <c r="J54"/>
  <c r="J53"/>
  <c r="J52"/>
  <c r="J51"/>
  <c r="J50"/>
  <c r="J58"/>
  <c r="I811" i="3"/>
  <c r="I810"/>
  <c r="I809"/>
  <c r="I808"/>
  <c r="H71" i="5"/>
  <c r="H70"/>
  <c r="H69"/>
  <c r="H68"/>
  <c r="H67"/>
  <c r="H66"/>
  <c r="H72"/>
  <c r="G821" i="3"/>
  <c r="G820"/>
  <c r="G819"/>
  <c r="G818"/>
  <c r="J71" i="5"/>
  <c r="J70"/>
  <c r="J69"/>
  <c r="J68"/>
  <c r="J67"/>
  <c r="J66"/>
  <c r="J72"/>
  <c r="I821" i="3"/>
  <c r="I820"/>
  <c r="I819"/>
  <c r="I818"/>
  <c r="I80" i="5"/>
  <c r="I79"/>
  <c r="I76"/>
  <c r="I75"/>
  <c r="I74"/>
  <c r="I73"/>
  <c r="I84"/>
  <c r="H827" i="3"/>
  <c r="H826"/>
  <c r="H823"/>
  <c r="H822"/>
  <c r="K80" i="5"/>
  <c r="K79"/>
  <c r="K76"/>
  <c r="K75"/>
  <c r="K74"/>
  <c r="K73"/>
  <c r="K84"/>
  <c r="J827" i="3"/>
  <c r="J826"/>
  <c r="J823"/>
  <c r="J822"/>
  <c r="H104" i="5"/>
  <c r="H103"/>
  <c r="H102"/>
  <c r="H101"/>
  <c r="H100"/>
  <c r="H99"/>
  <c r="H105"/>
  <c r="G840" i="3"/>
  <c r="G839"/>
  <c r="G838"/>
  <c r="G837"/>
  <c r="G40"/>
  <c r="G39"/>
  <c r="I40"/>
  <c r="I39"/>
  <c r="H112" i="5"/>
  <c r="H111"/>
  <c r="H110"/>
  <c r="H109"/>
  <c r="G428" i="3"/>
  <c r="G427"/>
  <c r="G426"/>
  <c r="G425"/>
  <c r="H134" i="5"/>
  <c r="H133"/>
  <c r="H124"/>
  <c r="G438" i="3"/>
  <c r="G437"/>
  <c r="G436"/>
  <c r="G429"/>
  <c r="H120" i="5"/>
  <c r="H119"/>
  <c r="H118"/>
  <c r="H117"/>
  <c r="G550" i="3"/>
  <c r="G549"/>
  <c r="G548"/>
  <c r="G547"/>
  <c r="G546"/>
  <c r="H552" i="5"/>
  <c r="H551"/>
  <c r="H550"/>
  <c r="G630" i="3"/>
  <c r="G629"/>
  <c r="G628"/>
  <c r="G627"/>
  <c r="J551" i="5"/>
  <c r="J550"/>
  <c r="I630" i="3"/>
  <c r="I629"/>
  <c r="I628"/>
  <c r="I627"/>
  <c r="H302" i="5"/>
  <c r="H301"/>
  <c r="H300"/>
  <c r="G562" i="3"/>
  <c r="G561"/>
  <c r="G560"/>
  <c r="G559"/>
  <c r="G558"/>
  <c r="G611"/>
  <c r="G610"/>
  <c r="G609"/>
  <c r="I611"/>
  <c r="I610"/>
  <c r="I609"/>
  <c r="H338" i="5"/>
  <c r="H337"/>
  <c r="H336"/>
  <c r="G894" i="3"/>
  <c r="G893"/>
  <c r="G892"/>
  <c r="H18" i="5"/>
  <c r="H17"/>
  <c r="G258" i="3"/>
  <c r="G257"/>
  <c r="J18" i="5"/>
  <c r="J17"/>
  <c r="I258" i="3"/>
  <c r="I257"/>
  <c r="L898" i="4"/>
  <c r="L897"/>
  <c r="H531" i="5"/>
  <c r="H530"/>
  <c r="H529"/>
  <c r="G307" i="3"/>
  <c r="G306"/>
  <c r="G305"/>
  <c r="H539" i="5"/>
  <c r="H538"/>
  <c r="H537"/>
  <c r="G315" i="3"/>
  <c r="G314"/>
  <c r="G313"/>
  <c r="J539" i="5"/>
  <c r="J538"/>
  <c r="J537"/>
  <c r="J518"/>
  <c r="J517"/>
  <c r="J516"/>
  <c r="J546"/>
  <c r="I315" i="3"/>
  <c r="I314"/>
  <c r="I313"/>
  <c r="I295"/>
  <c r="I294"/>
  <c r="G30" i="2"/>
  <c r="J253" i="5"/>
  <c r="J252"/>
  <c r="J251"/>
  <c r="I82" i="3"/>
  <c r="I81"/>
  <c r="I80"/>
  <c r="I782"/>
  <c r="I781"/>
  <c r="G43" i="2"/>
  <c r="K173" i="5"/>
  <c r="K172"/>
  <c r="K171"/>
  <c r="K170"/>
  <c r="J491" i="3"/>
  <c r="J490"/>
  <c r="J489"/>
  <c r="J474"/>
  <c r="J469"/>
  <c r="H253" i="5"/>
  <c r="H252"/>
  <c r="H251"/>
  <c r="G82" i="3"/>
  <c r="G81"/>
  <c r="G80"/>
  <c r="I17" i="4"/>
  <c r="I16"/>
  <c r="I15"/>
  <c r="I14"/>
  <c r="I13"/>
  <c r="I12"/>
  <c r="H258" i="5"/>
  <c r="H257"/>
  <c r="H254"/>
  <c r="G87" i="3"/>
  <c r="G86"/>
  <c r="G83"/>
  <c r="K80" i="4"/>
  <c r="K1145"/>
  <c r="H505" i="5"/>
  <c r="H504"/>
  <c r="H503"/>
  <c r="H502"/>
  <c r="H501"/>
  <c r="G110" i="3"/>
  <c r="G109"/>
  <c r="G108"/>
  <c r="G107"/>
  <c r="G145"/>
  <c r="I145"/>
  <c r="I144"/>
  <c r="K201" i="4"/>
  <c r="K200"/>
  <c r="K196"/>
  <c r="K195"/>
  <c r="K187"/>
  <c r="H269" i="3"/>
  <c r="H265"/>
  <c r="H264"/>
  <c r="J269"/>
  <c r="J265"/>
  <c r="J264"/>
  <c r="H364" i="5"/>
  <c r="H363"/>
  <c r="H362"/>
  <c r="G582" i="3"/>
  <c r="G581"/>
  <c r="G580"/>
  <c r="G579"/>
  <c r="G578"/>
  <c r="H395" i="5"/>
  <c r="H394"/>
  <c r="H393"/>
  <c r="G664" i="3"/>
  <c r="G663"/>
  <c r="G662"/>
  <c r="G739"/>
  <c r="G736"/>
  <c r="G730"/>
  <c r="G729"/>
  <c r="I739"/>
  <c r="I736"/>
  <c r="I730"/>
  <c r="I729"/>
  <c r="I659"/>
  <c r="H584" i="5"/>
  <c r="H583"/>
  <c r="H589"/>
  <c r="G760" i="3"/>
  <c r="G759"/>
  <c r="G758"/>
  <c r="G751"/>
  <c r="J441" i="4"/>
  <c r="J440"/>
  <c r="G794" i="3"/>
  <c r="G793"/>
  <c r="G790"/>
  <c r="H28" i="5"/>
  <c r="H27"/>
  <c r="H24"/>
  <c r="J28"/>
  <c r="J27"/>
  <c r="J24"/>
  <c r="I794" i="3"/>
  <c r="I793"/>
  <c r="I790"/>
  <c r="G799"/>
  <c r="G798"/>
  <c r="G797"/>
  <c r="H34" i="5"/>
  <c r="H33"/>
  <c r="H32"/>
  <c r="J34"/>
  <c r="J33"/>
  <c r="J32"/>
  <c r="I799" i="3"/>
  <c r="I798"/>
  <c r="I797"/>
  <c r="K470" i="4"/>
  <c r="K469"/>
  <c r="K468"/>
  <c r="I41" i="5"/>
  <c r="I40"/>
  <c r="I39"/>
  <c r="I38"/>
  <c r="I37"/>
  <c r="I36"/>
  <c r="I42"/>
  <c r="H803" i="3"/>
  <c r="H802"/>
  <c r="H801"/>
  <c r="H800"/>
  <c r="K41" i="5"/>
  <c r="K40"/>
  <c r="K39"/>
  <c r="K38"/>
  <c r="K37"/>
  <c r="K36"/>
  <c r="K42"/>
  <c r="J803" i="3"/>
  <c r="J802"/>
  <c r="J801"/>
  <c r="J800"/>
  <c r="I55" i="5"/>
  <c r="I54"/>
  <c r="I53"/>
  <c r="I52"/>
  <c r="I51"/>
  <c r="I50"/>
  <c r="I58"/>
  <c r="H811" i="3"/>
  <c r="H810"/>
  <c r="H809"/>
  <c r="H808"/>
  <c r="J811"/>
  <c r="J810"/>
  <c r="J809"/>
  <c r="J808"/>
  <c r="K55" i="5"/>
  <c r="K54"/>
  <c r="K53"/>
  <c r="K52"/>
  <c r="K51"/>
  <c r="K50"/>
  <c r="K58"/>
  <c r="H64"/>
  <c r="H63"/>
  <c r="H62"/>
  <c r="H61"/>
  <c r="H60"/>
  <c r="H59"/>
  <c r="H65"/>
  <c r="G817" i="3"/>
  <c r="G816"/>
  <c r="G815"/>
  <c r="G814"/>
  <c r="I71" i="5"/>
  <c r="I70"/>
  <c r="I69"/>
  <c r="I68"/>
  <c r="I67"/>
  <c r="I66"/>
  <c r="I72"/>
  <c r="H821" i="3"/>
  <c r="H820"/>
  <c r="H819"/>
  <c r="H818"/>
  <c r="K71" i="5"/>
  <c r="K70"/>
  <c r="K69"/>
  <c r="K68"/>
  <c r="K67"/>
  <c r="K66"/>
  <c r="K72"/>
  <c r="J821" i="3"/>
  <c r="J820"/>
  <c r="J819"/>
  <c r="J818"/>
  <c r="H80" i="5"/>
  <c r="H79"/>
  <c r="H76"/>
  <c r="H75"/>
  <c r="H74"/>
  <c r="H73"/>
  <c r="H84"/>
  <c r="G827" i="3"/>
  <c r="G826"/>
  <c r="G823"/>
  <c r="G822"/>
  <c r="J80" i="5"/>
  <c r="J79"/>
  <c r="J76"/>
  <c r="J75"/>
  <c r="J74"/>
  <c r="J73"/>
  <c r="J84"/>
  <c r="I827" i="3"/>
  <c r="I826"/>
  <c r="I823"/>
  <c r="I822"/>
  <c r="K538" i="4"/>
  <c r="H40" i="3"/>
  <c r="H39"/>
  <c r="J40"/>
  <c r="J39"/>
  <c r="G452"/>
  <c r="G451"/>
  <c r="I452"/>
  <c r="I451"/>
  <c r="I423"/>
  <c r="G34" i="2"/>
  <c r="H116" i="5"/>
  <c r="H115"/>
  <c r="H114"/>
  <c r="H113"/>
  <c r="G473" i="3"/>
  <c r="G472"/>
  <c r="G471"/>
  <c r="G470"/>
  <c r="H173" i="5"/>
  <c r="H172"/>
  <c r="H171"/>
  <c r="G491" i="3"/>
  <c r="G490"/>
  <c r="G489"/>
  <c r="H182" i="5"/>
  <c r="H181"/>
  <c r="H180"/>
  <c r="G500" i="3"/>
  <c r="G499"/>
  <c r="G498"/>
  <c r="I551" i="5"/>
  <c r="I550"/>
  <c r="H630" i="3"/>
  <c r="H629"/>
  <c r="H628"/>
  <c r="H627"/>
  <c r="K551" i="5"/>
  <c r="K550"/>
  <c r="J630" i="3"/>
  <c r="J629"/>
  <c r="J628"/>
  <c r="J627"/>
  <c r="H611"/>
  <c r="H610"/>
  <c r="H609"/>
  <c r="J611"/>
  <c r="J610"/>
  <c r="J609"/>
  <c r="H330" i="5"/>
  <c r="G891" i="3"/>
  <c r="G890"/>
  <c r="H356" i="5"/>
  <c r="H355"/>
  <c r="H352"/>
  <c r="H351"/>
  <c r="H350"/>
  <c r="H349"/>
  <c r="H357"/>
  <c r="G920" i="3"/>
  <c r="G919"/>
  <c r="G916"/>
  <c r="G915"/>
  <c r="G914"/>
  <c r="H16" i="5"/>
  <c r="H15"/>
  <c r="G256" i="3"/>
  <c r="G255"/>
  <c r="I18" i="5"/>
  <c r="I17"/>
  <c r="H258" i="3"/>
  <c r="H257"/>
  <c r="K18" i="5"/>
  <c r="K17"/>
  <c r="J258" i="3"/>
  <c r="J257"/>
  <c r="H528" i="5"/>
  <c r="H527"/>
  <c r="H526"/>
  <c r="G304" i="3"/>
  <c r="G303"/>
  <c r="G302"/>
  <c r="H536" i="5"/>
  <c r="H535"/>
  <c r="H534"/>
  <c r="G312" i="3"/>
  <c r="G311"/>
  <c r="G310"/>
  <c r="I539" i="5"/>
  <c r="I538"/>
  <c r="I537"/>
  <c r="I518"/>
  <c r="I517"/>
  <c r="I516"/>
  <c r="I546"/>
  <c r="H315" i="3"/>
  <c r="H314"/>
  <c r="H313"/>
  <c r="H295"/>
  <c r="H294"/>
  <c r="F30" i="2"/>
  <c r="K539" i="5"/>
  <c r="K538"/>
  <c r="K537"/>
  <c r="K518"/>
  <c r="K517"/>
  <c r="K516"/>
  <c r="K546"/>
  <c r="J315" i="3"/>
  <c r="J314"/>
  <c r="J313"/>
  <c r="J295"/>
  <c r="J294"/>
  <c r="H30" i="2"/>
  <c r="H545" i="5"/>
  <c r="H544"/>
  <c r="H543"/>
  <c r="G321" i="3"/>
  <c r="G320"/>
  <c r="G319"/>
  <c r="K967" i="4"/>
  <c r="H487" i="5"/>
  <c r="H486"/>
  <c r="H485"/>
  <c r="H484"/>
  <c r="H483"/>
  <c r="H482"/>
  <c r="G366" i="3"/>
  <c r="G365"/>
  <c r="G364"/>
  <c r="G363"/>
  <c r="G347"/>
  <c r="G346"/>
  <c r="E31" i="2"/>
  <c r="K253" i="5"/>
  <c r="K252"/>
  <c r="K251"/>
  <c r="J82" i="3"/>
  <c r="J81"/>
  <c r="J80"/>
  <c r="I253" i="5"/>
  <c r="I252"/>
  <c r="I251"/>
  <c r="H82" i="3"/>
  <c r="H81"/>
  <c r="H80"/>
  <c r="I36"/>
  <c r="I35"/>
  <c r="J169" i="5"/>
  <c r="J148"/>
  <c r="J195"/>
  <c r="J106"/>
  <c r="I35" i="4"/>
  <c r="I34"/>
  <c r="I33"/>
  <c r="I51"/>
  <c r="I50"/>
  <c r="I49"/>
  <c r="I70"/>
  <c r="I69"/>
  <c r="I94"/>
  <c r="I93"/>
  <c r="I120"/>
  <c r="I119"/>
  <c r="K120"/>
  <c r="K119"/>
  <c r="J131"/>
  <c r="J130"/>
  <c r="L131"/>
  <c r="L130"/>
  <c r="I149"/>
  <c r="I148"/>
  <c r="I156"/>
  <c r="I153"/>
  <c r="I181"/>
  <c r="I178"/>
  <c r="J201"/>
  <c r="J200"/>
  <c r="J196"/>
  <c r="J195"/>
  <c r="J187"/>
  <c r="L201"/>
  <c r="L200"/>
  <c r="L196"/>
  <c r="L195"/>
  <c r="L187"/>
  <c r="I214"/>
  <c r="J216"/>
  <c r="L216"/>
  <c r="L233"/>
  <c r="L232"/>
  <c r="L231"/>
  <c r="L230"/>
  <c r="L225"/>
  <c r="I239"/>
  <c r="K239"/>
  <c r="I241"/>
  <c r="K241"/>
  <c r="J314"/>
  <c r="J313"/>
  <c r="L314"/>
  <c r="L313"/>
  <c r="I362"/>
  <c r="I361"/>
  <c r="I404"/>
  <c r="I401"/>
  <c r="I407"/>
  <c r="I406"/>
  <c r="K407"/>
  <c r="K406"/>
  <c r="I461"/>
  <c r="K461"/>
  <c r="K457"/>
  <c r="J466"/>
  <c r="J465"/>
  <c r="L466"/>
  <c r="L465"/>
  <c r="J470"/>
  <c r="J469"/>
  <c r="J468"/>
  <c r="L470"/>
  <c r="L469"/>
  <c r="L468"/>
  <c r="K478"/>
  <c r="K477"/>
  <c r="K476"/>
  <c r="I488"/>
  <c r="I487"/>
  <c r="I486"/>
  <c r="K488"/>
  <c r="K487"/>
  <c r="K486"/>
  <c r="L492"/>
  <c r="L491"/>
  <c r="L490"/>
  <c r="I510"/>
  <c r="I509"/>
  <c r="I508"/>
  <c r="L538"/>
  <c r="I548"/>
  <c r="I547"/>
  <c r="I546"/>
  <c r="I545"/>
  <c r="I540"/>
  <c r="I595"/>
  <c r="I594"/>
  <c r="I593"/>
  <c r="I602"/>
  <c r="I601"/>
  <c r="I597"/>
  <c r="J622"/>
  <c r="J621"/>
  <c r="L622"/>
  <c r="L621"/>
  <c r="I625"/>
  <c r="I624"/>
  <c r="K625"/>
  <c r="K624"/>
  <c r="I628"/>
  <c r="I627"/>
  <c r="I640"/>
  <c r="I639"/>
  <c r="I638"/>
  <c r="I685"/>
  <c r="I684"/>
  <c r="I688"/>
  <c r="I687"/>
  <c r="I691"/>
  <c r="I690"/>
  <c r="K691"/>
  <c r="K690"/>
  <c r="J694"/>
  <c r="J693"/>
  <c r="L694"/>
  <c r="L693"/>
  <c r="I697"/>
  <c r="I696"/>
  <c r="K697"/>
  <c r="K696"/>
  <c r="I700"/>
  <c r="I699"/>
  <c r="I703"/>
  <c r="I702"/>
  <c r="K703"/>
  <c r="K702"/>
  <c r="I712"/>
  <c r="I711"/>
  <c r="K712"/>
  <c r="K711"/>
  <c r="K706"/>
  <c r="L739"/>
  <c r="L738"/>
  <c r="L736"/>
  <c r="L735"/>
  <c r="L729"/>
  <c r="I754"/>
  <c r="I760"/>
  <c r="I759"/>
  <c r="I765"/>
  <c r="L767"/>
  <c r="I781"/>
  <c r="I780"/>
  <c r="I779"/>
  <c r="I778"/>
  <c r="J804"/>
  <c r="J803"/>
  <c r="J799"/>
  <c r="L804"/>
  <c r="L803"/>
  <c r="L799"/>
  <c r="I814"/>
  <c r="I813"/>
  <c r="I854"/>
  <c r="I856"/>
  <c r="L858"/>
  <c r="I894"/>
  <c r="K894"/>
  <c r="I922"/>
  <c r="I921"/>
  <c r="I930"/>
  <c r="I929"/>
  <c r="J1151"/>
  <c r="L1151"/>
  <c r="I939"/>
  <c r="I938"/>
  <c r="L1030"/>
  <c r="I1037"/>
  <c r="I1039"/>
  <c r="I1053"/>
  <c r="I1052"/>
  <c r="I1051"/>
  <c r="I1050"/>
  <c r="I1100"/>
  <c r="I1097"/>
  <c r="I1096"/>
  <c r="I1095"/>
  <c r="I1094"/>
  <c r="I1093"/>
  <c r="I1134"/>
  <c r="K21"/>
  <c r="I63" i="3"/>
  <c r="I62"/>
  <c r="I59"/>
  <c r="I58"/>
  <c r="I57"/>
  <c r="I56"/>
  <c r="G16" i="2"/>
  <c r="J76" i="4"/>
  <c r="L182"/>
  <c r="J225" i="3"/>
  <c r="J224"/>
  <c r="J221"/>
  <c r="L535" i="4"/>
  <c r="J36" i="3"/>
  <c r="J35"/>
  <c r="J20" i="4"/>
  <c r="J17"/>
  <c r="J16"/>
  <c r="J15"/>
  <c r="J14"/>
  <c r="J13"/>
  <c r="J12"/>
  <c r="J70"/>
  <c r="J69"/>
  <c r="L70"/>
  <c r="L69"/>
  <c r="I75"/>
  <c r="I72"/>
  <c r="L120"/>
  <c r="L119"/>
  <c r="I131"/>
  <c r="I130"/>
  <c r="K181"/>
  <c r="K178"/>
  <c r="I201"/>
  <c r="I200"/>
  <c r="I196"/>
  <c r="I195"/>
  <c r="I187"/>
  <c r="K214"/>
  <c r="J214"/>
  <c r="L214"/>
  <c r="I216"/>
  <c r="I233"/>
  <c r="I232"/>
  <c r="I231"/>
  <c r="I230"/>
  <c r="I225"/>
  <c r="K233"/>
  <c r="K232"/>
  <c r="K231"/>
  <c r="K230"/>
  <c r="K225"/>
  <c r="L239"/>
  <c r="J241"/>
  <c r="L241"/>
  <c r="I314"/>
  <c r="I313"/>
  <c r="K314"/>
  <c r="K313"/>
  <c r="I320"/>
  <c r="I319"/>
  <c r="K320"/>
  <c r="K319"/>
  <c r="L320"/>
  <c r="L319"/>
  <c r="I333"/>
  <c r="I332"/>
  <c r="K404"/>
  <c r="K401"/>
  <c r="J404"/>
  <c r="J401"/>
  <c r="L404"/>
  <c r="L401"/>
  <c r="J407"/>
  <c r="J406"/>
  <c r="L407"/>
  <c r="L406"/>
  <c r="K444"/>
  <c r="I450"/>
  <c r="I447"/>
  <c r="I446"/>
  <c r="J461"/>
  <c r="L461"/>
  <c r="I466"/>
  <c r="I465"/>
  <c r="I470"/>
  <c r="I469"/>
  <c r="I468"/>
  <c r="I478"/>
  <c r="I477"/>
  <c r="I476"/>
  <c r="I484"/>
  <c r="I483"/>
  <c r="I482"/>
  <c r="J488"/>
  <c r="J487"/>
  <c r="J486"/>
  <c r="L488"/>
  <c r="L487"/>
  <c r="L486"/>
  <c r="I492"/>
  <c r="I491"/>
  <c r="I490"/>
  <c r="K492"/>
  <c r="K491"/>
  <c r="I622"/>
  <c r="I621"/>
  <c r="L625"/>
  <c r="L624"/>
  <c r="K628"/>
  <c r="K627"/>
  <c r="J628"/>
  <c r="J627"/>
  <c r="L628"/>
  <c r="L627"/>
  <c r="J631"/>
  <c r="J630"/>
  <c r="K631"/>
  <c r="K630"/>
  <c r="I650"/>
  <c r="I649"/>
  <c r="I659"/>
  <c r="I658"/>
  <c r="K685"/>
  <c r="K684"/>
  <c r="J685"/>
  <c r="J684"/>
  <c r="L685"/>
  <c r="L684"/>
  <c r="K688"/>
  <c r="K687"/>
  <c r="J688"/>
  <c r="J687"/>
  <c r="L688"/>
  <c r="L687"/>
  <c r="J691"/>
  <c r="J690"/>
  <c r="L691"/>
  <c r="L690"/>
  <c r="I694"/>
  <c r="I693"/>
  <c r="L697"/>
  <c r="L696"/>
  <c r="K700"/>
  <c r="K699"/>
  <c r="J700"/>
  <c r="J699"/>
  <c r="L700"/>
  <c r="L699"/>
  <c r="J703"/>
  <c r="J702"/>
  <c r="L703"/>
  <c r="L702"/>
  <c r="I709"/>
  <c r="I708"/>
  <c r="I707"/>
  <c r="J712"/>
  <c r="J711"/>
  <c r="J706"/>
  <c r="L712"/>
  <c r="L711"/>
  <c r="L706"/>
  <c r="I739"/>
  <c r="I738"/>
  <c r="I736"/>
  <c r="I735"/>
  <c r="I729"/>
  <c r="K739"/>
  <c r="K738"/>
  <c r="K736"/>
  <c r="K735"/>
  <c r="K729"/>
  <c r="J744"/>
  <c r="J743"/>
  <c r="I744"/>
  <c r="I743"/>
  <c r="K744"/>
  <c r="K743"/>
  <c r="J753"/>
  <c r="J752"/>
  <c r="I756"/>
  <c r="I763"/>
  <c r="I767"/>
  <c r="K767"/>
  <c r="J779"/>
  <c r="J778"/>
  <c r="I804"/>
  <c r="I803"/>
  <c r="I799"/>
  <c r="I817"/>
  <c r="I816"/>
  <c r="K812"/>
  <c r="K811"/>
  <c r="K810"/>
  <c r="I843"/>
  <c r="I840"/>
  <c r="I839"/>
  <c r="I838"/>
  <c r="I858"/>
  <c r="K858"/>
  <c r="I869"/>
  <c r="I871"/>
  <c r="I892"/>
  <c r="I908"/>
  <c r="I907"/>
  <c r="I925"/>
  <c r="I924"/>
  <c r="I933"/>
  <c r="I932"/>
  <c r="K1151"/>
  <c r="I944"/>
  <c r="I943"/>
  <c r="I942"/>
  <c r="I954"/>
  <c r="I953"/>
  <c r="I952"/>
  <c r="L967"/>
  <c r="I1004"/>
  <c r="I1003"/>
  <c r="I1002"/>
  <c r="L1002"/>
  <c r="I1026"/>
  <c r="I1030"/>
  <c r="L19"/>
  <c r="J61" i="3"/>
  <c r="J60"/>
  <c r="L43" i="4"/>
  <c r="J44" i="3"/>
  <c r="J43"/>
  <c r="J42"/>
  <c r="J41"/>
  <c r="L185" i="4"/>
  <c r="J228" i="3"/>
  <c r="J227"/>
  <c r="J226"/>
  <c r="L224" i="4"/>
  <c r="J786" i="3"/>
  <c r="J785"/>
  <c r="J784"/>
  <c r="J783"/>
  <c r="L443" i="4"/>
  <c r="J769" i="3"/>
  <c r="J768"/>
  <c r="I1041" i="4"/>
  <c r="J1041"/>
  <c r="L1041"/>
  <c r="K1041"/>
  <c r="I832"/>
  <c r="J832"/>
  <c r="L832"/>
  <c r="K832"/>
  <c r="I1015"/>
  <c r="L1015"/>
  <c r="J812"/>
  <c r="J811"/>
  <c r="J810"/>
  <c r="L812"/>
  <c r="L811"/>
  <c r="L810"/>
  <c r="K360"/>
  <c r="J1150"/>
  <c r="L360"/>
  <c r="I1071"/>
  <c r="I1070"/>
  <c r="I1069"/>
  <c r="I1068"/>
  <c r="L1071"/>
  <c r="L1070"/>
  <c r="L1069"/>
  <c r="L1068"/>
  <c r="I364"/>
  <c r="L953"/>
  <c r="L952"/>
  <c r="J953"/>
  <c r="J952"/>
  <c r="J858"/>
  <c r="J857"/>
  <c r="H933" i="3"/>
  <c r="H932"/>
  <c r="H929"/>
  <c r="H928"/>
  <c r="H921"/>
  <c r="H913"/>
  <c r="J1030" i="4"/>
  <c r="J1029"/>
  <c r="H410" i="3"/>
  <c r="H409"/>
  <c r="H406"/>
  <c r="H405"/>
  <c r="H404"/>
  <c r="H403"/>
  <c r="F32" i="2"/>
  <c r="I967" i="4"/>
  <c r="K719"/>
  <c r="K718"/>
  <c r="J1071"/>
  <c r="J1070"/>
  <c r="J1069"/>
  <c r="J1068"/>
  <c r="L1061"/>
  <c r="L1060"/>
  <c r="L1059"/>
  <c r="L1058"/>
  <c r="L1036"/>
  <c r="L1032"/>
  <c r="K1036"/>
  <c r="K1032"/>
  <c r="J1002"/>
  <c r="K983"/>
  <c r="K982"/>
  <c r="K503"/>
  <c r="J767"/>
  <c r="J766"/>
  <c r="H655" i="3"/>
  <c r="H654"/>
  <c r="H651"/>
  <c r="H647"/>
  <c r="H636"/>
  <c r="K779" i="4"/>
  <c r="K778"/>
  <c r="I746"/>
  <c r="I1114"/>
  <c r="J1114"/>
  <c r="L1114"/>
  <c r="K1114"/>
  <c r="L779"/>
  <c r="L778"/>
  <c r="I719"/>
  <c r="I718"/>
  <c r="L719"/>
  <c r="L718"/>
  <c r="K642"/>
  <c r="K637"/>
  <c r="J642"/>
  <c r="J637"/>
  <c r="L642"/>
  <c r="L637"/>
  <c r="L746"/>
  <c r="L742"/>
  <c r="L1152"/>
  <c r="K597"/>
  <c r="K592"/>
  <c r="K1153"/>
  <c r="J597"/>
  <c r="J592"/>
  <c r="L597"/>
  <c r="L592"/>
  <c r="J503"/>
  <c r="J490"/>
  <c r="L513"/>
  <c r="I353"/>
  <c r="J364"/>
  <c r="J360"/>
  <c r="K50"/>
  <c r="K49"/>
  <c r="L109"/>
  <c r="K396"/>
  <c r="I558"/>
  <c r="I552"/>
  <c r="I551"/>
  <c r="I550"/>
  <c r="K1061"/>
  <c r="K1060"/>
  <c r="K1059"/>
  <c r="K1058"/>
  <c r="I1061"/>
  <c r="I1060"/>
  <c r="I1059"/>
  <c r="I1058"/>
  <c r="J1061"/>
  <c r="J1060"/>
  <c r="J1059"/>
  <c r="J1058"/>
  <c r="K109"/>
  <c r="J353"/>
  <c r="J331"/>
  <c r="L353"/>
  <c r="L331"/>
  <c r="I396"/>
  <c r="J109"/>
  <c r="J719"/>
  <c r="J718"/>
  <c r="K746"/>
  <c r="J746"/>
  <c r="L1053"/>
  <c r="L1052"/>
  <c r="L1051"/>
  <c r="L1050"/>
  <c r="J153"/>
  <c r="J477"/>
  <c r="J476"/>
  <c r="J513"/>
  <c r="J286"/>
  <c r="J285"/>
  <c r="L286"/>
  <c r="L285"/>
  <c r="K513"/>
  <c r="K39"/>
  <c r="J80"/>
  <c r="J1145"/>
  <c r="L80"/>
  <c r="L1145"/>
  <c r="I1153"/>
  <c r="J1153"/>
  <c r="L1153"/>
  <c r="L447"/>
  <c r="L446"/>
  <c r="J537"/>
  <c r="H38" i="3"/>
  <c r="H37"/>
  <c r="J538" i="4"/>
  <c r="K353"/>
  <c r="K331"/>
  <c r="J396"/>
  <c r="L396"/>
  <c r="K753"/>
  <c r="K752"/>
  <c r="K840"/>
  <c r="J1076"/>
  <c r="L1094"/>
  <c r="L1093"/>
  <c r="L1134"/>
  <c r="L753"/>
  <c r="L752"/>
  <c r="I847"/>
  <c r="I846"/>
  <c r="J847"/>
  <c r="J846"/>
  <c r="L847"/>
  <c r="L846"/>
  <c r="K847"/>
  <c r="K846"/>
  <c r="K868"/>
  <c r="K867"/>
  <c r="K862"/>
  <c r="K861"/>
  <c r="L942"/>
  <c r="K942"/>
  <c r="J942"/>
  <c r="K953"/>
  <c r="K952"/>
  <c r="K1002"/>
  <c r="K1001"/>
  <c r="K1053"/>
  <c r="K1052"/>
  <c r="K1051"/>
  <c r="K1050"/>
  <c r="I1076"/>
  <c r="L1076"/>
  <c r="K1094"/>
  <c r="K1093"/>
  <c r="K1134"/>
  <c r="J1094"/>
  <c r="J1093"/>
  <c r="J1134"/>
  <c r="K799"/>
  <c r="J840"/>
  <c r="L840"/>
  <c r="J983"/>
  <c r="J982"/>
  <c r="J1053"/>
  <c r="J1052"/>
  <c r="J1051"/>
  <c r="J1050"/>
  <c r="L558"/>
  <c r="L552"/>
  <c r="L551"/>
  <c r="L550"/>
  <c r="K558"/>
  <c r="K552"/>
  <c r="K551"/>
  <c r="K550"/>
  <c r="J558"/>
  <c r="J552"/>
  <c r="J551"/>
  <c r="J550"/>
  <c r="K1144"/>
  <c r="I1144"/>
  <c r="J1144"/>
  <c r="L1144"/>
  <c r="K153"/>
  <c r="J50"/>
  <c r="J49"/>
  <c r="L50"/>
  <c r="L49"/>
  <c r="J148"/>
  <c r="L153"/>
  <c r="J178"/>
  <c r="J171"/>
  <c r="K863"/>
  <c r="J447"/>
  <c r="J446"/>
  <c r="K1076"/>
  <c r="K447"/>
  <c r="K446"/>
  <c r="K286"/>
  <c r="K285"/>
  <c r="I286"/>
  <c r="I285"/>
  <c r="K148"/>
  <c r="L148"/>
  <c r="L37"/>
  <c r="G934"/>
  <c r="G926"/>
  <c r="O1128"/>
  <c r="M1115"/>
  <c r="O168"/>
  <c r="O1115"/>
  <c r="L20" i="5"/>
  <c r="N20"/>
  <c r="N21"/>
  <c r="L35"/>
  <c r="N35"/>
  <c r="L84"/>
  <c r="N84"/>
  <c r="N73"/>
  <c r="L42"/>
  <c r="N42"/>
  <c r="N36"/>
  <c r="K659" i="3"/>
  <c r="M729"/>
  <c r="M1125" i="4"/>
  <c r="M1126"/>
  <c r="O328"/>
  <c r="O1125"/>
  <c r="O1126"/>
  <c r="O776"/>
  <c r="M1122"/>
  <c r="M1123"/>
  <c r="L58" i="5"/>
  <c r="N58"/>
  <c r="N50"/>
  <c r="L72"/>
  <c r="N72"/>
  <c r="N66"/>
  <c r="M528" i="4"/>
  <c r="O528"/>
  <c r="M1048"/>
  <c r="O1048"/>
  <c r="O1049"/>
  <c r="M1128"/>
  <c r="L546" i="5"/>
  <c r="N546"/>
  <c r="N516"/>
  <c r="O283" i="4"/>
  <c r="M243"/>
  <c r="O243"/>
  <c r="M29"/>
  <c r="O29"/>
  <c r="O186"/>
  <c r="I38" i="2"/>
  <c r="K38"/>
  <c r="M626" i="3"/>
  <c r="M787"/>
  <c r="I44" i="2"/>
  <c r="K780" i="3"/>
  <c r="M780"/>
  <c r="M423"/>
  <c r="K422"/>
  <c r="M422"/>
  <c r="I34" i="2"/>
  <c r="I41"/>
  <c r="K41"/>
  <c r="M750" i="3"/>
  <c r="M468"/>
  <c r="I35" i="2"/>
  <c r="K35"/>
  <c r="I24"/>
  <c r="K24"/>
  <c r="M230" i="3"/>
  <c r="K15" i="2"/>
  <c r="I31"/>
  <c r="K31"/>
  <c r="M346" i="3"/>
  <c r="I50" i="2"/>
  <c r="K50"/>
  <c r="K51"/>
  <c r="K22"/>
  <c r="I21"/>
  <c r="K21"/>
  <c r="M74" i="3"/>
  <c r="I18" i="2"/>
  <c r="K18"/>
  <c r="O74" i="3"/>
  <c r="O80"/>
  <c r="I36" i="2"/>
  <c r="K36"/>
  <c r="M545" i="3"/>
  <c r="O1111" i="4"/>
  <c r="O1112"/>
  <c r="K441"/>
  <c r="K440"/>
  <c r="J966"/>
  <c r="J1149"/>
  <c r="G175" i="3"/>
  <c r="G144"/>
  <c r="H500" i="5"/>
  <c r="H506"/>
  <c r="J259" i="3"/>
  <c r="H27" i="2"/>
  <c r="I259" i="3"/>
  <c r="G27" i="2"/>
  <c r="G259" i="3"/>
  <c r="E27" i="2"/>
  <c r="H259" i="3"/>
  <c r="F27" i="2"/>
  <c r="I914" i="4"/>
  <c r="I1151"/>
  <c r="I903"/>
  <c r="I898"/>
  <c r="I897"/>
  <c r="I1150"/>
  <c r="G404" i="3"/>
  <c r="G403"/>
  <c r="E32" i="2"/>
  <c r="G750" i="3"/>
  <c r="E41" i="2"/>
  <c r="H571" i="5"/>
  <c r="H549"/>
  <c r="H548"/>
  <c r="H547"/>
  <c r="H570"/>
  <c r="K549"/>
  <c r="K548"/>
  <c r="K547"/>
  <c r="K570"/>
  <c r="I549"/>
  <c r="I548"/>
  <c r="I547"/>
  <c r="I570"/>
  <c r="J549"/>
  <c r="J548"/>
  <c r="J547"/>
  <c r="J570"/>
  <c r="K171" i="4"/>
  <c r="K170"/>
  <c r="K169"/>
  <c r="K168"/>
  <c r="K1115"/>
  <c r="G34" i="3"/>
  <c r="G33"/>
  <c r="G32"/>
  <c r="G31"/>
  <c r="E15" i="2"/>
  <c r="J573" i="4"/>
  <c r="J572"/>
  <c r="K573"/>
  <c r="K572"/>
  <c r="J108"/>
  <c r="I573"/>
  <c r="I572"/>
  <c r="L573"/>
  <c r="L572"/>
  <c r="K245"/>
  <c r="K244"/>
  <c r="L21"/>
  <c r="J63" i="3"/>
  <c r="J62"/>
  <c r="J59"/>
  <c r="J58"/>
  <c r="J57"/>
  <c r="J56"/>
  <c r="H16" i="2"/>
  <c r="L617" i="4"/>
  <c r="L616"/>
  <c r="L591"/>
  <c r="L245"/>
  <c r="L244"/>
  <c r="K737"/>
  <c r="K490"/>
  <c r="K456"/>
  <c r="L966"/>
  <c r="L1149"/>
  <c r="J244"/>
  <c r="I23" i="5"/>
  <c r="I22"/>
  <c r="I21"/>
  <c r="I35"/>
  <c r="L1001" i="4"/>
  <c r="K238"/>
  <c r="K237"/>
  <c r="K236"/>
  <c r="K235"/>
  <c r="K218"/>
  <c r="I529"/>
  <c r="I528"/>
  <c r="I737"/>
  <c r="I642"/>
  <c r="I637"/>
  <c r="K213"/>
  <c r="K209"/>
  <c r="K208"/>
  <c r="I812"/>
  <c r="I811"/>
  <c r="I810"/>
  <c r="I674"/>
  <c r="J742"/>
  <c r="J1152"/>
  <c r="J605" i="3"/>
  <c r="J604"/>
  <c r="J545"/>
  <c r="H36" i="2"/>
  <c r="I868" i="4"/>
  <c r="I867"/>
  <c r="I862"/>
  <c r="I861"/>
  <c r="I617"/>
  <c r="I616"/>
  <c r="J737"/>
  <c r="H605" i="3"/>
  <c r="H604"/>
  <c r="H545"/>
  <c r="F36" i="2"/>
  <c r="I331" i="4"/>
  <c r="L737"/>
  <c r="I439"/>
  <c r="I415"/>
  <c r="G605" i="3"/>
  <c r="G604"/>
  <c r="G545"/>
  <c r="E36" i="2"/>
  <c r="I706" i="4"/>
  <c r="I705"/>
  <c r="L34"/>
  <c r="I360"/>
  <c r="J238"/>
  <c r="J237"/>
  <c r="J236"/>
  <c r="J235"/>
  <c r="J218"/>
  <c r="J312"/>
  <c r="J311"/>
  <c r="J284"/>
  <c r="J283"/>
  <c r="K135"/>
  <c r="K966"/>
  <c r="K965"/>
  <c r="I966"/>
  <c r="I1149"/>
  <c r="K705"/>
  <c r="L238"/>
  <c r="L237"/>
  <c r="L236"/>
  <c r="L235"/>
  <c r="K20"/>
  <c r="K17"/>
  <c r="K16"/>
  <c r="K15"/>
  <c r="K14"/>
  <c r="K13"/>
  <c r="K674"/>
  <c r="K673"/>
  <c r="K636"/>
  <c r="K395"/>
  <c r="K1127"/>
  <c r="I68"/>
  <c r="I1143"/>
  <c r="I605" i="3"/>
  <c r="I604"/>
  <c r="I545"/>
  <c r="G36" i="2"/>
  <c r="H34" i="3"/>
  <c r="H33"/>
  <c r="H32"/>
  <c r="H31"/>
  <c r="F15" i="2"/>
  <c r="G913" i="3"/>
  <c r="E49" i="2"/>
  <c r="J423" i="3"/>
  <c r="H34" i="2"/>
  <c r="K108" i="4"/>
  <c r="G254" i="3"/>
  <c r="G253"/>
  <c r="G252"/>
  <c r="E26" i="2"/>
  <c r="G636" i="3"/>
  <c r="G626"/>
  <c r="E38" i="2"/>
  <c r="J468" i="3"/>
  <c r="H35" i="2"/>
  <c r="G424" i="3"/>
  <c r="G423"/>
  <c r="E34" i="2"/>
  <c r="I1001" i="4"/>
  <c r="J439"/>
  <c r="J415"/>
  <c r="L108"/>
  <c r="I108"/>
  <c r="I592"/>
  <c r="J1001"/>
  <c r="G661" i="3"/>
  <c r="G660"/>
  <c r="G659"/>
  <c r="J771"/>
  <c r="J770"/>
  <c r="J767"/>
  <c r="J766"/>
  <c r="J765"/>
  <c r="J750"/>
  <c r="L444" i="4"/>
  <c r="H417" i="5"/>
  <c r="H416"/>
  <c r="H415"/>
  <c r="H451"/>
  <c r="H392"/>
  <c r="H391"/>
  <c r="H390"/>
  <c r="H414"/>
  <c r="H361"/>
  <c r="H360"/>
  <c r="H359"/>
  <c r="H299"/>
  <c r="H298"/>
  <c r="H297"/>
  <c r="H324"/>
  <c r="H170"/>
  <c r="H169"/>
  <c r="H148"/>
  <c r="H195"/>
  <c r="H14"/>
  <c r="H13"/>
  <c r="H12"/>
  <c r="F28" i="2"/>
  <c r="G211" i="3"/>
  <c r="E22" i="2"/>
  <c r="E21"/>
  <c r="H885" i="3"/>
  <c r="F49" i="2"/>
  <c r="F47"/>
  <c r="J214" i="3"/>
  <c r="J213"/>
  <c r="J212"/>
  <c r="I658"/>
  <c r="G40" i="2"/>
  <c r="G39"/>
  <c r="H658" i="3"/>
  <c r="F40" i="2"/>
  <c r="F39"/>
  <c r="I211" i="3"/>
  <c r="G22" i="2"/>
  <c r="G21"/>
  <c r="H626" i="3"/>
  <c r="G79"/>
  <c r="J781"/>
  <c r="H43" i="2"/>
  <c r="J782" i="3"/>
  <c r="I1025" i="4"/>
  <c r="I1024"/>
  <c r="I16" i="5"/>
  <c r="I15"/>
  <c r="I14"/>
  <c r="H256" i="3"/>
  <c r="H255"/>
  <c r="H254"/>
  <c r="H253"/>
  <c r="H252"/>
  <c r="K742" i="4"/>
  <c r="K1152"/>
  <c r="J674"/>
  <c r="J673"/>
  <c r="J636"/>
  <c r="K312"/>
  <c r="K311"/>
  <c r="K284"/>
  <c r="K283"/>
  <c r="I258" i="5"/>
  <c r="I257"/>
  <c r="I254"/>
  <c r="I250"/>
  <c r="I249"/>
  <c r="I248"/>
  <c r="I266"/>
  <c r="H87" i="3"/>
  <c r="H86"/>
  <c r="H83"/>
  <c r="H79"/>
  <c r="H74"/>
  <c r="I753" i="4"/>
  <c r="I752"/>
  <c r="J617"/>
  <c r="J616"/>
  <c r="J591"/>
  <c r="L457"/>
  <c r="L456"/>
  <c r="L1140"/>
  <c r="I395"/>
  <c r="I1127"/>
  <c r="L312"/>
  <c r="L311"/>
  <c r="L284"/>
  <c r="L283"/>
  <c r="H518" i="5"/>
  <c r="H517"/>
  <c r="H516"/>
  <c r="H546"/>
  <c r="H329"/>
  <c r="H328"/>
  <c r="I789" i="3"/>
  <c r="I788"/>
  <c r="I787"/>
  <c r="H23" i="5"/>
  <c r="H22"/>
  <c r="H21"/>
  <c r="J789" i="3"/>
  <c r="J788"/>
  <c r="J787"/>
  <c r="H44" i="2"/>
  <c r="H789" i="3"/>
  <c r="H788"/>
  <c r="H787"/>
  <c r="G76"/>
  <c r="G75"/>
  <c r="M1026" i="4"/>
  <c r="K408" i="3"/>
  <c r="I742" i="4"/>
  <c r="I1152"/>
  <c r="L674"/>
  <c r="L673"/>
  <c r="L636"/>
  <c r="L395"/>
  <c r="L1127"/>
  <c r="I891"/>
  <c r="I890"/>
  <c r="I1139"/>
  <c r="K617"/>
  <c r="K616"/>
  <c r="K591"/>
  <c r="J457"/>
  <c r="J456"/>
  <c r="I457"/>
  <c r="I456"/>
  <c r="I1140"/>
  <c r="I238"/>
  <c r="I237"/>
  <c r="I236"/>
  <c r="I235"/>
  <c r="I218"/>
  <c r="I213"/>
  <c r="I209"/>
  <c r="I208"/>
  <c r="I135"/>
  <c r="H499" i="5"/>
  <c r="H463"/>
  <c r="H274" i="3"/>
  <c r="G295"/>
  <c r="G294"/>
  <c r="G889"/>
  <c r="G888"/>
  <c r="G887"/>
  <c r="G886"/>
  <c r="G474"/>
  <c r="G469"/>
  <c r="G468"/>
  <c r="E35" i="2"/>
  <c r="J23" i="5"/>
  <c r="J22"/>
  <c r="J21"/>
  <c r="G789" i="3"/>
  <c r="G788"/>
  <c r="G787"/>
  <c r="H250" i="5"/>
  <c r="H249"/>
  <c r="H248"/>
  <c r="H266"/>
  <c r="K169"/>
  <c r="K148"/>
  <c r="K195"/>
  <c r="K106"/>
  <c r="H132"/>
  <c r="H123"/>
  <c r="H122"/>
  <c r="H147"/>
  <c r="H108"/>
  <c r="H107"/>
  <c r="K23"/>
  <c r="K22"/>
  <c r="K21"/>
  <c r="H237"/>
  <c r="H236"/>
  <c r="H235"/>
  <c r="H241"/>
  <c r="K439" i="4"/>
  <c r="K415"/>
  <c r="L442"/>
  <c r="L223"/>
  <c r="L222"/>
  <c r="L221"/>
  <c r="L220"/>
  <c r="L219"/>
  <c r="L184"/>
  <c r="L183"/>
  <c r="K893"/>
  <c r="J892"/>
  <c r="J891"/>
  <c r="J890"/>
  <c r="I762"/>
  <c r="I758"/>
  <c r="I312"/>
  <c r="I311"/>
  <c r="I284"/>
  <c r="I283"/>
  <c r="L135"/>
  <c r="L705"/>
  <c r="L42"/>
  <c r="L41"/>
  <c r="L18"/>
  <c r="L213"/>
  <c r="L209"/>
  <c r="L208"/>
  <c r="J213"/>
  <c r="J209"/>
  <c r="J208"/>
  <c r="L534"/>
  <c r="L181"/>
  <c r="L178"/>
  <c r="K76"/>
  <c r="J75"/>
  <c r="J72"/>
  <c r="J68"/>
  <c r="J1143"/>
  <c r="I1036"/>
  <c r="I1032"/>
  <c r="I853"/>
  <c r="I852"/>
  <c r="I845"/>
  <c r="I837"/>
  <c r="I1086"/>
  <c r="I32"/>
  <c r="I31"/>
  <c r="J1086"/>
  <c r="J170"/>
  <c r="J169"/>
  <c r="J168"/>
  <c r="J1115"/>
  <c r="L1086"/>
  <c r="I171"/>
  <c r="I170"/>
  <c r="I169"/>
  <c r="I168"/>
  <c r="I1115"/>
  <c r="J798"/>
  <c r="J777"/>
  <c r="J776"/>
  <c r="L798"/>
  <c r="L777"/>
  <c r="L776"/>
  <c r="K512"/>
  <c r="K798"/>
  <c r="K777"/>
  <c r="K776"/>
  <c r="I798"/>
  <c r="I777"/>
  <c r="I776"/>
  <c r="J512"/>
  <c r="L512"/>
  <c r="K1029"/>
  <c r="I410" i="3"/>
  <c r="I409"/>
  <c r="I406"/>
  <c r="I405"/>
  <c r="I404"/>
  <c r="I403"/>
  <c r="J1028" i="4"/>
  <c r="J1025"/>
  <c r="J1024"/>
  <c r="J1023"/>
  <c r="K857"/>
  <c r="I933" i="3"/>
  <c r="I932"/>
  <c r="I929"/>
  <c r="I928"/>
  <c r="I921"/>
  <c r="I913"/>
  <c r="J856" i="4"/>
  <c r="J853"/>
  <c r="J852"/>
  <c r="J845"/>
  <c r="I1049"/>
  <c r="I1048"/>
  <c r="K1086"/>
  <c r="K330"/>
  <c r="L941"/>
  <c r="L913"/>
  <c r="L839"/>
  <c r="L838"/>
  <c r="L1146"/>
  <c r="K839"/>
  <c r="K838"/>
  <c r="K1146"/>
  <c r="J839"/>
  <c r="J838"/>
  <c r="L1049"/>
  <c r="L1048"/>
  <c r="L330"/>
  <c r="J135"/>
  <c r="J941"/>
  <c r="J913"/>
  <c r="J705"/>
  <c r="K766"/>
  <c r="I655" i="3"/>
  <c r="I654"/>
  <c r="I651"/>
  <c r="I647"/>
  <c r="I636"/>
  <c r="I626"/>
  <c r="J765" i="4"/>
  <c r="J762"/>
  <c r="J758"/>
  <c r="J751"/>
  <c r="J32"/>
  <c r="J31"/>
  <c r="K1141"/>
  <c r="J330"/>
  <c r="J1147"/>
  <c r="K1049"/>
  <c r="K1048"/>
  <c r="J1049"/>
  <c r="J1048"/>
  <c r="I941"/>
  <c r="J395"/>
  <c r="J1127"/>
  <c r="K941"/>
  <c r="K913"/>
  <c r="K537"/>
  <c r="I38" i="3"/>
  <c r="I37"/>
  <c r="I34"/>
  <c r="I33"/>
  <c r="I32"/>
  <c r="I31"/>
  <c r="G15" i="2"/>
  <c r="J536" i="4"/>
  <c r="J533"/>
  <c r="J532"/>
  <c r="J531"/>
  <c r="J530"/>
  <c r="J529"/>
  <c r="J528"/>
  <c r="J1141"/>
  <c r="L1141"/>
  <c r="F796" i="3"/>
  <c r="G1073" i="4"/>
  <c r="G955"/>
  <c r="G940"/>
  <c r="G485" i="11"/>
  <c r="G484"/>
  <c r="G483"/>
  <c r="G31" i="5"/>
  <c r="G30"/>
  <c r="G532" i="11"/>
  <c r="G531"/>
  <c r="G530"/>
  <c r="G529"/>
  <c r="G528"/>
  <c r="G527"/>
  <c r="G533"/>
  <c r="G525"/>
  <c r="G524"/>
  <c r="G523"/>
  <c r="G522"/>
  <c r="G519"/>
  <c r="G518"/>
  <c r="G517"/>
  <c r="G516"/>
  <c r="G515"/>
  <c r="G514"/>
  <c r="G506"/>
  <c r="G505"/>
  <c r="G504"/>
  <c r="G503"/>
  <c r="G502"/>
  <c r="G501"/>
  <c r="G497"/>
  <c r="G496"/>
  <c r="G495"/>
  <c r="G494"/>
  <c r="G481"/>
  <c r="G480"/>
  <c r="G479"/>
  <c r="G478"/>
  <c r="G477"/>
  <c r="G473"/>
  <c r="G472"/>
  <c r="G471"/>
  <c r="G467"/>
  <c r="G466"/>
  <c r="G465"/>
  <c r="G462"/>
  <c r="G461"/>
  <c r="G464"/>
  <c r="G449"/>
  <c r="G448"/>
  <c r="G447"/>
  <c r="G446"/>
  <c r="G445"/>
  <c r="G444"/>
  <c r="G443"/>
  <c r="G442"/>
  <c r="G441"/>
  <c r="G440"/>
  <c r="G439"/>
  <c r="G431"/>
  <c r="G430"/>
  <c r="G429"/>
  <c r="G428"/>
  <c r="G427"/>
  <c r="G426"/>
  <c r="G425"/>
  <c r="G424"/>
  <c r="G423"/>
  <c r="G416"/>
  <c r="G415"/>
  <c r="G414"/>
  <c r="G413"/>
  <c r="G412"/>
  <c r="G411"/>
  <c r="G410"/>
  <c r="G409"/>
  <c r="G418"/>
  <c r="G408"/>
  <c r="G405"/>
  <c r="G403"/>
  <c r="G402"/>
  <c r="G401"/>
  <c r="G400"/>
  <c r="G399"/>
  <c r="G397"/>
  <c r="G393"/>
  <c r="G392"/>
  <c r="G395"/>
  <c r="G389"/>
  <c r="G388"/>
  <c r="G391"/>
  <c r="G385"/>
  <c r="G384"/>
  <c r="G387"/>
  <c r="G382"/>
  <c r="G381"/>
  <c r="G380"/>
  <c r="G383"/>
  <c r="G371"/>
  <c r="G370"/>
  <c r="G365"/>
  <c r="G364"/>
  <c r="G363"/>
  <c r="G360"/>
  <c r="G359"/>
  <c r="G350"/>
  <c r="G349"/>
  <c r="G347"/>
  <c r="G346"/>
  <c r="G345"/>
  <c r="G342"/>
  <c r="G341"/>
  <c r="G338"/>
  <c r="G337"/>
  <c r="G334"/>
  <c r="G333"/>
  <c r="G322"/>
  <c r="G321"/>
  <c r="G314"/>
  <c r="G313"/>
  <c r="G310"/>
  <c r="G309"/>
  <c r="G304"/>
  <c r="G303"/>
  <c r="G302"/>
  <c r="G301"/>
  <c r="G292"/>
  <c r="G291"/>
  <c r="G290"/>
  <c r="G287"/>
  <c r="G286"/>
  <c r="G283"/>
  <c r="G282"/>
  <c r="G281"/>
  <c r="G280"/>
  <c r="G279"/>
  <c r="G278"/>
  <c r="G269"/>
  <c r="G268"/>
  <c r="G267"/>
  <c r="G266"/>
  <c r="G265"/>
  <c r="G264"/>
  <c r="G270"/>
  <c r="G262"/>
  <c r="G261"/>
  <c r="G260"/>
  <c r="G259"/>
  <c r="G258"/>
  <c r="G257"/>
  <c r="G263"/>
  <c r="G255"/>
  <c r="G254"/>
  <c r="G253"/>
  <c r="G252"/>
  <c r="G251"/>
  <c r="G250"/>
  <c r="G247"/>
  <c r="G246"/>
  <c r="G245"/>
  <c r="G244"/>
  <c r="G243"/>
  <c r="G242"/>
  <c r="G248"/>
  <c r="G240"/>
  <c r="G239"/>
  <c r="G238"/>
  <c r="G237"/>
  <c r="G236"/>
  <c r="G235"/>
  <c r="G232"/>
  <c r="G231"/>
  <c r="G215"/>
  <c r="G214"/>
  <c r="G213"/>
  <c r="G212"/>
  <c r="G211"/>
  <c r="G210"/>
  <c r="G216"/>
  <c r="G206"/>
  <c r="G205"/>
  <c r="G201"/>
  <c r="G200"/>
  <c r="G204"/>
  <c r="G198"/>
  <c r="G197"/>
  <c r="G196"/>
  <c r="G195"/>
  <c r="G193"/>
  <c r="G192"/>
  <c r="G191"/>
  <c r="G190"/>
  <c r="G189"/>
  <c r="G185"/>
  <c r="G184"/>
  <c r="G181"/>
  <c r="G180"/>
  <c r="G178"/>
  <c r="G177"/>
  <c r="G176"/>
  <c r="G175"/>
  <c r="G174"/>
  <c r="G173"/>
  <c r="G169"/>
  <c r="G168"/>
  <c r="G167"/>
  <c r="G159"/>
  <c r="G161"/>
  <c r="G157"/>
  <c r="G155"/>
  <c r="G154"/>
  <c r="G151"/>
  <c r="G150"/>
  <c r="G153"/>
  <c r="G147"/>
  <c r="G146"/>
  <c r="G149"/>
  <c r="G143"/>
  <c r="G142"/>
  <c r="G138"/>
  <c r="G137"/>
  <c r="G135"/>
  <c r="G134"/>
  <c r="G133"/>
  <c r="G126"/>
  <c r="G125"/>
  <c r="G122"/>
  <c r="G121"/>
  <c r="G90"/>
  <c r="G89"/>
  <c r="G94"/>
  <c r="G86"/>
  <c r="G85"/>
  <c r="G88"/>
  <c r="G84"/>
  <c r="G82"/>
  <c r="G81"/>
  <c r="G79"/>
  <c r="G78"/>
  <c r="G77"/>
  <c r="G73"/>
  <c r="G53"/>
  <c r="G52"/>
  <c r="G44"/>
  <c r="G43"/>
  <c r="G42"/>
  <c r="G41"/>
  <c r="G40"/>
  <c r="G39"/>
  <c r="G45"/>
  <c r="G24"/>
  <c r="G462" i="4"/>
  <c r="G27" i="11"/>
  <c r="G26"/>
  <c r="G23"/>
  <c r="G52" i="4"/>
  <c r="G36"/>
  <c r="G973" i="10"/>
  <c r="G972"/>
  <c r="G971"/>
  <c r="G969"/>
  <c r="G961"/>
  <c r="G960"/>
  <c r="G959"/>
  <c r="G958"/>
  <c r="G956"/>
  <c r="G955"/>
  <c r="G954"/>
  <c r="G951"/>
  <c r="G949"/>
  <c r="G943"/>
  <c r="G941"/>
  <c r="G939"/>
  <c r="G933"/>
  <c r="G931"/>
  <c r="G930"/>
  <c r="G929"/>
  <c r="G928"/>
  <c r="G927"/>
  <c r="G923"/>
  <c r="G922"/>
  <c r="G921"/>
  <c r="G920"/>
  <c r="G919"/>
  <c r="G918"/>
  <c r="G917"/>
  <c r="G916"/>
  <c r="G915"/>
  <c r="G914"/>
  <c r="G911"/>
  <c r="G910"/>
  <c r="G908"/>
  <c r="G907"/>
  <c r="G905"/>
  <c r="G904"/>
  <c r="G903"/>
  <c r="G897"/>
  <c r="G896"/>
  <c r="G894"/>
  <c r="G893"/>
  <c r="G892"/>
  <c r="G890"/>
  <c r="G889"/>
  <c r="G887"/>
  <c r="G886"/>
  <c r="G884"/>
  <c r="G883"/>
  <c r="G882"/>
  <c r="G881"/>
  <c r="G880"/>
  <c r="G876"/>
  <c r="G875"/>
  <c r="G874"/>
  <c r="G1008"/>
  <c r="G872"/>
  <c r="G871"/>
  <c r="G869"/>
  <c r="G868"/>
  <c r="G866"/>
  <c r="G865"/>
  <c r="G863"/>
  <c r="G862"/>
  <c r="G861"/>
  <c r="G857"/>
  <c r="G856"/>
  <c r="G854"/>
  <c r="G853"/>
  <c r="G851"/>
  <c r="G850"/>
  <c r="G845"/>
  <c r="G844"/>
  <c r="G841"/>
  <c r="G840"/>
  <c r="G839"/>
  <c r="G835"/>
  <c r="G834"/>
  <c r="G832"/>
  <c r="G831"/>
  <c r="G830"/>
  <c r="G829"/>
  <c r="G828"/>
  <c r="G825"/>
  <c r="G824"/>
  <c r="G823"/>
  <c r="G821"/>
  <c r="G820"/>
  <c r="G819"/>
  <c r="G818"/>
  <c r="G817"/>
  <c r="G816"/>
  <c r="G815"/>
  <c r="G814"/>
  <c r="G813"/>
  <c r="G812"/>
  <c r="G811"/>
  <c r="G810"/>
  <c r="G809"/>
  <c r="G808"/>
  <c r="G806"/>
  <c r="G805"/>
  <c r="G803"/>
  <c r="G802"/>
  <c r="G799"/>
  <c r="G798"/>
  <c r="G797"/>
  <c r="G796"/>
  <c r="G795"/>
  <c r="G793"/>
  <c r="G789"/>
  <c r="G788"/>
  <c r="G787"/>
  <c r="G783"/>
  <c r="G782"/>
  <c r="G781"/>
  <c r="G780"/>
  <c r="G775"/>
  <c r="G774"/>
  <c r="G773"/>
  <c r="G772"/>
  <c r="G771"/>
  <c r="G768"/>
  <c r="G767"/>
  <c r="G766"/>
  <c r="G765"/>
  <c r="G764"/>
  <c r="G763"/>
  <c r="G761"/>
  <c r="G760"/>
  <c r="G759"/>
  <c r="G758"/>
  <c r="G757"/>
  <c r="G753"/>
  <c r="G752"/>
  <c r="G751"/>
  <c r="G747"/>
  <c r="G746"/>
  <c r="G745"/>
  <c r="G744"/>
  <c r="G743"/>
  <c r="G742"/>
  <c r="G738"/>
  <c r="G736"/>
  <c r="G732"/>
  <c r="G731"/>
  <c r="G729"/>
  <c r="G723"/>
  <c r="G722"/>
  <c r="G721"/>
  <c r="G720"/>
  <c r="G718"/>
  <c r="G717"/>
  <c r="G715"/>
  <c r="G714"/>
  <c r="G713"/>
  <c r="G712"/>
  <c r="G711"/>
  <c r="G710"/>
  <c r="G709"/>
  <c r="G708"/>
  <c r="G703"/>
  <c r="G702"/>
  <c r="G701"/>
  <c r="G700"/>
  <c r="G699"/>
  <c r="G698"/>
  <c r="G696"/>
  <c r="G695"/>
  <c r="G691"/>
  <c r="G690"/>
  <c r="G688"/>
  <c r="G687"/>
  <c r="G685"/>
  <c r="G684"/>
  <c r="G682"/>
  <c r="G681"/>
  <c r="G680"/>
  <c r="G679"/>
  <c r="G678"/>
  <c r="G672"/>
  <c r="G671"/>
  <c r="G670"/>
  <c r="G669"/>
  <c r="G668"/>
  <c r="G667"/>
  <c r="G665"/>
  <c r="G664"/>
  <c r="G663"/>
  <c r="G661"/>
  <c r="G660"/>
  <c r="G659"/>
  <c r="G658"/>
  <c r="G653"/>
  <c r="G651"/>
  <c r="G649"/>
  <c r="G648"/>
  <c r="G647"/>
  <c r="G644"/>
  <c r="G643"/>
  <c r="G642"/>
  <c r="G637"/>
  <c r="G636"/>
  <c r="G635"/>
  <c r="G634"/>
  <c r="G631"/>
  <c r="G630"/>
  <c r="G628"/>
  <c r="G627"/>
  <c r="G625"/>
  <c r="G624"/>
  <c r="G620"/>
  <c r="G619"/>
  <c r="G618"/>
  <c r="G617"/>
  <c r="G616"/>
  <c r="G615"/>
  <c r="G614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6"/>
  <c r="G585"/>
  <c r="G583"/>
  <c r="G582"/>
  <c r="G578"/>
  <c r="G577"/>
  <c r="G575"/>
  <c r="G574"/>
  <c r="G572"/>
  <c r="G571"/>
  <c r="G570"/>
  <c r="G569"/>
  <c r="G568"/>
  <c r="G566"/>
  <c r="G565"/>
  <c r="G563"/>
  <c r="G562"/>
  <c r="G561"/>
  <c r="G560"/>
  <c r="G559"/>
  <c r="G557"/>
  <c r="G556"/>
  <c r="G554"/>
  <c r="G553"/>
  <c r="G551"/>
  <c r="G550"/>
  <c r="G549"/>
  <c r="G548"/>
  <c r="G545"/>
  <c r="G544"/>
  <c r="G543"/>
  <c r="G542"/>
  <c r="G541"/>
  <c r="G540"/>
  <c r="G539"/>
  <c r="G538"/>
  <c r="G537"/>
  <c r="G536"/>
  <c r="G535"/>
  <c r="G534"/>
  <c r="G533"/>
  <c r="G532"/>
  <c r="G531"/>
  <c r="G529"/>
  <c r="G528"/>
  <c r="G524"/>
  <c r="G523"/>
  <c r="G521"/>
  <c r="G520"/>
  <c r="G519"/>
  <c r="G518"/>
  <c r="G517"/>
  <c r="G515"/>
  <c r="G514"/>
  <c r="G512"/>
  <c r="G511"/>
  <c r="G510"/>
  <c r="G509"/>
  <c r="G504"/>
  <c r="G503"/>
  <c r="G502"/>
  <c r="G501"/>
  <c r="G500"/>
  <c r="G499"/>
  <c r="G497"/>
  <c r="G496"/>
  <c r="G495"/>
  <c r="G494"/>
  <c r="G493"/>
  <c r="G492"/>
  <c r="G490"/>
  <c r="G489"/>
  <c r="G487"/>
  <c r="G486"/>
  <c r="G483"/>
  <c r="G482"/>
  <c r="G481"/>
  <c r="G480"/>
  <c r="G476"/>
  <c r="G475"/>
  <c r="G474"/>
  <c r="G473"/>
  <c r="G472"/>
  <c r="G471"/>
  <c r="G470"/>
  <c r="G469"/>
  <c r="G468"/>
  <c r="G467"/>
  <c r="G465"/>
  <c r="G457"/>
  <c r="G456"/>
  <c r="G455"/>
  <c r="G452"/>
  <c r="G451"/>
  <c r="G449"/>
  <c r="G448"/>
  <c r="G446"/>
  <c r="G445"/>
  <c r="G442"/>
  <c r="G441"/>
  <c r="G440"/>
  <c r="G439"/>
  <c r="G437"/>
  <c r="G435"/>
  <c r="G432"/>
  <c r="G431"/>
  <c r="G429"/>
  <c r="G428"/>
  <c r="G424"/>
  <c r="G423"/>
  <c r="G422"/>
  <c r="G420"/>
  <c r="G419"/>
  <c r="G418"/>
  <c r="G417"/>
  <c r="G416"/>
  <c r="G415"/>
  <c r="G414"/>
  <c r="G413"/>
  <c r="G411"/>
  <c r="G410"/>
  <c r="G409"/>
  <c r="G405"/>
  <c r="G404"/>
  <c r="G403"/>
  <c r="G402"/>
  <c r="G401"/>
  <c r="G400"/>
  <c r="G399"/>
  <c r="G398"/>
  <c r="G397"/>
  <c r="G396"/>
  <c r="G394"/>
  <c r="G393"/>
  <c r="G392"/>
  <c r="G386"/>
  <c r="G385"/>
  <c r="G384"/>
  <c r="G383"/>
  <c r="G382"/>
  <c r="G378"/>
  <c r="G376"/>
  <c r="G371"/>
  <c r="G370"/>
  <c r="G369"/>
  <c r="G368"/>
  <c r="G367"/>
  <c r="G366"/>
  <c r="G364"/>
  <c r="G363"/>
  <c r="G361"/>
  <c r="G360"/>
  <c r="G356"/>
  <c r="G355"/>
  <c r="G354"/>
  <c r="G353"/>
  <c r="G352"/>
  <c r="G351"/>
  <c r="G350"/>
  <c r="G349"/>
  <c r="G348"/>
  <c r="G347"/>
  <c r="G345"/>
  <c r="G343"/>
  <c r="G342"/>
  <c r="G341"/>
  <c r="G340"/>
  <c r="G335"/>
  <c r="G334"/>
  <c r="G333"/>
  <c r="G1002"/>
  <c r="G331"/>
  <c r="G330"/>
  <c r="G328"/>
  <c r="G327"/>
  <c r="G325"/>
  <c r="G324"/>
  <c r="G322"/>
  <c r="G321"/>
  <c r="G319"/>
  <c r="G318"/>
  <c r="G316"/>
  <c r="G315"/>
  <c r="G313"/>
  <c r="G311"/>
  <c r="G309"/>
  <c r="G308"/>
  <c r="G307"/>
  <c r="G304"/>
  <c r="G302"/>
  <c r="G300"/>
  <c r="G297"/>
  <c r="G296"/>
  <c r="G294"/>
  <c r="G293"/>
  <c r="G292"/>
  <c r="G291"/>
  <c r="G290"/>
  <c r="G288"/>
  <c r="G287"/>
  <c r="G285"/>
  <c r="G284"/>
  <c r="G283"/>
  <c r="G282"/>
  <c r="G281"/>
  <c r="G275"/>
  <c r="G274"/>
  <c r="G273"/>
  <c r="G272"/>
  <c r="G271"/>
  <c r="G270"/>
  <c r="G269"/>
  <c r="G268"/>
  <c r="G267"/>
  <c r="G266"/>
  <c r="G265"/>
  <c r="G264"/>
  <c r="G263"/>
  <c r="G262"/>
  <c r="G258"/>
  <c r="G257"/>
  <c r="G255"/>
  <c r="G254"/>
  <c r="G252"/>
  <c r="G251"/>
  <c r="G249"/>
  <c r="G248"/>
  <c r="G246"/>
  <c r="G245"/>
  <c r="G243"/>
  <c r="G242"/>
  <c r="G241"/>
  <c r="G240"/>
  <c r="G239"/>
  <c r="G238"/>
  <c r="G237"/>
  <c r="G233"/>
  <c r="G232"/>
  <c r="G231"/>
  <c r="G230"/>
  <c r="G229"/>
  <c r="G228"/>
  <c r="G226"/>
  <c r="G225"/>
  <c r="G224"/>
  <c r="G223"/>
  <c r="G222"/>
  <c r="G221"/>
  <c r="G219"/>
  <c r="G218"/>
  <c r="G217"/>
  <c r="G216"/>
  <c r="G211"/>
  <c r="G210"/>
  <c r="G209"/>
  <c r="G208"/>
  <c r="G207"/>
  <c r="G205"/>
  <c r="G204"/>
  <c r="G203"/>
  <c r="G200"/>
  <c r="G199"/>
  <c r="G198"/>
  <c r="G197"/>
  <c r="G196"/>
  <c r="G194"/>
  <c r="G193"/>
  <c r="G192"/>
  <c r="G191"/>
  <c r="G188"/>
  <c r="G187"/>
  <c r="G183"/>
  <c r="G182"/>
  <c r="G181"/>
  <c r="G180"/>
  <c r="G179"/>
  <c r="G178"/>
  <c r="G175"/>
  <c r="G174"/>
  <c r="G173"/>
  <c r="G172"/>
  <c r="G171"/>
  <c r="G170"/>
  <c r="G167"/>
  <c r="G166"/>
  <c r="G165"/>
  <c r="G164"/>
  <c r="G163"/>
  <c r="G157"/>
  <c r="G156"/>
  <c r="G155"/>
  <c r="G154"/>
  <c r="G152"/>
  <c r="G151"/>
  <c r="G150"/>
  <c r="G149"/>
  <c r="G148"/>
  <c r="G145"/>
  <c r="G144"/>
  <c r="G143"/>
  <c r="G142"/>
  <c r="G141"/>
  <c r="G140"/>
  <c r="G138"/>
  <c r="G137"/>
  <c r="G136"/>
  <c r="G135"/>
  <c r="G132"/>
  <c r="G131"/>
  <c r="G129"/>
  <c r="G128"/>
  <c r="G126"/>
  <c r="G125"/>
  <c r="G123"/>
  <c r="G122"/>
  <c r="G119"/>
  <c r="G118"/>
  <c r="G117"/>
  <c r="G114"/>
  <c r="G113"/>
  <c r="G111"/>
  <c r="G110"/>
  <c r="G109"/>
  <c r="G108"/>
  <c r="G107"/>
  <c r="G105"/>
  <c r="G104"/>
  <c r="G102"/>
  <c r="G100"/>
  <c r="G92"/>
  <c r="G91"/>
  <c r="G90"/>
  <c r="G89"/>
  <c r="G88"/>
  <c r="G87"/>
  <c r="G86"/>
  <c r="G1004"/>
  <c r="G84"/>
  <c r="G83"/>
  <c r="G82"/>
  <c r="G80"/>
  <c r="G79"/>
  <c r="G78"/>
  <c r="G76"/>
  <c r="G75"/>
  <c r="G74"/>
  <c r="G71"/>
  <c r="G70"/>
  <c r="G69"/>
  <c r="G68"/>
  <c r="G66"/>
  <c r="G64"/>
  <c r="G63"/>
  <c r="G62"/>
  <c r="G60"/>
  <c r="G59"/>
  <c r="G58"/>
  <c r="G57"/>
  <c r="G54"/>
  <c r="G53"/>
  <c r="G52"/>
  <c r="G47"/>
  <c r="G46"/>
  <c r="G45"/>
  <c r="G44"/>
  <c r="G40"/>
  <c r="G39"/>
  <c r="G38"/>
  <c r="G37"/>
  <c r="G36"/>
  <c r="G35"/>
  <c r="G34"/>
  <c r="G33"/>
  <c r="G25"/>
  <c r="G24"/>
  <c r="G23"/>
  <c r="G22"/>
  <c r="G20"/>
  <c r="G18"/>
  <c r="G16"/>
  <c r="O1122" i="4"/>
  <c r="O1123"/>
  <c r="I40" i="2"/>
  <c r="M659" i="3"/>
  <c r="K658"/>
  <c r="M658"/>
  <c r="M1025" i="4"/>
  <c r="O1026"/>
  <c r="I12" i="2"/>
  <c r="K12"/>
  <c r="K407" i="3"/>
  <c r="M408"/>
  <c r="I42" i="2"/>
  <c r="K42"/>
  <c r="K44"/>
  <c r="K34"/>
  <c r="I33"/>
  <c r="K33"/>
  <c r="G99" i="10"/>
  <c r="G310"/>
  <c r="G375"/>
  <c r="G374"/>
  <c r="G657"/>
  <c r="G656"/>
  <c r="G948"/>
  <c r="G947"/>
  <c r="G946"/>
  <c r="G945"/>
  <c r="G299"/>
  <c r="G280"/>
  <c r="G849"/>
  <c r="G408"/>
  <c r="G407"/>
  <c r="G434"/>
  <c r="G421"/>
  <c r="G792"/>
  <c r="G791"/>
  <c r="G786"/>
  <c r="G785"/>
  <c r="G344"/>
  <c r="G613"/>
  <c r="G838"/>
  <c r="G837"/>
  <c r="G116"/>
  <c r="G98"/>
  <c r="G339"/>
  <c r="G338"/>
  <c r="G337"/>
  <c r="G666"/>
  <c r="G662"/>
  <c r="G655"/>
  <c r="G1007"/>
  <c r="G756"/>
  <c r="G755"/>
  <c r="G750"/>
  <c r="G749"/>
  <c r="G396" i="11"/>
  <c r="G134" i="10"/>
  <c r="G51"/>
  <c r="G50"/>
  <c r="G49"/>
  <c r="G48"/>
  <c r="G65"/>
  <c r="G61"/>
  <c r="G997"/>
  <c r="G728"/>
  <c r="G727"/>
  <c r="G726"/>
  <c r="G860"/>
  <c r="G859"/>
  <c r="G261"/>
  <c r="G260"/>
  <c r="G236"/>
  <c r="G235"/>
  <c r="G741"/>
  <c r="G740"/>
  <c r="G827"/>
  <c r="G968"/>
  <c r="G967"/>
  <c r="G966"/>
  <c r="G965"/>
  <c r="G964"/>
  <c r="G990"/>
  <c r="G190"/>
  <c r="G186"/>
  <c r="G185"/>
  <c r="G184"/>
  <c r="G177"/>
  <c r="G391"/>
  <c r="G801"/>
  <c r="G1005"/>
  <c r="G938"/>
  <c r="G937"/>
  <c r="G936"/>
  <c r="G935"/>
  <c r="G779"/>
  <c r="G778"/>
  <c r="G993"/>
  <c r="G15"/>
  <c r="G14"/>
  <c r="G13"/>
  <c r="G12"/>
  <c r="G11"/>
  <c r="G10"/>
  <c r="G32"/>
  <c r="G31"/>
  <c r="G43"/>
  <c r="G42"/>
  <c r="G139"/>
  <c r="G215"/>
  <c r="G214"/>
  <c r="G213"/>
  <c r="G212"/>
  <c r="G650"/>
  <c r="G646"/>
  <c r="G359"/>
  <c r="G707"/>
  <c r="G706"/>
  <c r="G705"/>
  <c r="G306"/>
  <c r="G527"/>
  <c r="G526"/>
  <c r="G735"/>
  <c r="G734"/>
  <c r="G953"/>
  <c r="L20" i="4"/>
  <c r="L17"/>
  <c r="L16"/>
  <c r="L15"/>
  <c r="L14"/>
  <c r="L13"/>
  <c r="J203"/>
  <c r="J1118"/>
  <c r="L203"/>
  <c r="L1118"/>
  <c r="I203"/>
  <c r="I1118"/>
  <c r="K203"/>
  <c r="K1118"/>
  <c r="E23" i="2"/>
  <c r="I1112" i="4"/>
  <c r="J1112"/>
  <c r="K12"/>
  <c r="G74" i="3"/>
  <c r="G12"/>
  <c r="G229"/>
  <c r="I20" i="5"/>
  <c r="L965" i="4"/>
  <c r="I330"/>
  <c r="I1147"/>
  <c r="I1146"/>
  <c r="I809"/>
  <c r="I1131"/>
  <c r="I1132"/>
  <c r="L441"/>
  <c r="L440"/>
  <c r="L439"/>
  <c r="L415"/>
  <c r="K1130"/>
  <c r="I889"/>
  <c r="I882"/>
  <c r="I591"/>
  <c r="I1124"/>
  <c r="I673"/>
  <c r="I636"/>
  <c r="I751"/>
  <c r="I741"/>
  <c r="L33"/>
  <c r="L32"/>
  <c r="L31"/>
  <c r="I913"/>
  <c r="J1120"/>
  <c r="J1130"/>
  <c r="K1149"/>
  <c r="I1141"/>
  <c r="J1124"/>
  <c r="L218"/>
  <c r="J965"/>
  <c r="L171"/>
  <c r="L170"/>
  <c r="L169"/>
  <c r="L168"/>
  <c r="L1115"/>
  <c r="I965"/>
  <c r="I1023"/>
  <c r="I1022"/>
  <c r="L107"/>
  <c r="K394"/>
  <c r="K329"/>
  <c r="K328"/>
  <c r="K1125"/>
  <c r="K1126"/>
  <c r="I1130"/>
  <c r="L1130"/>
  <c r="I107"/>
  <c r="K107"/>
  <c r="K1107"/>
  <c r="L1107"/>
  <c r="L1124"/>
  <c r="K1124"/>
  <c r="J455"/>
  <c r="J454"/>
  <c r="J1128"/>
  <c r="L394"/>
  <c r="L329"/>
  <c r="I1107"/>
  <c r="I394"/>
  <c r="H41" i="2"/>
  <c r="H39"/>
  <c r="J658" i="3"/>
  <c r="H389" i="5"/>
  <c r="H358"/>
  <c r="H327"/>
  <c r="H326"/>
  <c r="H325"/>
  <c r="H19"/>
  <c r="H11"/>
  <c r="I422" i="3"/>
  <c r="G38" i="2"/>
  <c r="G33"/>
  <c r="G658" i="3"/>
  <c r="E40" i="2"/>
  <c r="E39"/>
  <c r="G885" i="3"/>
  <c r="E48" i="2"/>
  <c r="E47"/>
  <c r="G274" i="3"/>
  <c r="E30" i="2"/>
  <c r="E28"/>
  <c r="H780" i="3"/>
  <c r="F44" i="2"/>
  <c r="F42"/>
  <c r="E33"/>
  <c r="H229" i="3"/>
  <c r="F26" i="2"/>
  <c r="F23"/>
  <c r="H42"/>
  <c r="I885" i="3"/>
  <c r="G49" i="2"/>
  <c r="G47"/>
  <c r="I274" i="3"/>
  <c r="G32" i="2"/>
  <c r="G28"/>
  <c r="G780" i="3"/>
  <c r="E44" i="2"/>
  <c r="E42"/>
  <c r="J211" i="3"/>
  <c r="H22" i="2"/>
  <c r="H21"/>
  <c r="I780" i="3"/>
  <c r="G44" i="2"/>
  <c r="G42"/>
  <c r="H12" i="3"/>
  <c r="F18" i="2"/>
  <c r="F12"/>
  <c r="H422" i="3"/>
  <c r="F38" i="2"/>
  <c r="F33"/>
  <c r="J258" i="5"/>
  <c r="J257"/>
  <c r="J254"/>
  <c r="J250"/>
  <c r="J249"/>
  <c r="J248"/>
  <c r="J266"/>
  <c r="I87" i="3"/>
  <c r="I86"/>
  <c r="I83"/>
  <c r="I79"/>
  <c r="I74"/>
  <c r="J16" i="5"/>
  <c r="J15"/>
  <c r="J14"/>
  <c r="I256" i="3"/>
  <c r="I255"/>
  <c r="I254"/>
  <c r="I253"/>
  <c r="I252"/>
  <c r="H121" i="5"/>
  <c r="H106"/>
  <c r="G422" i="3"/>
  <c r="H20" i="5"/>
  <c r="H35"/>
  <c r="I19"/>
  <c r="I13"/>
  <c r="I12"/>
  <c r="I11"/>
  <c r="K35"/>
  <c r="K20"/>
  <c r="J20"/>
  <c r="J35"/>
  <c r="J780" i="3"/>
  <c r="L76" i="4"/>
  <c r="K75"/>
  <c r="K72"/>
  <c r="K68"/>
  <c r="K1143"/>
  <c r="J1139"/>
  <c r="J889"/>
  <c r="J882"/>
  <c r="L893"/>
  <c r="K892"/>
  <c r="K891"/>
  <c r="K890"/>
  <c r="J1129"/>
  <c r="J1107"/>
  <c r="J1140"/>
  <c r="I455"/>
  <c r="I454"/>
  <c r="I1129"/>
  <c r="K1129"/>
  <c r="L1129"/>
  <c r="L455"/>
  <c r="L454"/>
  <c r="J1022"/>
  <c r="K455"/>
  <c r="K454"/>
  <c r="K1128"/>
  <c r="K1140"/>
  <c r="K1147"/>
  <c r="J741"/>
  <c r="J590"/>
  <c r="J1122"/>
  <c r="J837"/>
  <c r="J809"/>
  <c r="J1131"/>
  <c r="J1132"/>
  <c r="L857"/>
  <c r="J933" i="3"/>
  <c r="J932"/>
  <c r="J929"/>
  <c r="J928"/>
  <c r="J921"/>
  <c r="J913"/>
  <c r="K856" i="4"/>
  <c r="K853"/>
  <c r="K852"/>
  <c r="K845"/>
  <c r="K837"/>
  <c r="K809"/>
  <c r="K1131"/>
  <c r="K1132"/>
  <c r="L1029"/>
  <c r="J410" i="3"/>
  <c r="J409"/>
  <c r="J406"/>
  <c r="J405"/>
  <c r="J404"/>
  <c r="J403"/>
  <c r="K1028" i="4"/>
  <c r="K1025"/>
  <c r="K1024"/>
  <c r="K1023"/>
  <c r="K1120"/>
  <c r="J107"/>
  <c r="J63"/>
  <c r="J30"/>
  <c r="J1111"/>
  <c r="L1147"/>
  <c r="J1146"/>
  <c r="L766"/>
  <c r="J655" i="3"/>
  <c r="J654"/>
  <c r="J651"/>
  <c r="J647"/>
  <c r="J636"/>
  <c r="J626"/>
  <c r="K765" i="4"/>
  <c r="K762"/>
  <c r="K758"/>
  <c r="K751"/>
  <c r="G513" i="11"/>
  <c r="G512"/>
  <c r="J394" i="4"/>
  <c r="J329"/>
  <c r="J328"/>
  <c r="J1125"/>
  <c r="L537"/>
  <c r="J38" i="3"/>
  <c r="J37"/>
  <c r="J34"/>
  <c r="J33"/>
  <c r="J32"/>
  <c r="J31"/>
  <c r="H15" i="2"/>
  <c r="K536" i="4"/>
  <c r="K533"/>
  <c r="K532"/>
  <c r="K531"/>
  <c r="K530"/>
  <c r="K529"/>
  <c r="K528"/>
  <c r="G493" i="11"/>
  <c r="G422"/>
  <c r="G421"/>
  <c r="G420"/>
  <c r="G432"/>
  <c r="G194"/>
  <c r="G188"/>
  <c r="G249"/>
  <c r="G256"/>
  <c r="G521"/>
  <c r="G526"/>
  <c r="G158"/>
  <c r="G996" i="10"/>
  <c r="G73"/>
  <c r="G999"/>
  <c r="G147"/>
  <c r="G982"/>
  <c r="G169"/>
  <c r="G162"/>
  <c r="G161"/>
  <c r="G160"/>
  <c r="G159"/>
  <c r="G983"/>
  <c r="G998"/>
  <c r="G202"/>
  <c r="G381"/>
  <c r="G380"/>
  <c r="G464"/>
  <c r="G463"/>
  <c r="G462"/>
  <c r="G461"/>
  <c r="G460"/>
  <c r="G485"/>
  <c r="G479"/>
  <c r="G478"/>
  <c r="G477"/>
  <c r="G513"/>
  <c r="G508"/>
  <c r="G552"/>
  <c r="G547"/>
  <c r="G581"/>
  <c r="G580"/>
  <c r="G623"/>
  <c r="G622"/>
  <c r="G444"/>
  <c r="G443"/>
  <c r="G640"/>
  <c r="G639"/>
  <c r="G633"/>
  <c r="G641"/>
  <c r="G677"/>
  <c r="G676"/>
  <c r="G694"/>
  <c r="G693"/>
  <c r="G879"/>
  <c r="G878"/>
  <c r="G902"/>
  <c r="G901"/>
  <c r="G913"/>
  <c r="G909"/>
  <c r="K40" i="2"/>
  <c r="I39"/>
  <c r="K39"/>
  <c r="M1024" i="4"/>
  <c r="O1025"/>
  <c r="K406" i="3"/>
  <c r="M407"/>
  <c r="G373" i="10"/>
  <c r="G963"/>
  <c r="G121"/>
  <c r="G97"/>
  <c r="G56"/>
  <c r="J186" i="4"/>
  <c r="J29"/>
  <c r="G358" i="10"/>
  <c r="G848"/>
  <c r="G1003"/>
  <c r="G279"/>
  <c r="G1001"/>
  <c r="G612"/>
  <c r="G195"/>
  <c r="G826"/>
  <c r="G800"/>
  <c r="G30"/>
  <c r="G29"/>
  <c r="G733"/>
  <c r="G725"/>
  <c r="G704"/>
  <c r="G989"/>
  <c r="G926"/>
  <c r="G925"/>
  <c r="K186" i="4"/>
  <c r="G546" i="10"/>
  <c r="G390"/>
  <c r="G459"/>
  <c r="G777"/>
  <c r="G770"/>
  <c r="G984"/>
  <c r="I629" i="5"/>
  <c r="I186" i="4"/>
  <c r="I1116"/>
  <c r="I1117"/>
  <c r="L186"/>
  <c r="E18" i="2"/>
  <c r="E12"/>
  <c r="E52"/>
  <c r="L12" i="4"/>
  <c r="I63"/>
  <c r="I30"/>
  <c r="I1156"/>
  <c r="J1123"/>
  <c r="I329"/>
  <c r="I328"/>
  <c r="I1125"/>
  <c r="I1126"/>
  <c r="L328"/>
  <c r="L1125"/>
  <c r="L1126"/>
  <c r="I590"/>
  <c r="I1122"/>
  <c r="I1123"/>
  <c r="I769"/>
  <c r="L1128"/>
  <c r="I896"/>
  <c r="I1119"/>
  <c r="I1120"/>
  <c r="J896"/>
  <c r="J1119"/>
  <c r="J1121"/>
  <c r="G947" i="3"/>
  <c r="J243" i="4"/>
  <c r="K243"/>
  <c r="I1128"/>
  <c r="F52" i="2"/>
  <c r="H331" i="5"/>
  <c r="H296"/>
  <c r="H629"/>
  <c r="H348"/>
  <c r="J422" i="3"/>
  <c r="H38" i="2"/>
  <c r="H33"/>
  <c r="I229" i="3"/>
  <c r="G26" i="2"/>
  <c r="G23"/>
  <c r="I12" i="3"/>
  <c r="G18" i="2"/>
  <c r="G12"/>
  <c r="H947" i="3"/>
  <c r="J274"/>
  <c r="H32" i="2"/>
  <c r="H28"/>
  <c r="J885" i="3"/>
  <c r="H49" i="2"/>
  <c r="H47"/>
  <c r="K16" i="5"/>
  <c r="K15"/>
  <c r="K14"/>
  <c r="J256" i="3"/>
  <c r="J255"/>
  <c r="J254"/>
  <c r="J253"/>
  <c r="J252"/>
  <c r="K258" i="5"/>
  <c r="K257"/>
  <c r="K254"/>
  <c r="K250"/>
  <c r="K249"/>
  <c r="K248"/>
  <c r="K266"/>
  <c r="J87" i="3"/>
  <c r="J86"/>
  <c r="J83"/>
  <c r="J79"/>
  <c r="J74"/>
  <c r="J19" i="5"/>
  <c r="J11"/>
  <c r="J629"/>
  <c r="J13"/>
  <c r="J12"/>
  <c r="L536" i="4"/>
  <c r="L533"/>
  <c r="L532"/>
  <c r="L531"/>
  <c r="L530"/>
  <c r="L529"/>
  <c r="L528"/>
  <c r="L765"/>
  <c r="L762"/>
  <c r="L758"/>
  <c r="L751"/>
  <c r="L741"/>
  <c r="L590"/>
  <c r="L1122"/>
  <c r="L1028"/>
  <c r="L1025"/>
  <c r="L1024"/>
  <c r="L1023"/>
  <c r="L1120"/>
  <c r="L856"/>
  <c r="L853"/>
  <c r="L852"/>
  <c r="L845"/>
  <c r="L837"/>
  <c r="L809"/>
  <c r="L1131"/>
  <c r="L1132"/>
  <c r="K889"/>
  <c r="K882"/>
  <c r="K1139"/>
  <c r="K1156"/>
  <c r="L892"/>
  <c r="L891"/>
  <c r="L890"/>
  <c r="L75"/>
  <c r="L72"/>
  <c r="L68"/>
  <c r="K63"/>
  <c r="J1156"/>
  <c r="J1113"/>
  <c r="J1126"/>
  <c r="K1022"/>
  <c r="K896"/>
  <c r="K1119"/>
  <c r="K1121"/>
  <c r="J769"/>
  <c r="K741"/>
  <c r="K590"/>
  <c r="K1122"/>
  <c r="J571"/>
  <c r="K769"/>
  <c r="G511" i="11"/>
  <c r="G520"/>
  <c r="G900" i="10"/>
  <c r="G899"/>
  <c r="G675"/>
  <c r="G674"/>
  <c r="G1000"/>
  <c r="G645"/>
  <c r="G1006"/>
  <c r="G995"/>
  <c r="G507"/>
  <c r="G978"/>
  <c r="M1023" i="4"/>
  <c r="O1024"/>
  <c r="K405" i="3"/>
  <c r="M406"/>
  <c r="J1116" i="4"/>
  <c r="J1117"/>
  <c r="J1136"/>
  <c r="G28" i="10"/>
  <c r="G27"/>
  <c r="G278"/>
  <c r="G277"/>
  <c r="G987"/>
  <c r="G847"/>
  <c r="G784"/>
  <c r="G985"/>
  <c r="K1116" i="4"/>
  <c r="K1117"/>
  <c r="G994" i="10"/>
  <c r="G1009"/>
  <c r="G389"/>
  <c r="G388"/>
  <c r="G988"/>
  <c r="G506"/>
  <c r="G498"/>
  <c r="L243" i="4"/>
  <c r="L1112"/>
  <c r="I243"/>
  <c r="I1111"/>
  <c r="I1113"/>
  <c r="I29"/>
  <c r="F22" i="7"/>
  <c r="F23"/>
  <c r="G22"/>
  <c r="I571" i="4"/>
  <c r="I860"/>
  <c r="I1121"/>
  <c r="J860"/>
  <c r="J1104"/>
  <c r="F53" i="2"/>
  <c r="F54"/>
  <c r="I1136" i="4"/>
  <c r="L1022"/>
  <c r="L896"/>
  <c r="L1119"/>
  <c r="L1121"/>
  <c r="I947" i="3"/>
  <c r="G52" i="2"/>
  <c r="J12" i="3"/>
  <c r="H18" i="2"/>
  <c r="H12"/>
  <c r="J229" i="3"/>
  <c r="H26" i="2"/>
  <c r="H23"/>
  <c r="K13" i="5"/>
  <c r="K12"/>
  <c r="K11"/>
  <c r="K629"/>
  <c r="K19"/>
  <c r="L769" i="4"/>
  <c r="L1143"/>
  <c r="L63"/>
  <c r="L30"/>
  <c r="L889"/>
  <c r="L882"/>
  <c r="L1116"/>
  <c r="L1117"/>
  <c r="L1139"/>
  <c r="K1123"/>
  <c r="L1123"/>
  <c r="K860"/>
  <c r="K571"/>
  <c r="L571"/>
  <c r="G981" i="10"/>
  <c r="G673"/>
  <c r="M1120" i="4"/>
  <c r="O1023"/>
  <c r="O1120"/>
  <c r="M1022"/>
  <c r="K404" i="3"/>
  <c r="M405"/>
  <c r="J1135" i="4"/>
  <c r="J1137"/>
  <c r="G748" i="10"/>
  <c r="G220"/>
  <c r="G986"/>
  <c r="G991"/>
  <c r="I1135" i="4"/>
  <c r="I1137"/>
  <c r="H22" i="7"/>
  <c r="I1104" i="4"/>
  <c r="L1156"/>
  <c r="J1106"/>
  <c r="H948" i="3"/>
  <c r="H949"/>
  <c r="L860" i="4"/>
  <c r="L1136"/>
  <c r="H52" i="2"/>
  <c r="J947" i="3"/>
  <c r="L1111" i="4"/>
  <c r="L29"/>
  <c r="M896"/>
  <c r="O1022"/>
  <c r="K403" i="3"/>
  <c r="M404"/>
  <c r="G975" i="10"/>
  <c r="G977"/>
  <c r="I1106" i="4"/>
  <c r="E53" i="2"/>
  <c r="E54"/>
  <c r="I22" i="7"/>
  <c r="L1104" i="4"/>
  <c r="L1113"/>
  <c r="L1135"/>
  <c r="L1137"/>
  <c r="G895"/>
  <c r="G17" i="11"/>
  <c r="G16"/>
  <c r="G893" i="4"/>
  <c r="M1119"/>
  <c r="O896"/>
  <c r="O1119"/>
  <c r="M403" i="3"/>
  <c r="I32" i="2"/>
  <c r="K274" i="3"/>
  <c r="M274"/>
  <c r="L1106" i="4"/>
  <c r="H53" i="2"/>
  <c r="H54"/>
  <c r="J948" i="3"/>
  <c r="J949"/>
  <c r="G15" i="11"/>
  <c r="G14"/>
  <c r="G13"/>
  <c r="G18"/>
  <c r="G1040" i="4"/>
  <c r="K32" i="2"/>
  <c r="I28"/>
  <c r="K28"/>
  <c r="M892" i="4"/>
  <c r="L16" i="5"/>
  <c r="K256" i="3"/>
  <c r="G12" i="11"/>
  <c r="G11"/>
  <c r="G10"/>
  <c r="G603" i="4"/>
  <c r="G131" i="11"/>
  <c r="G130"/>
  <c r="M891" i="4"/>
  <c r="O892"/>
  <c r="L15" i="5"/>
  <c r="N16"/>
  <c r="K255" i="3"/>
  <c r="M256"/>
  <c r="G129" i="11"/>
  <c r="G120"/>
  <c r="G119"/>
  <c r="G118"/>
  <c r="G136"/>
  <c r="L14" i="5"/>
  <c r="N15"/>
  <c r="M890" i="4"/>
  <c r="O891"/>
  <c r="K254" i="3"/>
  <c r="M255"/>
  <c r="E15" i="7"/>
  <c r="E14"/>
  <c r="D14"/>
  <c r="D22"/>
  <c r="D23"/>
  <c r="O890" i="4"/>
  <c r="O1139"/>
  <c r="M889"/>
  <c r="M1139"/>
  <c r="N14" i="5"/>
  <c r="L13"/>
  <c r="L11"/>
  <c r="N11"/>
  <c r="L19"/>
  <c r="N19"/>
  <c r="K253" i="3"/>
  <c r="M254"/>
  <c r="M882" i="4"/>
  <c r="O889"/>
  <c r="L12" i="5"/>
  <c r="N12"/>
  <c r="N13"/>
  <c r="K252" i="3"/>
  <c r="M253"/>
  <c r="D18" i="7"/>
  <c r="D16"/>
  <c r="D13"/>
  <c r="G479" i="4"/>
  <c r="G51" i="11"/>
  <c r="G50"/>
  <c r="G49"/>
  <c r="G48"/>
  <c r="G47"/>
  <c r="G46"/>
  <c r="G54"/>
  <c r="O882" i="4"/>
  <c r="O1116"/>
  <c r="M1116"/>
  <c r="M1117"/>
  <c r="M860"/>
  <c r="O860"/>
  <c r="M252" i="3"/>
  <c r="K229"/>
  <c r="M229"/>
  <c r="I26" i="2"/>
  <c r="G1031" i="4"/>
  <c r="G931"/>
  <c r="G476" i="11"/>
  <c r="G475"/>
  <c r="G474"/>
  <c r="G923" i="4"/>
  <c r="G470" i="11"/>
  <c r="G469"/>
  <c r="G468"/>
  <c r="G870" i="4"/>
  <c r="G872"/>
  <c r="G761"/>
  <c r="O1117"/>
  <c r="I23" i="2"/>
  <c r="K23"/>
  <c r="K26"/>
  <c r="G460" i="11"/>
  <c r="G459"/>
  <c r="G458"/>
  <c r="G486"/>
  <c r="G549" i="4"/>
  <c r="F158" i="3"/>
  <c r="F157"/>
  <c r="F156"/>
  <c r="G274" i="4"/>
  <c r="G273"/>
  <c r="G272"/>
  <c r="G271"/>
  <c r="G245"/>
  <c r="G244"/>
  <c r="G815"/>
  <c r="G299" i="11"/>
  <c r="F912" i="3"/>
  <c r="F911"/>
  <c r="F910"/>
  <c r="F909"/>
  <c r="F908"/>
  <c r="G818" i="4"/>
  <c r="G307" i="11"/>
  <c r="G306"/>
  <c r="G305"/>
  <c r="G835" i="4"/>
  <c r="G834"/>
  <c r="G833"/>
  <c r="G832"/>
  <c r="G1133"/>
  <c r="G308" i="11"/>
  <c r="G298"/>
  <c r="G297"/>
  <c r="G296"/>
  <c r="G295"/>
  <c r="G294"/>
  <c r="G300"/>
  <c r="F894" i="3"/>
  <c r="F893"/>
  <c r="F892"/>
  <c r="F438"/>
  <c r="F872"/>
  <c r="F871"/>
  <c r="F870"/>
  <c r="F268"/>
  <c r="F267"/>
  <c r="F266"/>
  <c r="G338" i="5"/>
  <c r="G134"/>
  <c r="G757" i="4"/>
  <c r="G755"/>
  <c r="G539"/>
  <c r="G537"/>
  <c r="G182"/>
  <c r="G174"/>
  <c r="G202"/>
  <c r="G54"/>
  <c r="G859"/>
  <c r="G857"/>
  <c r="G855"/>
  <c r="G449"/>
  <c r="G363"/>
  <c r="G379" i="11"/>
  <c r="G378"/>
  <c r="G377"/>
  <c r="G376"/>
  <c r="G375"/>
  <c r="G374"/>
  <c r="G404"/>
  <c r="I98" i="1"/>
  <c r="F228" i="3"/>
  <c r="G40" i="4"/>
  <c r="G38"/>
  <c r="G620" i="5"/>
  <c r="G619"/>
  <c r="G618"/>
  <c r="G617"/>
  <c r="G616"/>
  <c r="G615"/>
  <c r="G621"/>
  <c r="F381" i="3"/>
  <c r="F380"/>
  <c r="F379"/>
  <c r="F378"/>
  <c r="G999" i="4"/>
  <c r="G998"/>
  <c r="G997"/>
  <c r="G1154"/>
  <c r="G869"/>
  <c r="G431"/>
  <c r="G509" i="11"/>
  <c r="G508"/>
  <c r="G507"/>
  <c r="G500"/>
  <c r="G499"/>
  <c r="G510"/>
  <c r="G745" i="4"/>
  <c r="G492" i="11"/>
  <c r="G491"/>
  <c r="G490"/>
  <c r="G498"/>
  <c r="G489"/>
  <c r="G488"/>
  <c r="G487"/>
  <c r="G595" i="5"/>
  <c r="G594"/>
  <c r="G593"/>
  <c r="F764" i="3"/>
  <c r="F763"/>
  <c r="F762"/>
  <c r="F761"/>
  <c r="G437" i="4"/>
  <c r="G436"/>
  <c r="G435"/>
  <c r="F130" i="3"/>
  <c r="F129"/>
  <c r="F128"/>
  <c r="F127"/>
  <c r="F136"/>
  <c r="F135"/>
  <c r="F134"/>
  <c r="G99" i="4"/>
  <c r="G98"/>
  <c r="G97"/>
  <c r="G191" i="5"/>
  <c r="G190"/>
  <c r="G189"/>
  <c r="F509" i="3"/>
  <c r="G1153" i="4"/>
  <c r="G592" i="5"/>
  <c r="F849" i="3"/>
  <c r="G591" i="5"/>
  <c r="G599"/>
  <c r="G96" i="4"/>
  <c r="G456" i="11"/>
  <c r="G455"/>
  <c r="G454"/>
  <c r="G453"/>
  <c r="G452"/>
  <c r="G451"/>
  <c r="G457"/>
  <c r="G590" i="5"/>
  <c r="F339" i="3"/>
  <c r="G1101" i="4"/>
  <c r="G782"/>
  <c r="G277" i="11"/>
  <c r="G276"/>
  <c r="G275"/>
  <c r="G274"/>
  <c r="G273"/>
  <c r="G710" i="4"/>
  <c r="G596"/>
  <c r="G641"/>
  <c r="G112" i="11"/>
  <c r="G111"/>
  <c r="G110"/>
  <c r="G109"/>
  <c r="G289" i="4"/>
  <c r="G332" i="11"/>
  <c r="G331"/>
  <c r="G330"/>
  <c r="G329"/>
  <c r="G328"/>
  <c r="G327"/>
  <c r="G334" i="4"/>
  <c r="G358" i="11"/>
  <c r="G357"/>
  <c r="G356"/>
  <c r="G451" i="4"/>
  <c r="G116" i="11"/>
  <c r="G115"/>
  <c r="G114"/>
  <c r="G113"/>
  <c r="G108"/>
  <c r="G107"/>
  <c r="G106"/>
  <c r="G105"/>
  <c r="G348"/>
  <c r="G272"/>
  <c r="G293"/>
  <c r="F199" i="3"/>
  <c r="F198"/>
  <c r="F201"/>
  <c r="F200"/>
  <c r="F203"/>
  <c r="F202"/>
  <c r="G873" i="4"/>
  <c r="G871"/>
  <c r="G104" i="11"/>
  <c r="G103"/>
  <c r="G117"/>
  <c r="G868" i="4"/>
  <c r="G867"/>
  <c r="F197" i="3"/>
  <c r="F196"/>
  <c r="G768" i="4"/>
  <c r="G766"/>
  <c r="G764"/>
  <c r="G343"/>
  <c r="G368" i="11"/>
  <c r="G367"/>
  <c r="G366"/>
  <c r="G355"/>
  <c r="G354"/>
  <c r="G353"/>
  <c r="F410" i="3"/>
  <c r="F280"/>
  <c r="F279"/>
  <c r="F195"/>
  <c r="G865" i="4"/>
  <c r="G864"/>
  <c r="G863"/>
  <c r="G369" i="11"/>
  <c r="G326"/>
  <c r="G862" i="4"/>
  <c r="G861"/>
  <c r="G660"/>
  <c r="G172" i="11"/>
  <c r="G171"/>
  <c r="G170"/>
  <c r="G411" i="4"/>
  <c r="G410"/>
  <c r="F667" i="3"/>
  <c r="G240" i="4"/>
  <c r="G242"/>
  <c r="G208" i="5"/>
  <c r="G713" i="4"/>
  <c r="G712"/>
  <c r="G711"/>
  <c r="F554" i="3"/>
  <c r="F553"/>
  <c r="F552"/>
  <c r="F551"/>
  <c r="G985" i="4"/>
  <c r="G438" i="11"/>
  <c r="G437"/>
  <c r="G436"/>
  <c r="G435"/>
  <c r="G434"/>
  <c r="G433"/>
  <c r="G450"/>
  <c r="G419"/>
  <c r="F194" i="3"/>
  <c r="F193"/>
  <c r="G159" i="4"/>
  <c r="G158"/>
  <c r="G467"/>
  <c r="G30" i="11"/>
  <c r="G29"/>
  <c r="G28"/>
  <c r="G22"/>
  <c r="G21"/>
  <c r="G20"/>
  <c r="G182" i="5"/>
  <c r="G181"/>
  <c r="G180"/>
  <c r="G18"/>
  <c r="G17"/>
  <c r="F258" i="3"/>
  <c r="F257"/>
  <c r="F500"/>
  <c r="G894" i="4"/>
  <c r="G31" i="11"/>
  <c r="G1005" i="4"/>
  <c r="G234"/>
  <c r="I144" i="1"/>
  <c r="I143"/>
  <c r="I141"/>
  <c r="I130"/>
  <c r="I122"/>
  <c r="I102"/>
  <c r="I97"/>
  <c r="I100"/>
  <c r="I84"/>
  <c r="I81"/>
  <c r="I75"/>
  <c r="I70"/>
  <c r="I67"/>
  <c r="I65"/>
  <c r="I60"/>
  <c r="I54"/>
  <c r="I53"/>
  <c r="I51"/>
  <c r="I49"/>
  <c r="I42"/>
  <c r="I41"/>
  <c r="I38"/>
  <c r="I36"/>
  <c r="I20"/>
  <c r="I15"/>
  <c r="I14"/>
  <c r="K94"/>
  <c r="I69"/>
  <c r="I48"/>
  <c r="I47"/>
  <c r="K47"/>
  <c r="I27"/>
  <c r="I26"/>
  <c r="K26"/>
  <c r="I35"/>
  <c r="I121"/>
  <c r="I64"/>
  <c r="I120"/>
  <c r="I92"/>
  <c r="I91"/>
  <c r="I13"/>
  <c r="G262" i="5"/>
  <c r="G261"/>
  <c r="G260"/>
  <c r="G265"/>
  <c r="G264"/>
  <c r="G263"/>
  <c r="G444"/>
  <c r="G443"/>
  <c r="G442"/>
  <c r="G83"/>
  <c r="G82"/>
  <c r="G81"/>
  <c r="F855" i="3"/>
  <c r="F854"/>
  <c r="F853"/>
  <c r="F749"/>
  <c r="F748"/>
  <c r="F747"/>
  <c r="F714"/>
  <c r="F713"/>
  <c r="F712"/>
  <c r="F395"/>
  <c r="F394"/>
  <c r="F393"/>
  <c r="F392"/>
  <c r="F389"/>
  <c r="F388"/>
  <c r="F387"/>
  <c r="F332"/>
  <c r="F331"/>
  <c r="F330"/>
  <c r="F329"/>
  <c r="R150" i="1"/>
  <c r="O91"/>
  <c r="I150"/>
  <c r="J21" i="7"/>
  <c r="J13" i="1"/>
  <c r="L13"/>
  <c r="K97"/>
  <c r="K91"/>
  <c r="K120"/>
  <c r="F161" i="3"/>
  <c r="F160"/>
  <c r="F159"/>
  <c r="F90"/>
  <c r="F89"/>
  <c r="F88"/>
  <c r="F93"/>
  <c r="F92"/>
  <c r="F91"/>
  <c r="E21" i="7"/>
  <c r="G1084" i="4"/>
  <c r="G1083"/>
  <c r="G1082"/>
  <c r="G1081"/>
  <c r="G1079"/>
  <c r="G1078"/>
  <c r="G1077"/>
  <c r="G1013"/>
  <c r="G1012"/>
  <c r="G950"/>
  <c r="G949"/>
  <c r="G629"/>
  <c r="G493"/>
  <c r="G76" i="11"/>
  <c r="G75"/>
  <c r="G72"/>
  <c r="G71"/>
  <c r="G70"/>
  <c r="G69"/>
  <c r="G80"/>
  <c r="G413" i="4"/>
  <c r="G412"/>
  <c r="G370"/>
  <c r="G369"/>
  <c r="G78"/>
  <c r="G77"/>
  <c r="G76"/>
  <c r="G234" i="11"/>
  <c r="G233"/>
  <c r="G230"/>
  <c r="G23" i="7"/>
  <c r="G1076" i="4"/>
  <c r="F946" i="3"/>
  <c r="F942"/>
  <c r="F935"/>
  <c r="F933"/>
  <c r="F931"/>
  <c r="F925"/>
  <c r="F918"/>
  <c r="F884"/>
  <c r="F852"/>
  <c r="F786"/>
  <c r="F779"/>
  <c r="F775"/>
  <c r="F769"/>
  <c r="F728"/>
  <c r="F700"/>
  <c r="F682"/>
  <c r="F679"/>
  <c r="F657"/>
  <c r="F655"/>
  <c r="F653"/>
  <c r="F642"/>
  <c r="F640"/>
  <c r="F635"/>
  <c r="F633"/>
  <c r="F630"/>
  <c r="F620"/>
  <c r="F594"/>
  <c r="F571"/>
  <c r="F550"/>
  <c r="F506"/>
  <c r="F494"/>
  <c r="F441"/>
  <c r="F419"/>
  <c r="F416"/>
  <c r="F412"/>
  <c r="F408"/>
  <c r="F399"/>
  <c r="F374"/>
  <c r="F371"/>
  <c r="F368"/>
  <c r="F366"/>
  <c r="F359"/>
  <c r="F354"/>
  <c r="F351"/>
  <c r="F321"/>
  <c r="F315"/>
  <c r="F301"/>
  <c r="F291"/>
  <c r="F256"/>
  <c r="F251"/>
  <c r="F245"/>
  <c r="F225"/>
  <c r="F65"/>
  <c r="F63"/>
  <c r="F44"/>
  <c r="F40"/>
  <c r="F28"/>
  <c r="F26"/>
  <c r="F18"/>
  <c r="F754"/>
  <c r="F757"/>
  <c r="F760"/>
  <c r="G552" i="5"/>
  <c r="G545"/>
  <c r="G539"/>
  <c r="G525"/>
  <c r="G505"/>
  <c r="G498"/>
  <c r="G495"/>
  <c r="G492"/>
  <c r="G489"/>
  <c r="G487"/>
  <c r="G477"/>
  <c r="G472"/>
  <c r="G469"/>
  <c r="G461"/>
  <c r="G441"/>
  <c r="G404"/>
  <c r="G401"/>
  <c r="G379"/>
  <c r="G354"/>
  <c r="G317"/>
  <c r="G294"/>
  <c r="G287"/>
  <c r="G280"/>
  <c r="G272"/>
  <c r="G258"/>
  <c r="G257"/>
  <c r="G256"/>
  <c r="G233"/>
  <c r="G188"/>
  <c r="G176"/>
  <c r="G137"/>
  <c r="G120"/>
  <c r="G80"/>
  <c r="G57"/>
  <c r="G48"/>
  <c r="G34"/>
  <c r="G16"/>
  <c r="H23" i="7"/>
  <c r="F87" i="3"/>
  <c r="F86"/>
  <c r="F85"/>
  <c r="F98"/>
  <c r="F102"/>
  <c r="F106"/>
  <c r="F110"/>
  <c r="F153"/>
  <c r="F167"/>
  <c r="F174"/>
  <c r="F178"/>
  <c r="F181"/>
  <c r="F799"/>
  <c r="F807"/>
  <c r="F813"/>
  <c r="F827"/>
  <c r="G485" i="4"/>
  <c r="G60" i="11"/>
  <c r="G59"/>
  <c r="G58"/>
  <c r="G57"/>
  <c r="G56"/>
  <c r="G55"/>
  <c r="G61"/>
  <c r="G480" i="4"/>
  <c r="G466"/>
  <c r="G465"/>
  <c r="G181"/>
  <c r="G176"/>
  <c r="G175"/>
  <c r="G133"/>
  <c r="G126"/>
  <c r="G125"/>
  <c r="G115"/>
  <c r="G114"/>
  <c r="G95"/>
  <c r="G94"/>
  <c r="G93"/>
  <c r="G1150"/>
  <c r="G87"/>
  <c r="G86"/>
  <c r="G83"/>
  <c r="G82"/>
  <c r="G81"/>
  <c r="G75"/>
  <c r="G73"/>
  <c r="I23" i="7"/>
  <c r="G72" i="4"/>
  <c r="G484"/>
  <c r="G483"/>
  <c r="G482"/>
  <c r="G64" i="5"/>
  <c r="F817" i="3"/>
  <c r="F824"/>
  <c r="C14" i="7"/>
  <c r="F14"/>
  <c r="G46" i="6"/>
  <c r="G42"/>
  <c r="G38"/>
  <c r="G34"/>
  <c r="G17"/>
  <c r="G16"/>
  <c r="G556" i="5"/>
  <c r="G554"/>
  <c r="G551"/>
  <c r="G550"/>
  <c r="G541"/>
  <c r="G540"/>
  <c r="G538"/>
  <c r="G537"/>
  <c r="G520"/>
  <c r="G519"/>
  <c r="G522"/>
  <c r="G504"/>
  <c r="G503"/>
  <c r="G502"/>
  <c r="G501"/>
  <c r="G460"/>
  <c r="G459"/>
  <c r="G458"/>
  <c r="G457"/>
  <c r="G456"/>
  <c r="G462"/>
  <c r="G455"/>
  <c r="G452"/>
  <c r="G440"/>
  <c r="G438"/>
  <c r="G434"/>
  <c r="G433"/>
  <c r="G436"/>
  <c r="G430"/>
  <c r="G429"/>
  <c r="G432"/>
  <c r="G426"/>
  <c r="G425"/>
  <c r="G428"/>
  <c r="G422"/>
  <c r="G421"/>
  <c r="G424"/>
  <c r="G406"/>
  <c r="G405"/>
  <c r="G403"/>
  <c r="G402"/>
  <c r="G400"/>
  <c r="G399"/>
  <c r="G397"/>
  <c r="G396"/>
  <c r="G381"/>
  <c r="G380"/>
  <c r="G378"/>
  <c r="G377"/>
  <c r="G374"/>
  <c r="G373"/>
  <c r="G370"/>
  <c r="G369"/>
  <c r="G366"/>
  <c r="G365"/>
  <c r="G343"/>
  <c r="G342"/>
  <c r="G340"/>
  <c r="G339"/>
  <c r="G337"/>
  <c r="G336"/>
  <c r="G335"/>
  <c r="G312"/>
  <c r="G311"/>
  <c r="G308"/>
  <c r="G307"/>
  <c r="G306"/>
  <c r="G305"/>
  <c r="G304"/>
  <c r="G303"/>
  <c r="G224"/>
  <c r="G223"/>
  <c r="G219"/>
  <c r="G218"/>
  <c r="G222"/>
  <c r="G216"/>
  <c r="G215"/>
  <c r="G214"/>
  <c r="G213"/>
  <c r="G207"/>
  <c r="G201"/>
  <c r="G200"/>
  <c r="G197"/>
  <c r="G196"/>
  <c r="G187"/>
  <c r="G186"/>
  <c r="G175"/>
  <c r="G174"/>
  <c r="G166"/>
  <c r="G165"/>
  <c r="G164"/>
  <c r="G162"/>
  <c r="G161"/>
  <c r="G158"/>
  <c r="G157"/>
  <c r="G160"/>
  <c r="G154"/>
  <c r="G153"/>
  <c r="G156"/>
  <c r="G150"/>
  <c r="G149"/>
  <c r="G139"/>
  <c r="G138"/>
  <c r="G136"/>
  <c r="G135"/>
  <c r="G133"/>
  <c r="G132"/>
  <c r="G130"/>
  <c r="G129"/>
  <c r="G126"/>
  <c r="G125"/>
  <c r="G119"/>
  <c r="G118"/>
  <c r="G117"/>
  <c r="G94"/>
  <c r="G93"/>
  <c r="G98"/>
  <c r="G90"/>
  <c r="G89"/>
  <c r="G92"/>
  <c r="G88"/>
  <c r="G86"/>
  <c r="G85"/>
  <c r="G79"/>
  <c r="G77"/>
  <c r="G63"/>
  <c r="G62"/>
  <c r="G61"/>
  <c r="G60"/>
  <c r="G59"/>
  <c r="G65"/>
  <c r="G56"/>
  <c r="G47"/>
  <c r="G46"/>
  <c r="G45"/>
  <c r="G44"/>
  <c r="G43"/>
  <c r="G49"/>
  <c r="G25"/>
  <c r="G15"/>
  <c r="G14"/>
  <c r="G45" i="6"/>
  <c r="I46"/>
  <c r="G37"/>
  <c r="I38"/>
  <c r="G41"/>
  <c r="I42"/>
  <c r="G33"/>
  <c r="I33"/>
  <c r="I34"/>
  <c r="G500" i="5"/>
  <c r="G506"/>
  <c r="G497"/>
  <c r="G496"/>
  <c r="G494"/>
  <c r="G493"/>
  <c r="G491"/>
  <c r="G490"/>
  <c r="G488"/>
  <c r="G486"/>
  <c r="G476"/>
  <c r="G475"/>
  <c r="G471"/>
  <c r="G470"/>
  <c r="G468"/>
  <c r="G467"/>
  <c r="G466"/>
  <c r="G465"/>
  <c r="G464"/>
  <c r="G481"/>
  <c r="G570"/>
  <c r="G544"/>
  <c r="G543"/>
  <c r="G206"/>
  <c r="G205"/>
  <c r="G204"/>
  <c r="G124"/>
  <c r="G123"/>
  <c r="G122"/>
  <c r="G147"/>
  <c r="G255"/>
  <c r="G14" i="6"/>
  <c r="G13"/>
  <c r="G12"/>
  <c r="G15"/>
  <c r="G584" i="5"/>
  <c r="G583"/>
  <c r="G581"/>
  <c r="G580"/>
  <c r="G578"/>
  <c r="G575"/>
  <c r="G589"/>
  <c r="G76"/>
  <c r="G437"/>
  <c r="G553"/>
  <c r="G549"/>
  <c r="G19"/>
  <c r="G13"/>
  <c r="G12"/>
  <c r="G11"/>
  <c r="G168"/>
  <c r="G334"/>
  <c r="G333"/>
  <c r="G332"/>
  <c r="F926" i="3"/>
  <c r="F924"/>
  <c r="F863"/>
  <c r="F862"/>
  <c r="F861"/>
  <c r="F857"/>
  <c r="F856"/>
  <c r="F851"/>
  <c r="F850"/>
  <c r="F848"/>
  <c r="F847"/>
  <c r="F843"/>
  <c r="F842"/>
  <c r="F841"/>
  <c r="F836"/>
  <c r="F835"/>
  <c r="F834"/>
  <c r="F832"/>
  <c r="F831"/>
  <c r="F829"/>
  <c r="F828"/>
  <c r="F826"/>
  <c r="F816"/>
  <c r="F815"/>
  <c r="F814"/>
  <c r="F812"/>
  <c r="F806"/>
  <c r="F805"/>
  <c r="F798"/>
  <c r="F797"/>
  <c r="F795"/>
  <c r="F785"/>
  <c r="F784"/>
  <c r="F783"/>
  <c r="F782"/>
  <c r="F778"/>
  <c r="F770"/>
  <c r="F768"/>
  <c r="F759"/>
  <c r="F758"/>
  <c r="F756"/>
  <c r="F755"/>
  <c r="F753"/>
  <c r="F752"/>
  <c r="F737"/>
  <c r="F734"/>
  <c r="F732"/>
  <c r="F727"/>
  <c r="F726"/>
  <c r="F725"/>
  <c r="F711"/>
  <c r="F710"/>
  <c r="F708"/>
  <c r="F707"/>
  <c r="F705"/>
  <c r="F704"/>
  <c r="F702"/>
  <c r="F701"/>
  <c r="F699"/>
  <c r="F697"/>
  <c r="F675"/>
  <c r="F674"/>
  <c r="F672"/>
  <c r="F671"/>
  <c r="F669"/>
  <c r="F668"/>
  <c r="F666"/>
  <c r="F665"/>
  <c r="F646"/>
  <c r="F645"/>
  <c r="F644"/>
  <c r="F643"/>
  <c r="F641"/>
  <c r="F639"/>
  <c r="F634"/>
  <c r="F632"/>
  <c r="F629"/>
  <c r="F628"/>
  <c r="F519"/>
  <c r="F518"/>
  <c r="F516"/>
  <c r="F515"/>
  <c r="F511"/>
  <c r="F510"/>
  <c r="F508"/>
  <c r="F507"/>
  <c r="F505"/>
  <c r="F504"/>
  <c r="F499"/>
  <c r="F498"/>
  <c r="F493"/>
  <c r="F492"/>
  <c r="F487"/>
  <c r="F486"/>
  <c r="F484"/>
  <c r="F483"/>
  <c r="F482"/>
  <c r="F480"/>
  <c r="F479"/>
  <c r="F477"/>
  <c r="F476"/>
  <c r="F475"/>
  <c r="F443"/>
  <c r="F442"/>
  <c r="F440"/>
  <c r="F439"/>
  <c r="F437"/>
  <c r="F436"/>
  <c r="F434"/>
  <c r="F433"/>
  <c r="F431"/>
  <c r="F430"/>
  <c r="F409"/>
  <c r="F407"/>
  <c r="F401"/>
  <c r="F400"/>
  <c r="F398"/>
  <c r="F397"/>
  <c r="F391"/>
  <c r="F390"/>
  <c r="F344"/>
  <c r="F343"/>
  <c r="F341"/>
  <c r="F340"/>
  <c r="F337"/>
  <c r="F328"/>
  <c r="F327"/>
  <c r="F317"/>
  <c r="F316"/>
  <c r="F314"/>
  <c r="F313"/>
  <c r="F297"/>
  <c r="F296"/>
  <c r="F227"/>
  <c r="F226"/>
  <c r="F224"/>
  <c r="F192"/>
  <c r="F180"/>
  <c r="F179"/>
  <c r="F177"/>
  <c r="F176"/>
  <c r="F173"/>
  <c r="F166"/>
  <c r="F165"/>
  <c r="F152"/>
  <c r="F151"/>
  <c r="F149"/>
  <c r="F147"/>
  <c r="F109"/>
  <c r="F108"/>
  <c r="F107"/>
  <c r="F105"/>
  <c r="F104"/>
  <c r="F103"/>
  <c r="F101"/>
  <c r="F100"/>
  <c r="F99"/>
  <c r="F97"/>
  <c r="F96"/>
  <c r="F95"/>
  <c r="F84"/>
  <c r="F72"/>
  <c r="F70"/>
  <c r="F64"/>
  <c r="F62"/>
  <c r="F29"/>
  <c r="F27"/>
  <c r="F25"/>
  <c r="F24"/>
  <c r="F23"/>
  <c r="F22"/>
  <c r="F21"/>
  <c r="D14" i="2"/>
  <c r="F19" i="3"/>
  <c r="F17"/>
  <c r="F16"/>
  <c r="G36" i="6"/>
  <c r="I37"/>
  <c r="G40"/>
  <c r="I40"/>
  <c r="I41"/>
  <c r="G44"/>
  <c r="I44"/>
  <c r="I45"/>
  <c r="G485" i="5"/>
  <c r="G484"/>
  <c r="G483"/>
  <c r="G482"/>
  <c r="G499"/>
  <c r="F945" i="3"/>
  <c r="G548" i="5"/>
  <c r="G547"/>
  <c r="F429" i="3"/>
  <c r="F15"/>
  <c r="F14"/>
  <c r="F13"/>
  <c r="D13" i="2"/>
  <c r="F846" i="3"/>
  <c r="F845"/>
  <c r="G11" i="6"/>
  <c r="G212" i="5"/>
  <c r="G75"/>
  <c r="G74"/>
  <c r="G73"/>
  <c r="G84"/>
  <c r="G571"/>
  <c r="G254"/>
  <c r="F83" i="3"/>
  <c r="F250"/>
  <c r="F249"/>
  <c r="F248"/>
  <c r="F247"/>
  <c r="F246"/>
  <c r="F696"/>
  <c r="F146"/>
  <c r="F631"/>
  <c r="F627"/>
  <c r="F69"/>
  <c r="F68"/>
  <c r="F67"/>
  <c r="F66"/>
  <c r="F396"/>
  <c r="F731"/>
  <c r="F767"/>
  <c r="F766"/>
  <c r="F804"/>
  <c r="F823"/>
  <c r="F822"/>
  <c r="F923"/>
  <c r="F922"/>
  <c r="F638"/>
  <c r="F637"/>
  <c r="F94"/>
  <c r="F751"/>
  <c r="F781"/>
  <c r="D43" i="2"/>
  <c r="G1102" i="4"/>
  <c r="G1098"/>
  <c r="G1074"/>
  <c r="G1072"/>
  <c r="G1066"/>
  <c r="G1064"/>
  <c r="G1062"/>
  <c r="G1056"/>
  <c r="G1053"/>
  <c r="G1052"/>
  <c r="G1051"/>
  <c r="G1050"/>
  <c r="G1046"/>
  <c r="G1045"/>
  <c r="G1044"/>
  <c r="G1043"/>
  <c r="G1042"/>
  <c r="G1037"/>
  <c r="G1034"/>
  <c r="G1033"/>
  <c r="G1030"/>
  <c r="G1028"/>
  <c r="G1026"/>
  <c r="G1020"/>
  <c r="G1019"/>
  <c r="G1017"/>
  <c r="G1016"/>
  <c r="G1010"/>
  <c r="G1009"/>
  <c r="G1007"/>
  <c r="G1006"/>
  <c r="G995"/>
  <c r="G994"/>
  <c r="G992"/>
  <c r="G991"/>
  <c r="G989"/>
  <c r="G988"/>
  <c r="G986"/>
  <c r="G984"/>
  <c r="G977"/>
  <c r="G976"/>
  <c r="G972"/>
  <c r="G971"/>
  <c r="G969"/>
  <c r="G968"/>
  <c r="G960"/>
  <c r="G959"/>
  <c r="G956"/>
  <c r="G947"/>
  <c r="G946"/>
  <c r="G945"/>
  <c r="G939"/>
  <c r="G938"/>
  <c r="G936"/>
  <c r="G935"/>
  <c r="G933"/>
  <c r="G932"/>
  <c r="G919"/>
  <c r="G918"/>
  <c r="G916"/>
  <c r="G915"/>
  <c r="G909"/>
  <c r="G906"/>
  <c r="F282" i="3"/>
  <c r="F281"/>
  <c r="F278"/>
  <c r="G911" i="4"/>
  <c r="G910"/>
  <c r="G901"/>
  <c r="G900"/>
  <c r="G899"/>
  <c r="G892"/>
  <c r="G887"/>
  <c r="G886"/>
  <c r="G885"/>
  <c r="G884"/>
  <c r="G883"/>
  <c r="G880"/>
  <c r="G879"/>
  <c r="G878"/>
  <c r="G877"/>
  <c r="G876"/>
  <c r="G875"/>
  <c r="G858"/>
  <c r="G856"/>
  <c r="G854"/>
  <c r="G850"/>
  <c r="G848"/>
  <c r="G844"/>
  <c r="G324" i="11"/>
  <c r="G323"/>
  <c r="G320"/>
  <c r="G319"/>
  <c r="G318"/>
  <c r="G317"/>
  <c r="G841" i="4"/>
  <c r="G820"/>
  <c r="G819"/>
  <c r="G817"/>
  <c r="G816"/>
  <c r="G808"/>
  <c r="G805"/>
  <c r="G801"/>
  <c r="G800"/>
  <c r="G793"/>
  <c r="G792"/>
  <c r="G790"/>
  <c r="G789"/>
  <c r="G787"/>
  <c r="G786"/>
  <c r="G784"/>
  <c r="G783"/>
  <c r="G767"/>
  <c r="G765"/>
  <c r="G763"/>
  <c r="G756"/>
  <c r="G754"/>
  <c r="G749"/>
  <c r="G747"/>
  <c r="G744"/>
  <c r="G743"/>
  <c r="G740"/>
  <c r="G733"/>
  <c r="G732"/>
  <c r="G731"/>
  <c r="G730"/>
  <c r="G727"/>
  <c r="G726"/>
  <c r="G724"/>
  <c r="G723"/>
  <c r="G721"/>
  <c r="G720"/>
  <c r="G709"/>
  <c r="G708"/>
  <c r="G707"/>
  <c r="G706"/>
  <c r="G704"/>
  <c r="G701"/>
  <c r="F541" i="3"/>
  <c r="G698" i="4"/>
  <c r="G695"/>
  <c r="F535" i="3"/>
  <c r="G692" i="4"/>
  <c r="F532" i="3"/>
  <c r="G689" i="4"/>
  <c r="G686"/>
  <c r="F526" i="3"/>
  <c r="G683" i="4"/>
  <c r="G682"/>
  <c r="G681"/>
  <c r="G679"/>
  <c r="G678"/>
  <c r="G676"/>
  <c r="G675"/>
  <c r="G668"/>
  <c r="G667"/>
  <c r="G665"/>
  <c r="G664"/>
  <c r="G662"/>
  <c r="G661"/>
  <c r="G659"/>
  <c r="G658"/>
  <c r="G656"/>
  <c r="G655"/>
  <c r="G653"/>
  <c r="G652"/>
  <c r="G651"/>
  <c r="G647"/>
  <c r="G646"/>
  <c r="G644"/>
  <c r="G643"/>
  <c r="G635"/>
  <c r="G634"/>
  <c r="G633"/>
  <c r="G632"/>
  <c r="G626"/>
  <c r="F458" i="3"/>
  <c r="G623" i="4"/>
  <c r="F455" i="3"/>
  <c r="G608" i="4"/>
  <c r="G607"/>
  <c r="G605"/>
  <c r="G604"/>
  <c r="G602"/>
  <c r="G601"/>
  <c r="G599"/>
  <c r="G598"/>
  <c r="G584"/>
  <c r="G583"/>
  <c r="G582"/>
  <c r="G570"/>
  <c r="G560"/>
  <c r="G559"/>
  <c r="G563"/>
  <c r="G562"/>
  <c r="G548"/>
  <c r="G547"/>
  <c r="G546"/>
  <c r="G545"/>
  <c r="G540"/>
  <c r="G538"/>
  <c r="G536"/>
  <c r="G534"/>
  <c r="G526"/>
  <c r="G525"/>
  <c r="G524"/>
  <c r="G518"/>
  <c r="G517"/>
  <c r="G515"/>
  <c r="G514"/>
  <c r="G511"/>
  <c r="G506"/>
  <c r="G504"/>
  <c r="G501"/>
  <c r="G500"/>
  <c r="G498"/>
  <c r="G497"/>
  <c r="G492"/>
  <c r="G491"/>
  <c r="G489"/>
  <c r="G55" i="5"/>
  <c r="G474" i="4"/>
  <c r="G473"/>
  <c r="G472"/>
  <c r="G471"/>
  <c r="G463"/>
  <c r="G28" i="5"/>
  <c r="G452" i="4"/>
  <c r="F777" i="3"/>
  <c r="F776"/>
  <c r="F774"/>
  <c r="F773"/>
  <c r="F772"/>
  <c r="G448" i="4"/>
  <c r="G444"/>
  <c r="G442"/>
  <c r="G430"/>
  <c r="G429"/>
  <c r="G424"/>
  <c r="G423"/>
  <c r="G418"/>
  <c r="G417"/>
  <c r="G408"/>
  <c r="F743" i="3"/>
  <c r="G405" i="4"/>
  <c r="F740" i="3"/>
  <c r="G402" i="4"/>
  <c r="G400"/>
  <c r="G398"/>
  <c r="G397"/>
  <c r="G392"/>
  <c r="G391"/>
  <c r="G390"/>
  <c r="G1148"/>
  <c r="G385"/>
  <c r="G384"/>
  <c r="G382"/>
  <c r="G381"/>
  <c r="G379"/>
  <c r="G378"/>
  <c r="G376"/>
  <c r="G375"/>
  <c r="G373"/>
  <c r="G372"/>
  <c r="G367"/>
  <c r="G365"/>
  <c r="G358"/>
  <c r="G356"/>
  <c r="G354"/>
  <c r="G348"/>
  <c r="G347"/>
  <c r="G345"/>
  <c r="G344"/>
  <c r="G342"/>
  <c r="G341"/>
  <c r="G339"/>
  <c r="G338"/>
  <c r="G336"/>
  <c r="G335"/>
  <c r="G326"/>
  <c r="G325"/>
  <c r="G324"/>
  <c r="G323"/>
  <c r="G322"/>
  <c r="G321"/>
  <c r="G318"/>
  <c r="G317"/>
  <c r="G316"/>
  <c r="G315"/>
  <c r="F608" i="3"/>
  <c r="G306" i="4"/>
  <c r="G305"/>
  <c r="G303"/>
  <c r="G302"/>
  <c r="G300"/>
  <c r="G299"/>
  <c r="G297"/>
  <c r="G296"/>
  <c r="G294"/>
  <c r="G293"/>
  <c r="G291"/>
  <c r="G290"/>
  <c r="F878" i="3"/>
  <c r="G233" i="4"/>
  <c r="G232"/>
  <c r="G231"/>
  <c r="G230"/>
  <c r="G228"/>
  <c r="G227"/>
  <c r="G226"/>
  <c r="G223"/>
  <c r="G222"/>
  <c r="G221"/>
  <c r="G220"/>
  <c r="G219"/>
  <c r="G217"/>
  <c r="G215"/>
  <c r="G201"/>
  <c r="G200"/>
  <c r="G196"/>
  <c r="G184"/>
  <c r="G183"/>
  <c r="G180"/>
  <c r="G166"/>
  <c r="G165"/>
  <c r="G164"/>
  <c r="G163"/>
  <c r="G162"/>
  <c r="G161"/>
  <c r="G157"/>
  <c r="G155"/>
  <c r="G152"/>
  <c r="G150"/>
  <c r="G146"/>
  <c r="G145"/>
  <c r="G143"/>
  <c r="G142"/>
  <c r="G140"/>
  <c r="G139"/>
  <c r="G137"/>
  <c r="G136"/>
  <c r="G132"/>
  <c r="G123"/>
  <c r="G122"/>
  <c r="G121"/>
  <c r="G112"/>
  <c r="G110"/>
  <c r="G91"/>
  <c r="G90"/>
  <c r="G89"/>
  <c r="G85"/>
  <c r="G71"/>
  <c r="G229" i="11"/>
  <c r="G228"/>
  <c r="G227"/>
  <c r="G226"/>
  <c r="G225"/>
  <c r="G224"/>
  <c r="G241"/>
  <c r="G67" i="4"/>
  <c r="G222" i="11"/>
  <c r="G221"/>
  <c r="G220"/>
  <c r="G61" i="4"/>
  <c r="G60"/>
  <c r="F61" i="3"/>
  <c r="F60"/>
  <c r="F59"/>
  <c r="F58"/>
  <c r="F57"/>
  <c r="F56"/>
  <c r="D16" i="2"/>
  <c r="F53" i="3"/>
  <c r="G42" i="4"/>
  <c r="G41"/>
  <c r="G39"/>
  <c r="F36" i="3"/>
  <c r="G27" i="4"/>
  <c r="G26"/>
  <c r="G25"/>
  <c r="G24"/>
  <c r="G22"/>
  <c r="G20"/>
  <c r="G18"/>
  <c r="I36" i="6"/>
  <c r="G32"/>
  <c r="G1071" i="4"/>
  <c r="G1070"/>
  <c r="G1069"/>
  <c r="G1068"/>
  <c r="G463" i="5"/>
  <c r="G80" i="4"/>
  <c r="G581"/>
  <c r="G1015"/>
  <c r="G416"/>
  <c r="G166" i="11"/>
  <c r="G165"/>
  <c r="G164"/>
  <c r="G163"/>
  <c r="G102"/>
  <c r="G1041" i="4"/>
  <c r="G597"/>
  <c r="G217" i="11"/>
  <c r="G223"/>
  <c r="G219"/>
  <c r="G218"/>
  <c r="G41" i="5"/>
  <c r="G40"/>
  <c r="G39"/>
  <c r="G38"/>
  <c r="G37"/>
  <c r="G36"/>
  <c r="G42"/>
  <c r="G33"/>
  <c r="G32"/>
  <c r="G37" i="11"/>
  <c r="G36"/>
  <c r="G35"/>
  <c r="G34"/>
  <c r="G33"/>
  <c r="G32"/>
  <c r="G71" i="5"/>
  <c r="G70"/>
  <c r="G69"/>
  <c r="G68"/>
  <c r="G67"/>
  <c r="G66"/>
  <c r="G72"/>
  <c r="G67" i="11"/>
  <c r="G66"/>
  <c r="G65"/>
  <c r="G64"/>
  <c r="G63"/>
  <c r="G62"/>
  <c r="G68"/>
  <c r="G104" i="5"/>
  <c r="G100" i="11"/>
  <c r="G99"/>
  <c r="G98"/>
  <c r="G97"/>
  <c r="G96"/>
  <c r="G95"/>
  <c r="G101"/>
  <c r="G325"/>
  <c r="G271"/>
  <c r="G195" i="4"/>
  <c r="G187"/>
  <c r="G1025"/>
  <c r="G1024"/>
  <c r="G891"/>
  <c r="G890"/>
  <c r="F614" i="3"/>
  <c r="F742"/>
  <c r="F741"/>
  <c r="F739"/>
  <c r="F736"/>
  <c r="G288" i="4"/>
  <c r="G287"/>
  <c r="F582" i="3"/>
  <c r="G364" i="5"/>
  <c r="G363"/>
  <c r="G362"/>
  <c r="G361"/>
  <c r="G66" i="4"/>
  <c r="G65"/>
  <c r="G64"/>
  <c r="G240" i="5"/>
  <c r="G239"/>
  <c r="G238"/>
  <c r="G237"/>
  <c r="G236"/>
  <c r="F78" i="3"/>
  <c r="F77"/>
  <c r="G179" i="4"/>
  <c r="G178"/>
  <c r="F223" i="3"/>
  <c r="F222"/>
  <c r="G640" i="4"/>
  <c r="G639"/>
  <c r="G638"/>
  <c r="G116" i="5"/>
  <c r="G115"/>
  <c r="G114"/>
  <c r="G113"/>
  <c r="F473" i="3"/>
  <c r="F472"/>
  <c r="F471"/>
  <c r="F470"/>
  <c r="F466"/>
  <c r="F465"/>
  <c r="F920"/>
  <c r="F919"/>
  <c r="G356" i="5"/>
  <c r="G925" i="4"/>
  <c r="G924"/>
  <c r="F307" i="3"/>
  <c r="G531" i="5"/>
  <c r="G37" i="4"/>
  <c r="F38" i="3"/>
  <c r="G253" i="5"/>
  <c r="G252"/>
  <c r="G251"/>
  <c r="F82" i="3"/>
  <c r="F81"/>
  <c r="F80"/>
  <c r="F79"/>
  <c r="G333" i="4"/>
  <c r="G332"/>
  <c r="F664" i="3"/>
  <c r="G395" i="5"/>
  <c r="G394"/>
  <c r="G393"/>
  <c r="G595" i="4"/>
  <c r="G594"/>
  <c r="G593"/>
  <c r="F428" i="3"/>
  <c r="F427"/>
  <c r="F426"/>
  <c r="F425"/>
  <c r="G112" i="5"/>
  <c r="G631" i="4"/>
  <c r="G630"/>
  <c r="F464" i="3"/>
  <c r="G688" i="4"/>
  <c r="G687"/>
  <c r="F529" i="3"/>
  <c r="G1004" i="4"/>
  <c r="G1003"/>
  <c r="G1002"/>
  <c r="F386" i="3"/>
  <c r="F385"/>
  <c r="F384"/>
  <c r="G173" i="4"/>
  <c r="G172"/>
  <c r="F217" i="3"/>
  <c r="G214" i="4"/>
  <c r="F271" i="3"/>
  <c r="G362" i="4"/>
  <c r="G361"/>
  <c r="F695" i="3"/>
  <c r="F694"/>
  <c r="F693"/>
  <c r="F692"/>
  <c r="G420" i="5"/>
  <c r="G419"/>
  <c r="G418"/>
  <c r="G417"/>
  <c r="F491" i="3"/>
  <c r="F490"/>
  <c r="F489"/>
  <c r="G173" i="5"/>
  <c r="G172"/>
  <c r="G171"/>
  <c r="G170"/>
  <c r="G703" i="4"/>
  <c r="G702"/>
  <c r="F544" i="3"/>
  <c r="G760" i="4"/>
  <c r="G759"/>
  <c r="F650" i="3"/>
  <c r="G781" i="4"/>
  <c r="G780"/>
  <c r="G302" i="5"/>
  <c r="G301"/>
  <c r="G300"/>
  <c r="F562" i="3"/>
  <c r="G814" i="4"/>
  <c r="G813"/>
  <c r="G812"/>
  <c r="F891" i="3"/>
  <c r="G330" i="5"/>
  <c r="G905" i="4"/>
  <c r="G904"/>
  <c r="G922"/>
  <c r="G921"/>
  <c r="F304" i="3"/>
  <c r="G528" i="5"/>
  <c r="G954" i="4"/>
  <c r="F336" i="3"/>
  <c r="F335"/>
  <c r="G216" i="4"/>
  <c r="F273" i="3"/>
  <c r="G908" i="4"/>
  <c r="G907"/>
  <c r="G903"/>
  <c r="F285" i="3"/>
  <c r="G1039" i="4"/>
  <c r="G1036"/>
  <c r="G1032"/>
  <c r="F421" i="3"/>
  <c r="G53" i="4"/>
  <c r="F55" i="3"/>
  <c r="F54"/>
  <c r="F52"/>
  <c r="G241" i="4"/>
  <c r="F880" i="3"/>
  <c r="G628" i="4"/>
  <c r="G627"/>
  <c r="F461" i="3"/>
  <c r="G697" i="4"/>
  <c r="G696"/>
  <c r="F538" i="3"/>
  <c r="G739" i="4"/>
  <c r="G738"/>
  <c r="G736"/>
  <c r="G735"/>
  <c r="G729"/>
  <c r="F625" i="3"/>
  <c r="F624"/>
  <c r="F623"/>
  <c r="F622"/>
  <c r="F621"/>
  <c r="F619"/>
  <c r="F611"/>
  <c r="G930" i="4"/>
  <c r="G929"/>
  <c r="F312" i="3"/>
  <c r="F311"/>
  <c r="F310"/>
  <c r="G536" i="5"/>
  <c r="G535"/>
  <c r="G534"/>
  <c r="G944" i="4"/>
  <c r="G943"/>
  <c r="G942"/>
  <c r="F326" i="3"/>
  <c r="F325"/>
  <c r="F324"/>
  <c r="F323"/>
  <c r="G1100" i="4"/>
  <c r="G1097"/>
  <c r="G1096"/>
  <c r="G1095"/>
  <c r="G1094"/>
  <c r="G1093"/>
  <c r="F944" i="3"/>
  <c r="F943"/>
  <c r="F941"/>
  <c r="F244"/>
  <c r="F243"/>
  <c r="F239"/>
  <c r="F238"/>
  <c r="D25" i="2"/>
  <c r="G149" i="4"/>
  <c r="F184" i="3"/>
  <c r="F183"/>
  <c r="G510" i="4"/>
  <c r="G509"/>
  <c r="G508"/>
  <c r="F840" i="3"/>
  <c r="F839"/>
  <c r="F838"/>
  <c r="F837"/>
  <c r="G131" i="4"/>
  <c r="G130"/>
  <c r="F172" i="3"/>
  <c r="F171"/>
  <c r="F170"/>
  <c r="G156" i="4"/>
  <c r="F191" i="3"/>
  <c r="F190"/>
  <c r="G120" i="4"/>
  <c r="G119"/>
  <c r="G108"/>
  <c r="F164" i="3"/>
  <c r="F163"/>
  <c r="F162"/>
  <c r="F145"/>
  <c r="G151" i="4"/>
  <c r="F186" i="3"/>
  <c r="F185"/>
  <c r="G27" i="5"/>
  <c r="G24"/>
  <c r="F794" i="3"/>
  <c r="F793"/>
  <c r="F790"/>
  <c r="F789"/>
  <c r="G478" i="4"/>
  <c r="G477"/>
  <c r="G476"/>
  <c r="G54" i="5"/>
  <c r="G53"/>
  <c r="G52"/>
  <c r="G51"/>
  <c r="G50"/>
  <c r="G58"/>
  <c r="F811" i="3"/>
  <c r="F810"/>
  <c r="F809"/>
  <c r="F808"/>
  <c r="F803"/>
  <c r="F802"/>
  <c r="F801"/>
  <c r="F800"/>
  <c r="G154" i="4"/>
  <c r="F189" i="3"/>
  <c r="F188"/>
  <c r="G488" i="4"/>
  <c r="G487"/>
  <c r="G486"/>
  <c r="F821" i="3"/>
  <c r="F820"/>
  <c r="F819"/>
  <c r="F818"/>
  <c r="G461" i="4"/>
  <c r="G457"/>
  <c r="G558"/>
  <c r="G441"/>
  <c r="G440"/>
  <c r="G533"/>
  <c r="G532"/>
  <c r="G531"/>
  <c r="G530"/>
  <c r="G529"/>
  <c r="G70"/>
  <c r="G69"/>
  <c r="G68"/>
  <c r="G1143"/>
  <c r="G1145"/>
  <c r="F765" i="3"/>
  <c r="G853" i="4"/>
  <c r="G852"/>
  <c r="G1061"/>
  <c r="G1060"/>
  <c r="G1059"/>
  <c r="G1058"/>
  <c r="G109"/>
  <c r="G847"/>
  <c r="G846"/>
  <c r="G1114"/>
  <c r="G314"/>
  <c r="G313"/>
  <c r="G404"/>
  <c r="G401"/>
  <c r="G719"/>
  <c r="G718"/>
  <c r="G705"/>
  <c r="G353"/>
  <c r="G364"/>
  <c r="G470"/>
  <c r="G469"/>
  <c r="G468"/>
  <c r="G503"/>
  <c r="G490"/>
  <c r="G753"/>
  <c r="G752"/>
  <c r="G700"/>
  <c r="G699"/>
  <c r="G59"/>
  <c r="G58"/>
  <c r="G57"/>
  <c r="G56"/>
  <c r="G55"/>
  <c r="G211"/>
  <c r="G210"/>
  <c r="G239"/>
  <c r="G51"/>
  <c r="G409"/>
  <c r="F746" i="3"/>
  <c r="F745"/>
  <c r="F744"/>
  <c r="F730"/>
  <c r="F729"/>
  <c r="G843" i="4"/>
  <c r="G840"/>
  <c r="G839"/>
  <c r="G838"/>
  <c r="G619"/>
  <c r="G618"/>
  <c r="G691"/>
  <c r="G690"/>
  <c r="G804"/>
  <c r="G803"/>
  <c r="G17"/>
  <c r="G16"/>
  <c r="G15"/>
  <c r="G14"/>
  <c r="G13"/>
  <c r="G450"/>
  <c r="G447"/>
  <c r="G446"/>
  <c r="G622"/>
  <c r="G621"/>
  <c r="G762"/>
  <c r="G746"/>
  <c r="G742"/>
  <c r="G983"/>
  <c r="G982"/>
  <c r="G399"/>
  <c r="G396"/>
  <c r="G35"/>
  <c r="G1144"/>
  <c r="G225"/>
  <c r="G521"/>
  <c r="G520"/>
  <c r="G513"/>
  <c r="G320"/>
  <c r="G319"/>
  <c r="G407"/>
  <c r="G406"/>
  <c r="G685"/>
  <c r="G684"/>
  <c r="G625"/>
  <c r="G624"/>
  <c r="G694"/>
  <c r="G693"/>
  <c r="G556"/>
  <c r="G555"/>
  <c r="G554"/>
  <c r="G553"/>
  <c r="G569"/>
  <c r="G568"/>
  <c r="G567"/>
  <c r="G566"/>
  <c r="G565"/>
  <c r="G650"/>
  <c r="G649"/>
  <c r="G642"/>
  <c r="G807"/>
  <c r="G806"/>
  <c r="G967"/>
  <c r="G31" i="6"/>
  <c r="I32"/>
  <c r="G1049" i="4"/>
  <c r="G232" i="5"/>
  <c r="G231"/>
  <c r="G230"/>
  <c r="G229"/>
  <c r="G228"/>
  <c r="G234"/>
  <c r="G235"/>
  <c r="G241"/>
  <c r="F230" i="3"/>
  <c r="D24" i="2"/>
  <c r="G914" i="4"/>
  <c r="F474" i="3"/>
  <c r="F469"/>
  <c r="F663"/>
  <c r="F662"/>
  <c r="G573" i="4"/>
  <c r="G572"/>
  <c r="G162" i="11"/>
  <c r="G141"/>
  <c r="G179"/>
  <c r="G171" i="4"/>
  <c r="G170"/>
  <c r="G169"/>
  <c r="G168"/>
  <c r="G1115"/>
  <c r="G331"/>
  <c r="G392" i="5"/>
  <c r="G391"/>
  <c r="G390"/>
  <c r="G414"/>
  <c r="G360" i="4"/>
  <c r="G779"/>
  <c r="G778"/>
  <c r="G38" i="11"/>
  <c r="G19"/>
  <c r="G534"/>
  <c r="G286" i="4"/>
  <c r="G285"/>
  <c r="G23" i="5"/>
  <c r="G22"/>
  <c r="G21"/>
  <c r="G35"/>
  <c r="G845" i="4"/>
  <c r="G837"/>
  <c r="G512"/>
  <c r="G329" i="5"/>
  <c r="G328"/>
  <c r="G811" i="4"/>
  <c r="G810"/>
  <c r="G1142"/>
  <c r="F750" i="3"/>
  <c r="D41" i="2"/>
  <c r="G953" i="4"/>
  <c r="G952"/>
  <c r="G941"/>
  <c r="F334" i="3"/>
  <c r="F333"/>
  <c r="F322"/>
  <c r="G799" i="4"/>
  <c r="G395"/>
  <c r="G592"/>
  <c r="G153"/>
  <c r="G898"/>
  <c r="G897"/>
  <c r="G1023"/>
  <c r="G1022"/>
  <c r="G1139"/>
  <c r="G889"/>
  <c r="G882"/>
  <c r="G169" i="5"/>
  <c r="G148"/>
  <c r="G195"/>
  <c r="G250"/>
  <c r="G249"/>
  <c r="G248"/>
  <c r="G266"/>
  <c r="G238" i="4"/>
  <c r="G237"/>
  <c r="G236"/>
  <c r="G235"/>
  <c r="G218"/>
  <c r="G12"/>
  <c r="G416" i="5"/>
  <c r="G415"/>
  <c r="G451"/>
  <c r="F376" i="3"/>
  <c r="F375"/>
  <c r="F373"/>
  <c r="F372"/>
  <c r="F370"/>
  <c r="F369"/>
  <c r="F367"/>
  <c r="F365"/>
  <c r="F364"/>
  <c r="F363"/>
  <c r="F383"/>
  <c r="F382"/>
  <c r="G1001" i="4"/>
  <c r="G637"/>
  <c r="G34"/>
  <c r="G33"/>
  <c r="G148"/>
  <c r="G50"/>
  <c r="G49"/>
  <c r="G758"/>
  <c r="G751"/>
  <c r="G741"/>
  <c r="G213"/>
  <c r="F306" i="3"/>
  <c r="F305"/>
  <c r="G530" i="5"/>
  <c r="G529"/>
  <c r="G527"/>
  <c r="G526"/>
  <c r="G524"/>
  <c r="G523"/>
  <c r="G518"/>
  <c r="G517"/>
  <c r="G516"/>
  <c r="G546"/>
  <c r="F43" i="3"/>
  <c r="F42"/>
  <c r="F41"/>
  <c r="F39"/>
  <c r="F37"/>
  <c r="F35"/>
  <c r="F34"/>
  <c r="F33"/>
  <c r="F51"/>
  <c r="F50"/>
  <c r="F934"/>
  <c r="F932"/>
  <c r="F930"/>
  <c r="F929"/>
  <c r="F928"/>
  <c r="F921"/>
  <c r="F940"/>
  <c r="F939"/>
  <c r="F938"/>
  <c r="F937"/>
  <c r="F618"/>
  <c r="F613"/>
  <c r="F612"/>
  <c r="F610"/>
  <c r="F609"/>
  <c r="F607"/>
  <c r="F606"/>
  <c r="F617"/>
  <c r="F616"/>
  <c r="F615"/>
  <c r="D37" i="2"/>
  <c r="G316" i="5"/>
  <c r="G315"/>
  <c r="G293"/>
  <c r="G292"/>
  <c r="G291"/>
  <c r="G290"/>
  <c r="G289"/>
  <c r="G295"/>
  <c r="G286"/>
  <c r="G285"/>
  <c r="G284"/>
  <c r="G283"/>
  <c r="G282"/>
  <c r="G288"/>
  <c r="G279"/>
  <c r="G278"/>
  <c r="G277"/>
  <c r="G276"/>
  <c r="G275"/>
  <c r="F358" i="3"/>
  <c r="F357"/>
  <c r="F353"/>
  <c r="F352"/>
  <c r="F917"/>
  <c r="F890"/>
  <c r="F888"/>
  <c r="F216"/>
  <c r="F215"/>
  <c r="F221"/>
  <c r="F303"/>
  <c r="F302"/>
  <c r="F300"/>
  <c r="F299"/>
  <c r="F681"/>
  <c r="F680"/>
  <c r="F678"/>
  <c r="F677"/>
  <c r="G737" i="4"/>
  <c r="F187" i="3"/>
  <c r="F420"/>
  <c r="F418"/>
  <c r="G355" i="5"/>
  <c r="G360"/>
  <c r="G359"/>
  <c r="G389"/>
  <c r="F788" i="3"/>
  <c r="F787"/>
  <c r="D44" i="2"/>
  <c r="F463" i="3"/>
  <c r="F462"/>
  <c r="F460"/>
  <c r="F459"/>
  <c r="F457"/>
  <c r="F456"/>
  <c r="F454"/>
  <c r="F453"/>
  <c r="F452"/>
  <c r="F451"/>
  <c r="F320"/>
  <c r="F319"/>
  <c r="F290"/>
  <c r="F284"/>
  <c r="F283"/>
  <c r="F272"/>
  <c r="F270"/>
  <c r="F656"/>
  <c r="F654"/>
  <c r="F652"/>
  <c r="G111" i="5"/>
  <c r="G110"/>
  <c r="G109"/>
  <c r="F424" i="3"/>
  <c r="F75"/>
  <c r="F76"/>
  <c r="F182"/>
  <c r="G552" i="4"/>
  <c r="G551"/>
  <c r="G456"/>
  <c r="G1129"/>
  <c r="G439"/>
  <c r="G415"/>
  <c r="G312"/>
  <c r="G311"/>
  <c r="G617"/>
  <c r="G616"/>
  <c r="G966"/>
  <c r="G674"/>
  <c r="G673"/>
  <c r="G1134"/>
  <c r="G1086"/>
  <c r="G1152"/>
  <c r="G30" i="6"/>
  <c r="I31"/>
  <c r="G135" i="4"/>
  <c r="G107"/>
  <c r="G63"/>
  <c r="F661" i="3"/>
  <c r="F660"/>
  <c r="F659"/>
  <c r="D40" i="2"/>
  <c r="D39"/>
  <c r="F214" i="3"/>
  <c r="F213"/>
  <c r="F212"/>
  <c r="G327" i="5"/>
  <c r="G326"/>
  <c r="G325"/>
  <c r="G299"/>
  <c r="G298"/>
  <c r="G297"/>
  <c r="G324"/>
  <c r="G550" i="4"/>
  <c r="G528"/>
  <c r="G1120"/>
  <c r="G1140"/>
  <c r="F175" i="3"/>
  <c r="F144"/>
  <c r="F74"/>
  <c r="G798" i="4"/>
  <c r="G777"/>
  <c r="G776"/>
  <c r="G1124"/>
  <c r="G394"/>
  <c r="G1127"/>
  <c r="G1130"/>
  <c r="G284"/>
  <c r="G283"/>
  <c r="G1048"/>
  <c r="G209"/>
  <c r="G1107"/>
  <c r="G809"/>
  <c r="G1131"/>
  <c r="G1132"/>
  <c r="G1146"/>
  <c r="G1149"/>
  <c r="G965"/>
  <c r="G591"/>
  <c r="G1151"/>
  <c r="G32"/>
  <c r="G31"/>
  <c r="G1141"/>
  <c r="G330"/>
  <c r="G1147"/>
  <c r="G913"/>
  <c r="F289" i="3"/>
  <c r="F295"/>
  <c r="F916"/>
  <c r="F915"/>
  <c r="F914"/>
  <c r="F913"/>
  <c r="D49" i="2"/>
  <c r="F423" i="3"/>
  <c r="D34" i="2"/>
  <c r="G353" i="5"/>
  <c r="G352"/>
  <c r="G351"/>
  <c r="G350"/>
  <c r="G349"/>
  <c r="G357"/>
  <c r="F350" i="3"/>
  <c r="F349"/>
  <c r="F348"/>
  <c r="F347"/>
  <c r="G103" i="5"/>
  <c r="G102"/>
  <c r="G101"/>
  <c r="G100"/>
  <c r="G99"/>
  <c r="G105"/>
  <c r="G108"/>
  <c r="G107"/>
  <c r="G106"/>
  <c r="F255" i="3"/>
  <c r="F269"/>
  <c r="F415"/>
  <c r="F414"/>
  <c r="F417"/>
  <c r="G271" i="5"/>
  <c r="G270"/>
  <c r="G269"/>
  <c r="G268"/>
  <c r="G267"/>
  <c r="G273"/>
  <c r="G274"/>
  <c r="G281"/>
  <c r="F593" i="3"/>
  <c r="F592"/>
  <c r="F581"/>
  <c r="F580"/>
  <c r="F579"/>
  <c r="F605"/>
  <c r="F604"/>
  <c r="F32"/>
  <c r="F31"/>
  <c r="D15" i="2"/>
  <c r="F649" i="3"/>
  <c r="F648"/>
  <c r="F651"/>
  <c r="G358" i="5"/>
  <c r="F936" i="3"/>
  <c r="D51" i="2"/>
  <c r="D50"/>
  <c r="I990" i="10"/>
  <c r="F883" i="3"/>
  <c r="F882"/>
  <c r="F881"/>
  <c r="F879"/>
  <c r="F877"/>
  <c r="F889"/>
  <c r="F887"/>
  <c r="F886"/>
  <c r="G636" i="4"/>
  <c r="G455"/>
  <c r="G454"/>
  <c r="G1128"/>
  <c r="I30" i="6"/>
  <c r="G29"/>
  <c r="I29"/>
  <c r="G28"/>
  <c r="G1112" i="4"/>
  <c r="I987" i="10"/>
  <c r="G331" i="5"/>
  <c r="G348"/>
  <c r="G208" i="4"/>
  <c r="G30"/>
  <c r="G590"/>
  <c r="G571"/>
  <c r="F265" i="3"/>
  <c r="F264"/>
  <c r="G1156" i="4"/>
  <c r="F346" i="3"/>
  <c r="D31" i="2"/>
  <c r="D18"/>
  <c r="D12"/>
  <c r="F413" i="3"/>
  <c r="F411"/>
  <c r="F406"/>
  <c r="F405"/>
  <c r="F277"/>
  <c r="G329" i="4"/>
  <c r="G328"/>
  <c r="G243"/>
  <c r="F294" i="3"/>
  <c r="D30" i="2"/>
  <c r="F254" i="3"/>
  <c r="F253"/>
  <c r="F252"/>
  <c r="F658"/>
  <c r="F647"/>
  <c r="F636"/>
  <c r="F626"/>
  <c r="D38" i="2"/>
  <c r="G20" i="5"/>
  <c r="F570" i="3"/>
  <c r="F569"/>
  <c r="F561"/>
  <c r="F560"/>
  <c r="F559"/>
  <c r="F578"/>
  <c r="D22" i="2"/>
  <c r="D21"/>
  <c r="I983" i="10"/>
  <c r="F211" i="3"/>
  <c r="G121" i="5"/>
  <c r="F868" i="3"/>
  <c r="F867"/>
  <c r="F866"/>
  <c r="F865"/>
  <c r="F876"/>
  <c r="F875"/>
  <c r="D48" i="2"/>
  <c r="D47"/>
  <c r="I989" i="10"/>
  <c r="F885" i="3"/>
  <c r="G296" i="5"/>
  <c r="G896" i="4"/>
  <c r="G769"/>
  <c r="G48" i="6"/>
  <c r="I48"/>
  <c r="I28"/>
  <c r="G629" i="5"/>
  <c r="G203" i="4"/>
  <c r="G1118"/>
  <c r="F259" i="3"/>
  <c r="D27" i="2"/>
  <c r="F874" i="3"/>
  <c r="F873"/>
  <c r="D46" i="2"/>
  <c r="D42"/>
  <c r="I988" i="10"/>
  <c r="F276" i="3"/>
  <c r="F275"/>
  <c r="D29" i="2"/>
  <c r="G1111" i="4"/>
  <c r="G1113"/>
  <c r="I981" i="10"/>
  <c r="G1125" i="4"/>
  <c r="G1126"/>
  <c r="G1122"/>
  <c r="G1123"/>
  <c r="F12" i="3"/>
  <c r="G860" i="4"/>
  <c r="G1119"/>
  <c r="G1121"/>
  <c r="F404" i="3"/>
  <c r="F403"/>
  <c r="D32" i="2"/>
  <c r="D26"/>
  <c r="D19"/>
  <c r="F549" i="3"/>
  <c r="F548"/>
  <c r="F547"/>
  <c r="F546"/>
  <c r="F558"/>
  <c r="G186" i="4"/>
  <c r="G1116"/>
  <c r="G1117"/>
  <c r="G1136"/>
  <c r="F229" i="3"/>
  <c r="D23" i="2"/>
  <c r="I984" i="10"/>
  <c r="F780" i="3"/>
  <c r="D28" i="2"/>
  <c r="I985" i="10"/>
  <c r="F274" i="3"/>
  <c r="F543"/>
  <c r="F542"/>
  <c r="F540"/>
  <c r="F539"/>
  <c r="F537"/>
  <c r="F536"/>
  <c r="F534"/>
  <c r="F533"/>
  <c r="F531"/>
  <c r="F530"/>
  <c r="F528"/>
  <c r="F527"/>
  <c r="F525"/>
  <c r="F524"/>
  <c r="F522"/>
  <c r="F521"/>
  <c r="F514"/>
  <c r="F513"/>
  <c r="F468"/>
  <c r="F545"/>
  <c r="D36" i="2"/>
  <c r="G1135" i="4"/>
  <c r="G1137"/>
  <c r="G29"/>
  <c r="G1104"/>
  <c r="D53" i="2"/>
  <c r="D35"/>
  <c r="D33"/>
  <c r="F422" i="3"/>
  <c r="F947"/>
  <c r="G1106" i="4"/>
  <c r="G1138"/>
  <c r="I986" i="10"/>
  <c r="D52" i="2"/>
  <c r="C22" i="7"/>
  <c r="C23"/>
  <c r="D54" i="2"/>
  <c r="I991" i="10"/>
  <c r="K37" i="4"/>
  <c r="K34"/>
  <c r="K33"/>
  <c r="K32"/>
  <c r="K31"/>
  <c r="K1112"/>
  <c r="K1136"/>
  <c r="E22" i="7"/>
  <c r="E23"/>
  <c r="E17"/>
  <c r="E16"/>
  <c r="E13"/>
  <c r="C17"/>
  <c r="K30" i="4"/>
  <c r="K1111"/>
  <c r="E18" i="7"/>
  <c r="C18"/>
  <c r="F18"/>
  <c r="C16"/>
  <c r="F17"/>
  <c r="K1113" i="4"/>
  <c r="K1135"/>
  <c r="K1137"/>
  <c r="K29"/>
  <c r="K1104"/>
  <c r="G53" i="2"/>
  <c r="G54"/>
  <c r="K1106" i="4"/>
  <c r="I948" i="3"/>
  <c r="I949"/>
  <c r="C13" i="7"/>
  <c r="F13"/>
  <c r="F16"/>
  <c r="M839" i="4"/>
  <c r="M844"/>
  <c r="L356" i="5"/>
  <c r="O844" i="4"/>
  <c r="K920" i="3"/>
  <c r="K919"/>
  <c r="M838" i="4"/>
  <c r="O838"/>
  <c r="O1146"/>
  <c r="O1156"/>
  <c r="O839"/>
  <c r="M920" i="3"/>
  <c r="M837" i="4"/>
  <c r="M1146"/>
  <c r="M1156"/>
  <c r="M843"/>
  <c r="O843"/>
  <c r="M809"/>
  <c r="O809"/>
  <c r="O1131"/>
  <c r="O837"/>
  <c r="L355" i="5"/>
  <c r="N356"/>
  <c r="K916" i="3"/>
  <c r="M919"/>
  <c r="M769" i="4"/>
  <c r="M1131"/>
  <c r="L352" i="5"/>
  <c r="N355"/>
  <c r="M1104" i="4"/>
  <c r="O1104"/>
  <c r="M948" i="3"/>
  <c r="O769" i="4"/>
  <c r="O1132"/>
  <c r="O1136"/>
  <c r="O1135"/>
  <c r="O1137"/>
  <c r="K915" i="3"/>
  <c r="M916"/>
  <c r="M1132" i="4"/>
  <c r="M1136"/>
  <c r="M1135"/>
  <c r="M1106"/>
  <c r="K53" i="2"/>
  <c r="K948" i="3"/>
  <c r="I53" i="2"/>
  <c r="O1106" i="4"/>
  <c r="L351" i="5"/>
  <c r="N352"/>
  <c r="K914" i="3"/>
  <c r="M915"/>
  <c r="M1137" i="4"/>
  <c r="L350" i="5"/>
  <c r="N351"/>
  <c r="K913" i="3"/>
  <c r="M914"/>
  <c r="L349" i="5"/>
  <c r="N350"/>
  <c r="M913" i="3"/>
  <c r="K885"/>
  <c r="I49" i="2"/>
  <c r="N349" i="5"/>
  <c r="L296"/>
  <c r="L357"/>
  <c r="N357"/>
  <c r="I47" i="2"/>
  <c r="K49"/>
  <c r="K947" i="3"/>
  <c r="M885"/>
  <c r="L629" i="5"/>
  <c r="N629"/>
  <c r="N296"/>
  <c r="M947" i="3"/>
  <c r="M949"/>
  <c r="K949"/>
  <c r="I52" i="2"/>
  <c r="K47"/>
  <c r="K52"/>
  <c r="K54"/>
  <c r="J22" i="7"/>
  <c r="J23"/>
  <c r="J17"/>
  <c r="I56" i="2"/>
  <c r="I54"/>
  <c r="J18" i="7"/>
  <c r="L18"/>
  <c r="J16"/>
  <c r="J13"/>
</calcChain>
</file>

<file path=xl/sharedStrings.xml><?xml version="1.0" encoding="utf-8"?>
<sst xmlns="http://schemas.openxmlformats.org/spreadsheetml/2006/main" count="18812" uniqueCount="1022">
  <si>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</si>
  <si>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</si>
  <si>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</si>
  <si>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</si>
  <si>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</si>
  <si>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</si>
  <si>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</si>
  <si>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</si>
  <si>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</si>
  <si>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</si>
  <si>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</si>
  <si>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</si>
  <si>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</si>
  <si>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</si>
  <si>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</si>
  <si>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</si>
  <si>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</si>
  <si>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</si>
  <si>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</si>
  <si>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</si>
  <si>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</si>
  <si>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</si>
  <si>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</si>
  <si>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</si>
  <si>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</si>
  <si>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</si>
  <si>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</si>
  <si>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</si>
  <si>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</si>
  <si>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</si>
  <si>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</si>
  <si>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</si>
  <si>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</si>
  <si>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</si>
  <si>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</si>
  <si>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</si>
  <si>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</si>
  <si>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</si>
  <si>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</si>
  <si>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</si>
  <si>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</si>
  <si>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</si>
  <si>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</si>
  <si>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</si>
  <si>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</si>
  <si>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</si>
  <si>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</si>
  <si>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</si>
  <si>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</si>
  <si>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</si>
  <si>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</si>
  <si>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</si>
  <si>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</si>
  <si>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</si>
  <si>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</si>
  <si>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</si>
  <si>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</si>
  <si>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</si>
  <si>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</si>
  <si>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</si>
  <si>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</si>
  <si>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</si>
  <si>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</si>
  <si>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</si>
  <si>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</si>
  <si>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</si>
  <si>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</si>
  <si>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</si>
  <si>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</si>
  <si>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</si>
  <si>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</si>
  <si>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</si>
  <si>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</si>
  <si>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</si>
  <si>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</si>
  <si>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</si>
  <si>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</si>
  <si>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</si>
  <si>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</si>
  <si>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</si>
  <si>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</si>
  <si>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</si>
  <si>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</si>
  <si>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</si>
  <si>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</si>
  <si>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</si>
  <si>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</si>
  <si>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</si>
  <si>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</si>
  <si>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</si>
  <si>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</si>
  <si>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</si>
  <si>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</si>
  <si>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</si>
  <si>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</si>
  <si>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</si>
  <si>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</si>
  <si>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</si>
  <si>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</si>
  <si>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</si>
  <si>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</si>
  <si>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</si>
  <si>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</si>
  <si>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</si>
  <si>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</si>
  <si>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</si>
  <si>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</si>
  <si>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</si>
  <si>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</si>
  <si>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</si>
  <si>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</si>
  <si>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</si>
  <si>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</si>
  <si>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</si>
  <si>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</si>
  <si>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</si>
  <si>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</si>
  <si>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</si>
  <si>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</si>
  <si>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</si>
  <si>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</si>
  <si>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</si>
  <si>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</si>
  <si>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</si>
  <si>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</si>
  <si>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</si>
  <si>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</si>
  <si>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</si>
  <si>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</si>
  <si>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</si>
  <si>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</si>
  <si>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</si>
  <si>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</si>
  <si>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</si>
  <si>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</si>
  <si>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</si>
  <si>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</si>
  <si>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</si>
  <si>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</si>
  <si>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</si>
  <si>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</si>
  <si>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</si>
  <si>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</si>
  <si>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</si>
  <si>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</si>
  <si>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</si>
  <si>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</si>
  <si>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</si>
  <si>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</si>
  <si>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</si>
  <si>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</si>
  <si>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</si>
  <si>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</si>
  <si>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</si>
  <si>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</si>
  <si>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</si>
  <si>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</si>
  <si>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</si>
  <si>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</si>
  <si>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</si>
  <si>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</si>
  <si>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</si>
  <si>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</si>
  <si>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</si>
  <si>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</si>
  <si>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</si>
  <si>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</si>
  <si>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</si>
  <si>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</si>
  <si>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</si>
  <si>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</si>
  <si>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</si>
  <si>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</si>
  <si>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</si>
  <si>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</si>
  <si>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</si>
  <si>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</si>
  <si>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</si>
  <si>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</si>
  <si>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</si>
  <si>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</si>
  <si>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</si>
  <si>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</si>
  <si>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</si>
  <si>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</si>
  <si>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</si>
  <si>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</si>
  <si>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</si>
  <si>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</si>
  <si>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</si>
  <si>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</si>
  <si>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</si>
  <si>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</si>
  <si>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</si>
  <si>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</si>
  <si>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</si>
  <si>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</si>
  <si>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</si>
  <si>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</si>
  <si>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</si>
  <si>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</si>
  <si>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</si>
  <si>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</si>
  <si>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</si>
  <si>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</si>
  <si>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</si>
  <si>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</si>
  <si>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</si>
  <si>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</si>
  <si>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</si>
  <si>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</si>
  <si>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</si>
  <si>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</si>
  <si>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</si>
  <si>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</si>
  <si>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</si>
  <si>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</si>
  <si>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</si>
  <si>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</si>
  <si>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</si>
  <si>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</si>
  <si>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</si>
  <si>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</si>
  <si>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</si>
  <si>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</si>
  <si>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</si>
  <si>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</si>
  <si>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</si>
  <si>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</si>
  <si>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</si>
  <si>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</si>
  <si>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</si>
  <si>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</si>
  <si>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</si>
  <si>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</si>
  <si>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</si>
  <si>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</si>
  <si>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</si>
  <si>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</si>
  <si>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</si>
  <si>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</si>
  <si>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</si>
  <si>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</si>
  <si>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</si>
  <si>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</si>
  <si>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</si>
  <si>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</si>
  <si>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</si>
  <si>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</si>
  <si>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</si>
  <si>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</si>
  <si>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</si>
  <si>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</si>
  <si>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</si>
  <si>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</si>
  <si>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</si>
  <si>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</si>
  <si>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</si>
  <si>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</si>
  <si>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</si>
  <si>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</si>
  <si>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</si>
  <si>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</si>
  <si>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</si>
  <si>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</si>
  <si>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</si>
  <si>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</si>
  <si>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</si>
  <si>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</si>
  <si>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</si>
  <si>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</si>
  <si>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</si>
  <si>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</si>
  <si>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</si>
  <si>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</si>
  <si>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</si>
  <si>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</si>
  <si>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</si>
  <si>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</si>
  <si>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</si>
  <si>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</si>
  <si>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</si>
  <si>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</si>
  <si>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</si>
  <si>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</si>
  <si>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</si>
  <si>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</si>
  <si>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</si>
  <si>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</si>
  <si>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</si>
  <si>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</si>
  <si>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</si>
  <si>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</si>
  <si>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</si>
  <si>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</si>
  <si>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</si>
  <si>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</si>
  <si>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</si>
  <si>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</si>
  <si>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</si>
  <si>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</si>
  <si>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</si>
  <si>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</si>
  <si>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</si>
  <si>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</si>
  <si>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</si>
  <si>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</si>
  <si>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</si>
  <si>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</si>
  <si>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</si>
  <si>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</si>
  <si>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</si>
  <si>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</si>
  <si>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</si>
  <si>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</si>
  <si>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</si>
  <si>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</si>
  <si>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</si>
  <si>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</si>
  <si>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</si>
  <si>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</si>
  <si>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</si>
  <si>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</si>
  <si>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</si>
  <si>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</si>
  <si>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</si>
  <si>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</si>
  <si>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</si>
  <si>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</si>
  <si>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</si>
  <si>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</si>
  <si>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</si>
  <si>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</si>
  <si>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</si>
  <si>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</si>
  <si>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</si>
  <si>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</si>
  <si>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</si>
  <si>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</si>
  <si>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</si>
  <si>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</si>
  <si>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</si>
  <si>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</si>
  <si>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</si>
  <si>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</si>
  <si>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</si>
  <si>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</si>
  <si>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</si>
  <si>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</si>
  <si>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</si>
  <si>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</si>
  <si>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</si>
  <si>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</si>
  <si>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</si>
  <si>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</si>
  <si>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</si>
  <si>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</si>
  <si>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</si>
  <si>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</si>
  <si>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</si>
  <si>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</si>
  <si>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</si>
  <si>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</si>
  <si>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</si>
  <si>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</si>
  <si>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</si>
  <si>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</si>
  <si>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</si>
  <si>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</si>
  <si>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</si>
  <si>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</si>
  <si>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</si>
  <si>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</si>
  <si>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</si>
  <si>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</si>
  <si>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</si>
  <si>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</si>
  <si>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</si>
  <si>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</si>
  <si>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</si>
  <si>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</si>
  <si>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</si>
  <si>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</si>
  <si>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</si>
  <si>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</si>
  <si>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</si>
  <si>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</si>
  <si>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</si>
  <si>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</si>
  <si>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</si>
  <si>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</si>
  <si>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</si>
  <si>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</si>
  <si>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</si>
  <si>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</si>
  <si>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</si>
  <si>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</si>
  <si>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</si>
  <si>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</si>
  <si>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</si>
  <si>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</si>
  <si>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</si>
  <si>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</si>
  <si>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</si>
  <si>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</si>
  <si>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</si>
  <si>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</si>
  <si>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</si>
  <si>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</si>
  <si>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</si>
  <si>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</si>
  <si>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</si>
  <si>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</si>
  <si>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</si>
  <si>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</si>
  <si>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</si>
  <si>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</si>
  <si>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</si>
  <si>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</si>
  <si>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</si>
  <si>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</si>
  <si>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</si>
  <si>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</si>
  <si>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</si>
  <si>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</si>
  <si>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</si>
  <si>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</si>
  <si>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</si>
  <si>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</si>
  <si>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</si>
  <si>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</si>
  <si>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</si>
  <si>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</si>
  <si>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</si>
  <si>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</si>
  <si>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</si>
  <si>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</si>
  <si>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</si>
  <si>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</si>
  <si>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</si>
  <si>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</si>
  <si>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</si>
  <si>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</si>
  <si>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</si>
  <si>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</si>
  <si>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</si>
  <si>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</si>
  <si>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</si>
  <si>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</si>
  <si>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</si>
  <si>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</si>
  <si>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</si>
  <si>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</si>
  <si>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</si>
  <si>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</si>
  <si>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</si>
  <si>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</si>
  <si>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</si>
  <si>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</si>
  <si>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</si>
  <si>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</si>
  <si>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</si>
  <si>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</si>
  <si>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</si>
  <si>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</si>
  <si>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</si>
  <si>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</si>
  <si>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</si>
  <si>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</si>
  <si>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</si>
  <si>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</si>
  <si>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</si>
  <si>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</si>
  <si>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</si>
  <si>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</si>
  <si>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</si>
  <si>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</si>
  <si>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</si>
  <si>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</si>
  <si>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</si>
  <si>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</si>
  <si>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</si>
  <si>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</si>
  <si>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</si>
  <si>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</si>
  <si>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</si>
  <si>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</si>
  <si>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</si>
  <si>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</si>
  <si>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</si>
  <si>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</si>
  <si>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</si>
  <si>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</si>
  <si>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</si>
  <si>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</si>
  <si>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</si>
  <si>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</si>
  <si>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</si>
  <si>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</si>
  <si>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</si>
  <si>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</si>
  <si>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</si>
  <si>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</si>
  <si>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</si>
  <si>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</si>
  <si>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</si>
  <si>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</si>
  <si>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</si>
  <si>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</si>
  <si>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</si>
  <si>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</si>
  <si>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</si>
  <si>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</si>
  <si>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</si>
  <si>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</si>
  <si>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</si>
  <si>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</si>
  <si>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</si>
  <si>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</si>
  <si>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</si>
  <si>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</si>
  <si>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</si>
  <si>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</si>
  <si>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</si>
  <si>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</si>
  <si>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</si>
  <si>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</si>
  <si>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</si>
  <si>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</si>
  <si>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</si>
  <si>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</si>
  <si>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</si>
  <si>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</si>
  <si>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</si>
  <si>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</si>
  <si>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</si>
  <si>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</si>
  <si>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</si>
  <si>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</si>
  <si>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</si>
  <si>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</si>
  <si>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</si>
  <si>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</si>
  <si>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</si>
  <si>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</si>
  <si>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</si>
  <si>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</si>
  <si>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</si>
  <si>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</si>
  <si>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</si>
  <si>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</si>
  <si>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</si>
  <si>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</si>
  <si>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</si>
  <si>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</si>
  <si>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</si>
  <si>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</si>
  <si>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</si>
  <si>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</si>
  <si>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</si>
  <si>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</si>
  <si>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</si>
  <si>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</si>
  <si>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</si>
  <si>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</si>
  <si>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</si>
  <si>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</si>
  <si>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</si>
  <si>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</si>
  <si>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</si>
  <si>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</si>
  <si>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</si>
  <si>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</si>
  <si>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</si>
  <si>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</si>
  <si>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</si>
  <si>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</si>
  <si>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</si>
  <si>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</si>
  <si>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</si>
  <si>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</si>
  <si>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</si>
  <si>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</si>
  <si>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</si>
  <si>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</si>
  <si>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</si>
  <si>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</si>
  <si>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</si>
  <si>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</si>
  <si>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</si>
  <si>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</si>
  <si>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</si>
  <si>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</si>
  <si>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</si>
  <si>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</si>
  <si>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</si>
  <si>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</si>
  <si>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</si>
  <si>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</si>
  <si>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</si>
  <si>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</si>
  <si>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</si>
  <si>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</si>
  <si>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</si>
  <si>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</si>
  <si>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</si>
  <si>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</si>
  <si>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</si>
  <si>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</si>
  <si>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</si>
  <si>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</si>
  <si>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</si>
  <si>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</si>
  <si>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</si>
  <si>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</si>
  <si>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</si>
  <si>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</si>
  <si>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</si>
  <si>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</si>
  <si>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</si>
  <si>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</si>
  <si>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</si>
  <si>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</si>
  <si>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</si>
  <si>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</si>
  <si>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</si>
  <si>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</si>
  <si>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</si>
  <si>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</si>
  <si>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</si>
  <si>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</si>
  <si>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</si>
  <si>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</si>
  <si>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</si>
  <si>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</si>
  <si>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</si>
  <si>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</si>
  <si>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</si>
  <si>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</si>
  <si>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</si>
  <si>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</si>
  <si>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</si>
  <si>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</si>
  <si>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</si>
  <si>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</si>
  <si>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</si>
  <si>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</si>
  <si>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</si>
  <si>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</si>
  <si>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</si>
  <si>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</si>
  <si>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</si>
  <si>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</si>
  <si>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</si>
  <si>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</si>
  <si>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</si>
  <si>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 "Развитие транспортной инфраструктуры Омсукчанского городского округа на 2015-2017 гг."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</si>
  <si>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</si>
  <si>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</si>
  <si>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</si>
  <si>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</si>
  <si>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</si>
  <si>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</si>
  <si>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</si>
  <si>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</si>
  <si>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</si>
  <si>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</si>
  <si>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</si>
  <si>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</si>
  <si>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</si>
  <si>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</si>
  <si>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</si>
  <si>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</si>
  <si>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</si>
  <si>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</si>
  <si>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</si>
  <si>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</si>
  <si>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</si>
  <si>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</si>
  <si>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</si>
  <si>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</si>
  <si>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</si>
  <si>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</si>
  <si>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</si>
  <si>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</si>
  <si>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</si>
  <si>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</si>
  <si>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</si>
  <si>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</si>
  <si>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</si>
  <si>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</si>
  <si>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</si>
  <si>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</si>
  <si>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</si>
  <si>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</si>
  <si>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</si>
  <si>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</si>
  <si>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</si>
  <si>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</si>
  <si>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</si>
  <si>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</si>
  <si>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</si>
  <si>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</si>
  <si>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</si>
  <si>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</si>
  <si>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</si>
  <si>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</si>
  <si>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</si>
  <si>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</si>
  <si>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</si>
  <si>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</si>
  <si>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</si>
  <si>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</si>
  <si>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</si>
  <si>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</si>
  <si>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</si>
  <si>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</si>
  <si>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</si>
  <si>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</si>
  <si>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</si>
  <si>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</si>
  <si>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</si>
  <si>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</si>
  <si>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</si>
  <si>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</si>
  <si>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</si>
  <si>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</si>
  <si>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</si>
  <si>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</si>
  <si>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</si>
  <si>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</si>
  <si>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</si>
  <si>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</si>
  <si>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</si>
  <si>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</si>
  <si>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</si>
  <si>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</si>
  <si>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</si>
  <si>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</si>
  <si>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</si>
  <si>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</si>
  <si>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</si>
  <si>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</si>
  <si>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</si>
  <si>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</si>
  <si>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</si>
  <si>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</si>
  <si>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</si>
  <si>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</si>
  <si>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</si>
  <si>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</si>
  <si>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</si>
  <si>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</si>
  <si>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</si>
  <si>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</si>
  <si>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</si>
  <si>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</si>
  <si>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</si>
  <si>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</si>
  <si>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</si>
  <si>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</si>
  <si>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</si>
  <si>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</si>
  <si>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</si>
  <si>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</si>
  <si>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</si>
  <si>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</si>
  <si>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</si>
  <si>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</si>
  <si>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</si>
  <si>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</si>
  <si>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</si>
  <si>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</si>
  <si>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</si>
  <si>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</si>
  <si>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</si>
  <si>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</si>
  <si>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</si>
  <si>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</si>
  <si>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</si>
  <si>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</si>
  <si>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</si>
  <si>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</si>
  <si>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</si>
  <si>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2 02 25519 00 0000 151</t>
  </si>
  <si>
    <t>Субсидия бюджетам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</si>
  <si>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</si>
  <si>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</si>
  <si>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</si>
  <si>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</si>
  <si>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</si>
  <si>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</si>
  <si>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</si>
  <si>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</si>
  <si>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</si>
  <si>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</si>
  <si>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</si>
  <si>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</si>
  <si>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</si>
  <si>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</si>
  <si>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</si>
  <si>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</si>
  <si>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</si>
  <si>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</si>
  <si>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</si>
  <si>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</si>
  <si>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</si>
  <si>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</si>
  <si>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</si>
  <si>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</si>
  <si>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</si>
  <si>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</si>
  <si>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</si>
  <si>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</si>
  <si>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>2 02 20051 00 0000 151</t>
  </si>
  <si>
    <t>Субсидии бюджетам на реализацию федеральных целевых программ</t>
  </si>
  <si>
    <t>2 02 20051 04 0000 151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</si>
  <si>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</si>
  <si>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</si>
  <si>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</si>
  <si>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</si>
  <si>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</si>
  <si>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</si>
  <si>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</si>
  <si>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</si>
  <si>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</si>
  <si>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</si>
  <si>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</si>
  <si>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</si>
  <si>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 xml:space="preserve"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</si>
  <si>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</si>
  <si>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</si>
  <si>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</si>
  <si>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</si>
  <si>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</si>
  <si>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</si>
  <si>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</si>
  <si>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</si>
  <si>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</si>
  <si>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</si>
  <si>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</si>
  <si>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</si>
  <si>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</si>
  <si>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</si>
  <si>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</si>
  <si>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</si>
  <si>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</si>
  <si>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</si>
  <si>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</si>
  <si>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</si>
  <si>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</si>
  <si>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</si>
  <si>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</si>
  <si>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</si>
  <si>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</si>
  <si>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</si>
  <si>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</si>
  <si>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</si>
  <si>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</si>
  <si>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</si>
  <si>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</si>
  <si>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</si>
  <si>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</si>
  <si>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</si>
  <si>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</si>
  <si>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</si>
  <si>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</si>
  <si>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</si>
  <si>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</si>
  <si>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</si>
  <si>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</si>
  <si>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</si>
  <si>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</si>
  <si>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</si>
  <si>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</si>
  <si>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</si>
  <si>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</si>
  <si>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</si>
  <si>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</si>
  <si>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</si>
  <si>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</si>
  <si>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</si>
  <si>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</si>
  <si>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</si>
  <si>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</si>
  <si>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</si>
  <si>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</si>
  <si>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</si>
  <si>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</si>
  <si>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</si>
  <si>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</si>
  <si>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</si>
  <si>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</si>
  <si>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</si>
  <si>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</si>
  <si>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</si>
  <si>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</si>
  <si>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</si>
  <si>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</si>
  <si>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</si>
  <si>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</si>
  <si>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</si>
  <si>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</si>
  <si>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</si>
  <si>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</si>
  <si>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</si>
  <si>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</si>
  <si>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</si>
  <si>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</si>
  <si>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</si>
  <si>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</si>
  <si>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</si>
  <si>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</si>
  <si>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</si>
  <si>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</si>
  <si>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</si>
  <si>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</si>
  <si>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</si>
  <si>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</si>
  <si>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</si>
  <si>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</si>
  <si>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</si>
  <si>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</si>
  <si>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</si>
  <si>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</si>
  <si>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</si>
  <si>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</si>
  <si>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</si>
  <si>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</si>
  <si>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</si>
  <si>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</si>
  <si>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</si>
  <si>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</si>
  <si>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</si>
  <si>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</si>
  <si>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</si>
  <si>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</si>
  <si>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</si>
  <si>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</si>
  <si>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</si>
  <si>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</si>
  <si>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</si>
  <si>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</si>
  <si>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</si>
  <si>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</si>
  <si>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</si>
  <si>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2018  год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</si>
  <si>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</si>
  <si>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</si>
  <si>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</si>
  <si>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</si>
  <si>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</si>
  <si>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</si>
  <si>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</si>
  <si>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</si>
  <si>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</si>
  <si>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</si>
  <si>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</si>
  <si>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</si>
  <si>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2018 год</t>
  </si>
  <si>
    <t>Муниципальная программа "Развитие муниципальной службы Омсукчанского городского округа на 2018-2020 годы"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</si>
  <si>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</si>
  <si>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66 0 00 01150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</si>
  <si>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</si>
  <si>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</si>
  <si>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</si>
  <si>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</si>
  <si>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</si>
  <si>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</si>
  <si>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</si>
  <si>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</si>
  <si>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</si>
  <si>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</si>
  <si>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</si>
  <si>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</si>
  <si>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</si>
  <si>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</si>
  <si>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 xml:space="preserve"> Прочие безвозмездные поступления в бюджеты городских округов</t>
  </si>
  <si>
    <t>68 1 00 01210</t>
  </si>
  <si>
    <t xml:space="preserve"> 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</si>
  <si>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68 3 00 01670</t>
  </si>
  <si>
    <t xml:space="preserve">68 3 00 01670 </t>
  </si>
  <si>
    <t>Ожидаемое исполнение за 2018 год</t>
  </si>
  <si>
    <t>Приложение № 3</t>
  </si>
  <si>
    <t>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</si>
  <si>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Муниципальная программа "Формирование современной городской среды муниципального образования "Омсукчанский городской округ" на 2018 год"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</si>
  <si>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</si>
  <si>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</si>
  <si>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</si>
  <si>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</si>
  <si>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</si>
  <si>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</si>
  <si>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</si>
  <si>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</si>
  <si>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</si>
  <si>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</si>
  <si>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</si>
  <si>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</t>
  </si>
  <si>
    <t>910</t>
  </si>
  <si>
    <t>к постановлению</t>
  </si>
  <si>
    <t>администрации</t>
  </si>
  <si>
    <t>городского округа</t>
  </si>
  <si>
    <t xml:space="preserve">Исполнение распределения расходов </t>
  </si>
  <si>
    <t xml:space="preserve"> классификации расходов бюджетов Российской Федерации за 1 квартал 2018 год</t>
  </si>
  <si>
    <t>План на 2018 год, тыс.руб.</t>
  </si>
  <si>
    <t>Исполнено за 1 квартал 2018года, тыс.руб.</t>
  </si>
  <si>
    <t>Процент исполнения, %</t>
  </si>
  <si>
    <t>Сумма на 2018 год, тыс.руб.</t>
  </si>
  <si>
    <t xml:space="preserve"> Исполнение распределения бюджетных ассигнований, направляемых на реализацию муниципальных программ  из бюджета Омсукчанского городского округа  за 1 квартал 2018 года</t>
  </si>
  <si>
    <t xml:space="preserve"> Исполнение по источникам внутреннего финансирования дефицита</t>
  </si>
  <si>
    <t>бюджета Омсукчанского городского округа  за 1 квартал 2018 года</t>
  </si>
  <si>
    <t>Приложение № 7</t>
  </si>
  <si>
    <t>Исполнение распределения ассигнований из бюджета Омсукчанского городского округа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1 квартал 2018 года</t>
  </si>
  <si>
    <t>Исполнение ведомственной  структуры расходов бюджета Омсукчанского городского округа за 1 квартал 2018 года</t>
  </si>
  <si>
    <t>Приложение № 2</t>
  </si>
  <si>
    <t>Исполнение распределения ассигнований, направляемых на исполнение публичных нормативных обязательств из бюджета Омсукчанского городского округа, за 1 квартал 2018 года</t>
  </si>
  <si>
    <t>Сумма исполнения, тыс. руб.</t>
  </si>
  <si>
    <t>-</t>
  </si>
  <si>
    <t>Исполнение плана поступления доходов в бюджет Омсукчанского городского округа</t>
  </si>
  <si>
    <t>за 1 квартал 2018 года</t>
  </si>
  <si>
    <t>Приложение № 1</t>
  </si>
  <si>
    <t>от 25.04.2018г. № 224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</si>
</sst>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3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20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/>
    </xf>
    <xf numFmtId="0" fontId="9" fillId="0" borderId="0" xfId="0" applyFont="1"/>
    <xf numFmtId="164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4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0" fontId="1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64" fontId="2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2" fillId="0" borderId="2" xfId="0" applyFont="1" applyBorder="1"/>
    <xf numFmtId="0" fontId="2" fillId="0" borderId="0" xfId="0" applyFont="1"/>
    <xf numFmtId="0" fontId="17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8" fillId="0" borderId="2" xfId="0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0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4" fontId="2" fillId="4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164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4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1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5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9" fillId="0" borderId="0" xfId="0" applyFont="1" applyFill="1" applyBorder="1"/>
    <xf numFmtId="164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5" xfId="1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7" fillId="0" borderId="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4" fontId="1" fillId="6" borderId="2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164" fontId="1" fillId="6" borderId="2" xfId="1" applyNumberFormat="1" applyFont="1" applyFill="1" applyBorder="1" applyAlignment="1">
      <alignment horizontal="center" vertical="center" wrapText="1"/>
    </xf>
    <xf numFmtId="164" fontId="1" fillId="6" borderId="8" xfId="1" applyNumberFormat="1" applyFont="1" applyFill="1" applyBorder="1" applyAlignment="1" applyProtection="1">
      <alignment horizontal="center" vertical="center" shrinkToFit="1"/>
      <protection locked="0"/>
    </xf>
    <xf numFmtId="164" fontId="1" fillId="6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64" fontId="1" fillId="7" borderId="2" xfId="1" applyNumberFormat="1" applyFont="1" applyFill="1" applyBorder="1" applyAlignment="1">
      <alignment horizontal="center" vertical="center" wrapText="1"/>
    </xf>
    <xf numFmtId="164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9" xfId="1" applyNumberFormat="1" applyFont="1" applyFill="1" applyBorder="1" applyAlignment="1">
      <alignment horizontal="left" vertical="center"/>
    </xf>
    <xf numFmtId="164" fontId="1" fillId="7" borderId="2" xfId="1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right" vertical="top" wrapText="1"/>
    </xf>
    <xf numFmtId="0" fontId="7" fillId="0" borderId="3" xfId="0" applyNumberFormat="1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4" fontId="28" fillId="0" borderId="0" xfId="0" applyNumberFormat="1" applyFont="1" applyFill="1"/>
    <xf numFmtId="164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49" fontId="30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>
      <alignment vertical="center" wrapText="1"/>
    </xf>
    <xf numFmtId="4" fontId="8" fillId="0" borderId="0" xfId="1" applyNumberFormat="1" applyFont="1" applyFill="1"/>
    <xf numFmtId="0" fontId="1" fillId="3" borderId="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/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164" fontId="32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4" fontId="33" fillId="0" borderId="2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164" fontId="34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36" fillId="0" borderId="2" xfId="0" applyNumberFormat="1" applyFont="1" applyFill="1" applyBorder="1" applyAlignment="1">
      <alignment horizontal="center" vertical="center" wrapText="1"/>
    </xf>
    <xf numFmtId="164" fontId="36" fillId="0" borderId="2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" fontId="1" fillId="0" borderId="2" xfId="3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164" fontId="12" fillId="0" borderId="15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/>
    </xf>
    <xf numFmtId="164" fontId="37" fillId="0" borderId="2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vertical="top" wrapText="1"/>
    </xf>
    <xf numFmtId="164" fontId="32" fillId="0" borderId="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164" fontId="13" fillId="0" borderId="2" xfId="1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/>
    <xf numFmtId="0" fontId="11" fillId="0" borderId="3" xfId="0" applyFont="1" applyFill="1" applyBorder="1" applyAlignment="1">
      <alignment horizontal="left" vertical="center" wrapText="1"/>
    </xf>
    <xf numFmtId="0" fontId="13" fillId="0" borderId="0" xfId="1" applyFont="1" applyFill="1"/>
    <xf numFmtId="0" fontId="1" fillId="0" borderId="3" xfId="0" applyFont="1" applyFill="1" applyBorder="1" applyAlignment="1">
      <alignment horizontal="left" vertical="center" wrapText="1"/>
    </xf>
    <xf numFmtId="0" fontId="38" fillId="0" borderId="0" xfId="0" applyFont="1" applyFill="1"/>
    <xf numFmtId="0" fontId="13" fillId="0" borderId="0" xfId="0" applyFont="1"/>
    <xf numFmtId="0" fontId="1" fillId="0" borderId="3" xfId="0" applyFont="1" applyFill="1" applyBorder="1" applyAlignment="1">
      <alignment horizontal="justify" wrapText="1"/>
    </xf>
    <xf numFmtId="0" fontId="1" fillId="0" borderId="3" xfId="1" applyNumberFormat="1" applyFont="1" applyFill="1" applyBorder="1" applyAlignment="1">
      <alignment horizontal="left" vertical="top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vertical="center" wrapText="1"/>
    </xf>
    <xf numFmtId="164" fontId="12" fillId="0" borderId="11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left" vertical="top" wrapText="1"/>
    </xf>
    <xf numFmtId="164" fontId="1" fillId="4" borderId="2" xfId="1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view="pageBreakPreview" topLeftCell="A136" zoomScale="90" zoomScaleNormal="95" zoomScaleSheetLayoutView="90" workbookViewId="0">
      <selection activeCell="N150" sqref="N150"/>
    </sheetView>
  </sheetViews>
  <sheetFormatPr defaultRowHeight="15"/>
  <cols>
    <col min="1" max="1" width="25.140625" style="153" customWidth="1"/>
    <col min="2" max="2" width="78.85546875" style="153" customWidth="1"/>
    <col min="3" max="8" width="15.42578125" style="153" hidden="1" customWidth="1"/>
    <col min="9" max="9" width="18.7109375" style="153" customWidth="1"/>
    <col min="10" max="10" width="12.7109375" style="153" hidden="1" customWidth="1"/>
    <col min="11" max="11" width="12.5703125" style="153" hidden="1" customWidth="1"/>
    <col min="12" max="12" width="11.85546875" style="153" hidden="1" customWidth="1"/>
    <col min="13" max="13" width="16.28515625" style="153" customWidth="1"/>
    <col min="14" max="14" width="18.7109375" style="153" customWidth="1"/>
    <col min="15" max="15" width="15" style="153" customWidth="1"/>
    <col min="16" max="16" width="15.85546875" style="153" customWidth="1"/>
    <col min="17" max="17" width="9.140625" style="153"/>
    <col min="18" max="18" width="17" style="153" customWidth="1"/>
    <col min="19" max="16384" width="9.140625" style="153"/>
  </cols>
  <sheetData>
    <row r="1" spans="1:16" ht="18.75">
      <c r="H1" s="230"/>
      <c r="M1" s="277" t="s">
        <v>1020</v>
      </c>
    </row>
    <row r="2" spans="1:16" ht="18.75">
      <c r="H2" s="230"/>
      <c r="M2" s="277" t="s">
        <v>999</v>
      </c>
    </row>
    <row r="3" spans="1:16" ht="18.75">
      <c r="H3" s="230"/>
      <c r="M3" s="277" t="s">
        <v>1000</v>
      </c>
    </row>
    <row r="4" spans="1:16" ht="18.75">
      <c r="H4" s="230"/>
      <c r="M4" s="277" t="s">
        <v>1001</v>
      </c>
    </row>
    <row r="5" spans="1:16" ht="18.75">
      <c r="H5" s="230"/>
      <c r="M5" s="277" t="s">
        <v>1021</v>
      </c>
    </row>
    <row r="6" spans="1:16" ht="15.75">
      <c r="B6" s="155"/>
      <c r="C6" s="155"/>
      <c r="D6" s="155"/>
      <c r="E6" s="155"/>
      <c r="F6" s="155"/>
      <c r="G6" s="155"/>
      <c r="H6" s="155"/>
      <c r="I6" s="155"/>
      <c r="M6" s="155"/>
      <c r="N6" s="155"/>
    </row>
    <row r="7" spans="1:16" ht="15.75">
      <c r="A7" s="298" t="s">
        <v>1018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</row>
    <row r="8" spans="1:16" ht="15.75">
      <c r="A8" s="298" t="s">
        <v>1019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</row>
    <row r="9" spans="1:16" ht="15.75">
      <c r="A9" s="298"/>
      <c r="B9" s="298"/>
      <c r="C9" s="298"/>
      <c r="D9" s="298"/>
      <c r="E9" s="298"/>
      <c r="F9" s="298"/>
      <c r="G9" s="298"/>
      <c r="H9" s="298"/>
      <c r="I9" s="298"/>
    </row>
    <row r="10" spans="1:16" ht="15.75">
      <c r="A10" s="156"/>
      <c r="B10" s="156"/>
      <c r="C10" s="228"/>
      <c r="D10" s="228"/>
      <c r="E10" s="228"/>
      <c r="F10" s="228"/>
      <c r="G10" s="228"/>
      <c r="H10" s="228"/>
      <c r="I10" s="154"/>
      <c r="M10" s="154"/>
      <c r="N10" s="154"/>
    </row>
    <row r="11" spans="1:16" ht="63">
      <c r="A11" s="157" t="s">
        <v>2</v>
      </c>
      <c r="B11" s="158" t="s">
        <v>3</v>
      </c>
      <c r="C11" s="229" t="s">
        <v>4</v>
      </c>
      <c r="D11" s="229" t="s">
        <v>891</v>
      </c>
      <c r="E11" s="229" t="s">
        <v>870</v>
      </c>
      <c r="F11" s="229" t="s">
        <v>890</v>
      </c>
      <c r="G11" s="229" t="s">
        <v>887</v>
      </c>
      <c r="H11" s="229" t="s">
        <v>888</v>
      </c>
      <c r="I11" s="296" t="s">
        <v>1004</v>
      </c>
      <c r="J11" s="296" t="s">
        <v>1005</v>
      </c>
      <c r="K11" s="296" t="s">
        <v>1006</v>
      </c>
      <c r="M11" s="295" t="s">
        <v>1016</v>
      </c>
      <c r="N11" s="295" t="s">
        <v>1006</v>
      </c>
    </row>
    <row r="12" spans="1:16" ht="15.75">
      <c r="A12" s="157">
        <v>1</v>
      </c>
      <c r="B12" s="158">
        <v>2</v>
      </c>
      <c r="C12" s="158">
        <v>3</v>
      </c>
      <c r="D12" s="158">
        <v>4</v>
      </c>
      <c r="E12" s="158">
        <v>5</v>
      </c>
      <c r="F12" s="158">
        <v>6</v>
      </c>
      <c r="G12" s="158">
        <v>7</v>
      </c>
      <c r="H12" s="158">
        <v>8</v>
      </c>
      <c r="I12" s="272">
        <v>3</v>
      </c>
      <c r="M12" s="295">
        <v>4</v>
      </c>
      <c r="N12" s="295">
        <v>5</v>
      </c>
    </row>
    <row r="13" spans="1:16" ht="18.75">
      <c r="A13" s="159" t="s">
        <v>5</v>
      </c>
      <c r="B13" s="160" t="s">
        <v>6</v>
      </c>
      <c r="C13" s="243">
        <f>C14+C20+C26+C35+C41+C47+C53+C59+C64+C69+C44+C86</f>
        <v>272834.3</v>
      </c>
      <c r="D13" s="243">
        <f t="shared" ref="D13:I13" si="0">D14+D20+D26+D35+D41+D47+D53+D59+D64+D69+D44+D86</f>
        <v>208905.14299999998</v>
      </c>
      <c r="E13" s="243">
        <f t="shared" si="0"/>
        <v>264415.23333333334</v>
      </c>
      <c r="F13" s="243">
        <f t="shared" si="0"/>
        <v>294509.2</v>
      </c>
      <c r="G13" s="243">
        <f t="shared" si="0"/>
        <v>307411.89999999997</v>
      </c>
      <c r="H13" s="243">
        <f t="shared" si="0"/>
        <v>320557.25</v>
      </c>
      <c r="I13" s="243">
        <f t="shared" si="0"/>
        <v>273316.40000000002</v>
      </c>
      <c r="J13" s="140">
        <f>I13+I93+I106+21968</f>
        <v>479880.4</v>
      </c>
      <c r="K13" s="153">
        <v>460322.4</v>
      </c>
      <c r="L13" s="140">
        <f>J13-K13</f>
        <v>19558</v>
      </c>
      <c r="M13" s="243">
        <v>71787.992280000006</v>
      </c>
      <c r="N13" s="243">
        <v>26.265526796050292</v>
      </c>
      <c r="P13" s="140"/>
    </row>
    <row r="14" spans="1:16" ht="18.75">
      <c r="A14" s="161" t="s">
        <v>7</v>
      </c>
      <c r="B14" s="160" t="s">
        <v>8</v>
      </c>
      <c r="C14" s="243">
        <f>C15</f>
        <v>207151</v>
      </c>
      <c r="D14" s="243">
        <f t="shared" ref="D14" si="1">D15</f>
        <v>150019.49999999997</v>
      </c>
      <c r="E14" s="243">
        <f>E15</f>
        <v>200105.63333333333</v>
      </c>
      <c r="F14" s="243">
        <f>F15</f>
        <v>231677</v>
      </c>
      <c r="G14" s="243">
        <f t="shared" ref="G14:H14" si="2">G15</f>
        <v>243260.4</v>
      </c>
      <c r="H14" s="243">
        <f t="shared" si="2"/>
        <v>255423.75</v>
      </c>
      <c r="I14" s="243">
        <f>I15</f>
        <v>231677</v>
      </c>
      <c r="J14" s="140"/>
      <c r="L14" s="140"/>
      <c r="M14" s="243">
        <v>52957.26</v>
      </c>
      <c r="N14" s="243">
        <v>22.858229345165899</v>
      </c>
      <c r="O14" s="140"/>
      <c r="P14" s="140"/>
    </row>
    <row r="15" spans="1:16" ht="18.75">
      <c r="A15" s="162" t="s">
        <v>9</v>
      </c>
      <c r="B15" s="163" t="s">
        <v>10</v>
      </c>
      <c r="C15" s="243">
        <f>SUM(C16:C19)</f>
        <v>207151</v>
      </c>
      <c r="D15" s="243">
        <f t="shared" ref="D15" si="3">SUM(D16:D19)</f>
        <v>150019.49999999997</v>
      </c>
      <c r="E15" s="243">
        <f>SUM(E16:E19)</f>
        <v>200105.63333333333</v>
      </c>
      <c r="F15" s="243">
        <f>SUM(F16:F19)</f>
        <v>231677</v>
      </c>
      <c r="G15" s="243">
        <f t="shared" ref="G15:H15" si="4">SUM(G16:G19)</f>
        <v>243260.4</v>
      </c>
      <c r="H15" s="243">
        <f t="shared" si="4"/>
        <v>255423.75</v>
      </c>
      <c r="I15" s="243">
        <f>SUM(I16:I19)</f>
        <v>231677</v>
      </c>
      <c r="J15" s="140"/>
      <c r="L15" s="140"/>
      <c r="M15" s="243">
        <v>52957.26</v>
      </c>
      <c r="N15" s="243">
        <v>22.858229345165899</v>
      </c>
      <c r="O15" s="140"/>
      <c r="P15" s="140"/>
    </row>
    <row r="16" spans="1:16" ht="63">
      <c r="A16" s="272" t="s">
        <v>11</v>
      </c>
      <c r="B16" s="164" t="s">
        <v>12</v>
      </c>
      <c r="C16" s="244">
        <f>216801-10000</f>
        <v>206801</v>
      </c>
      <c r="D16" s="244">
        <v>149524.9</v>
      </c>
      <c r="E16" s="244">
        <f>D16/9*12</f>
        <v>199366.53333333333</v>
      </c>
      <c r="F16" s="244">
        <v>231300</v>
      </c>
      <c r="G16" s="244">
        <f>F16*1.05</f>
        <v>242865</v>
      </c>
      <c r="H16" s="244">
        <f>G16*1.05</f>
        <v>255008.25</v>
      </c>
      <c r="I16" s="244">
        <f>F16</f>
        <v>231300</v>
      </c>
      <c r="M16" s="244">
        <v>52942.93</v>
      </c>
      <c r="N16" s="244">
        <v>22.889290964115865</v>
      </c>
    </row>
    <row r="17" spans="1:14" ht="94.5">
      <c r="A17" s="272" t="s">
        <v>13</v>
      </c>
      <c r="B17" s="166" t="s">
        <v>14</v>
      </c>
      <c r="C17" s="244">
        <v>2</v>
      </c>
      <c r="D17" s="244">
        <v>0.3</v>
      </c>
      <c r="E17" s="244">
        <v>0.5</v>
      </c>
      <c r="F17" s="244">
        <v>2</v>
      </c>
      <c r="G17" s="244">
        <v>2</v>
      </c>
      <c r="H17" s="244">
        <v>2</v>
      </c>
      <c r="I17" s="244">
        <v>2</v>
      </c>
      <c r="M17" s="244">
        <v>1.2</v>
      </c>
      <c r="N17" s="244">
        <v>60</v>
      </c>
    </row>
    <row r="18" spans="1:14" ht="47.25">
      <c r="A18" s="272" t="s">
        <v>15</v>
      </c>
      <c r="B18" s="166" t="s">
        <v>16</v>
      </c>
      <c r="C18" s="244">
        <v>337</v>
      </c>
      <c r="D18" s="244">
        <v>494.3</v>
      </c>
      <c r="E18" s="244">
        <v>738.6</v>
      </c>
      <c r="F18" s="244">
        <v>369</v>
      </c>
      <c r="G18" s="244">
        <v>387.4</v>
      </c>
      <c r="H18" s="244">
        <v>407</v>
      </c>
      <c r="I18" s="244">
        <v>369</v>
      </c>
      <c r="M18" s="244">
        <v>17.899999999999999</v>
      </c>
      <c r="N18" s="244">
        <v>4.8509485094850948</v>
      </c>
    </row>
    <row r="19" spans="1:14" ht="78.75">
      <c r="A19" s="272" t="s">
        <v>17</v>
      </c>
      <c r="B19" s="166" t="s">
        <v>18</v>
      </c>
      <c r="C19" s="244">
        <v>11</v>
      </c>
      <c r="D19" s="244">
        <v>0</v>
      </c>
      <c r="E19" s="244">
        <v>0</v>
      </c>
      <c r="F19" s="244">
        <v>6</v>
      </c>
      <c r="G19" s="244">
        <v>6</v>
      </c>
      <c r="H19" s="244">
        <v>6.5</v>
      </c>
      <c r="I19" s="244">
        <v>6</v>
      </c>
      <c r="M19" s="244">
        <v>-4.7699999999999996</v>
      </c>
      <c r="N19" s="244">
        <v>-79.5</v>
      </c>
    </row>
    <row r="20" spans="1:14" ht="31.5">
      <c r="A20" s="167" t="s">
        <v>19</v>
      </c>
      <c r="B20" s="168" t="s">
        <v>20</v>
      </c>
      <c r="C20" s="243">
        <f>C21</f>
        <v>3358</v>
      </c>
      <c r="D20" s="243">
        <f>D21</f>
        <v>2843.5889999999999</v>
      </c>
      <c r="E20" s="243">
        <f>E21</f>
        <v>3120</v>
      </c>
      <c r="F20" s="243">
        <f>F21</f>
        <v>3510</v>
      </c>
      <c r="G20" s="243">
        <f t="shared" ref="G20:H20" si="5">G21</f>
        <v>3951.3</v>
      </c>
      <c r="H20" s="243">
        <f t="shared" si="5"/>
        <v>3951.3</v>
      </c>
      <c r="I20" s="243">
        <f>I21</f>
        <v>3803.2000000000003</v>
      </c>
      <c r="M20" s="243">
        <v>901.36</v>
      </c>
      <c r="N20" s="243">
        <v>23.700042069835927</v>
      </c>
    </row>
    <row r="21" spans="1:14" ht="31.5">
      <c r="A21" s="239" t="s">
        <v>21</v>
      </c>
      <c r="B21" s="240" t="s">
        <v>22</v>
      </c>
      <c r="C21" s="243">
        <f>SUM(C22:C25)</f>
        <v>3358</v>
      </c>
      <c r="D21" s="243">
        <f t="shared" ref="D21:I21" si="6">SUM(D22:D25)</f>
        <v>2843.5889999999999</v>
      </c>
      <c r="E21" s="243">
        <f t="shared" si="6"/>
        <v>3120</v>
      </c>
      <c r="F21" s="243">
        <f t="shared" si="6"/>
        <v>3510</v>
      </c>
      <c r="G21" s="243">
        <f t="shared" si="6"/>
        <v>3951.3</v>
      </c>
      <c r="H21" s="243">
        <f t="shared" si="6"/>
        <v>3951.3</v>
      </c>
      <c r="I21" s="243">
        <f t="shared" si="6"/>
        <v>3803.2000000000003</v>
      </c>
      <c r="M21" s="243">
        <v>901.36</v>
      </c>
      <c r="N21" s="243">
        <v>23.700042069835927</v>
      </c>
    </row>
    <row r="22" spans="1:14" ht="63">
      <c r="A22" s="169" t="s">
        <v>23</v>
      </c>
      <c r="B22" s="166" t="s">
        <v>24</v>
      </c>
      <c r="C22" s="244">
        <v>1191.5</v>
      </c>
      <c r="D22" s="244">
        <v>1149.8</v>
      </c>
      <c r="E22" s="244">
        <v>1191.5</v>
      </c>
      <c r="F22" s="244">
        <v>1138.3</v>
      </c>
      <c r="G22" s="244">
        <v>1277.2</v>
      </c>
      <c r="H22" s="244">
        <v>1277.2</v>
      </c>
      <c r="I22" s="244">
        <v>1318</v>
      </c>
      <c r="M22" s="244">
        <v>371.35</v>
      </c>
      <c r="N22" s="244">
        <v>28.175265553869501</v>
      </c>
    </row>
    <row r="23" spans="1:14" ht="78.75">
      <c r="A23" s="273" t="s">
        <v>25</v>
      </c>
      <c r="B23" s="166" t="s">
        <v>26</v>
      </c>
      <c r="C23" s="244">
        <v>18.100000000000001</v>
      </c>
      <c r="D23" s="244">
        <v>12.244999999999999</v>
      </c>
      <c r="E23" s="244">
        <v>18.100000000000001</v>
      </c>
      <c r="F23" s="244">
        <v>10.4</v>
      </c>
      <c r="G23" s="244">
        <v>11</v>
      </c>
      <c r="H23" s="244">
        <v>11</v>
      </c>
      <c r="I23" s="244">
        <v>10.9</v>
      </c>
      <c r="M23" s="244">
        <v>2.5</v>
      </c>
      <c r="N23" s="244">
        <v>22.935779816513762</v>
      </c>
    </row>
    <row r="24" spans="1:14" ht="63">
      <c r="A24" s="273" t="s">
        <v>27</v>
      </c>
      <c r="B24" s="166" t="s">
        <v>28</v>
      </c>
      <c r="C24" s="245">
        <v>2148.4</v>
      </c>
      <c r="D24" s="245">
        <v>1919.5</v>
      </c>
      <c r="E24" s="245">
        <v>2148.4</v>
      </c>
      <c r="F24" s="245">
        <v>2361.3000000000002</v>
      </c>
      <c r="G24" s="245">
        <v>2663.1</v>
      </c>
      <c r="H24" s="245">
        <v>2663.1</v>
      </c>
      <c r="I24" s="245">
        <v>2474.3000000000002</v>
      </c>
      <c r="M24" s="245">
        <v>604.89</v>
      </c>
      <c r="N24" s="245">
        <v>24.446914278785918</v>
      </c>
    </row>
    <row r="25" spans="1:14" ht="63" hidden="1">
      <c r="A25" s="6" t="s">
        <v>896</v>
      </c>
      <c r="B25" s="286" t="s">
        <v>897</v>
      </c>
      <c r="C25" s="244">
        <v>0</v>
      </c>
      <c r="D25" s="244">
        <v>-237.95599999999999</v>
      </c>
      <c r="E25" s="244">
        <v>-238</v>
      </c>
      <c r="F25" s="244">
        <v>0</v>
      </c>
      <c r="G25" s="244">
        <v>0</v>
      </c>
      <c r="H25" s="244">
        <v>0</v>
      </c>
      <c r="I25" s="244">
        <v>0</v>
      </c>
      <c r="M25" s="244">
        <v>-77.38</v>
      </c>
      <c r="N25" s="244" t="s">
        <v>1017</v>
      </c>
    </row>
    <row r="26" spans="1:14" ht="18.75">
      <c r="A26" s="162" t="s">
        <v>29</v>
      </c>
      <c r="B26" s="163" t="s">
        <v>30</v>
      </c>
      <c r="C26" s="243">
        <f>SUM(C27+C31+C34)</f>
        <v>20489.8</v>
      </c>
      <c r="D26" s="243">
        <f>SUM(D27+D31+D34)</f>
        <v>14361.39</v>
      </c>
      <c r="E26" s="243">
        <f>SUM(E27+E31+E34)</f>
        <v>20474.900000000001</v>
      </c>
      <c r="F26" s="243">
        <f>SUM(F27+F31+F34)</f>
        <v>21474</v>
      </c>
      <c r="G26" s="243">
        <f t="shared" ref="G26:H26" si="7">SUM(G27+G31+G34)</f>
        <v>21923</v>
      </c>
      <c r="H26" s="243">
        <f t="shared" si="7"/>
        <v>22493</v>
      </c>
      <c r="I26" s="243">
        <f>SUM(I27+I31+I34)</f>
        <v>18339</v>
      </c>
      <c r="J26" s="153">
        <v>20489.8</v>
      </c>
      <c r="K26" s="262">
        <f>I26/J26*100-100</f>
        <v>-10.496930179894377</v>
      </c>
      <c r="M26" s="243">
        <v>5400.4622799999997</v>
      </c>
      <c r="N26" s="243">
        <v>29.447964883581434</v>
      </c>
    </row>
    <row r="27" spans="1:14" ht="31.5">
      <c r="A27" s="159" t="s">
        <v>31</v>
      </c>
      <c r="B27" s="163" t="s">
        <v>32</v>
      </c>
      <c r="C27" s="243">
        <f>SUM(C28:C30)</f>
        <v>10695.8</v>
      </c>
      <c r="D27" s="243">
        <f>SUM(D28:D30)</f>
        <v>7511.09</v>
      </c>
      <c r="E27" s="243">
        <f>SUM(E28:E30)</f>
        <v>10695.9</v>
      </c>
      <c r="F27" s="243">
        <f>SUM(F28:F30)</f>
        <v>11370</v>
      </c>
      <c r="G27" s="243">
        <f t="shared" ref="G27:H27" si="8">SUM(G28:G30)</f>
        <v>11813</v>
      </c>
      <c r="H27" s="243">
        <f t="shared" si="8"/>
        <v>12333</v>
      </c>
      <c r="I27" s="243">
        <f>SUM(I28:I30)</f>
        <v>8235</v>
      </c>
      <c r="M27" s="243">
        <v>2764.5264299999999</v>
      </c>
      <c r="N27" s="243">
        <v>33.570448451730414</v>
      </c>
    </row>
    <row r="28" spans="1:14" ht="31.5">
      <c r="A28" s="157" t="s">
        <v>33</v>
      </c>
      <c r="B28" s="170" t="s">
        <v>34</v>
      </c>
      <c r="C28" s="244">
        <f>10695.8/2</f>
        <v>5347.9</v>
      </c>
      <c r="D28" s="244">
        <f>5410.4</f>
        <v>5410.4</v>
      </c>
      <c r="E28" s="244">
        <f>10695.8/2</f>
        <v>5347.9</v>
      </c>
      <c r="F28" s="244">
        <v>5685</v>
      </c>
      <c r="G28" s="246">
        <v>5906.5</v>
      </c>
      <c r="H28" s="246">
        <v>6166.5</v>
      </c>
      <c r="I28" s="244">
        <v>4117.5</v>
      </c>
      <c r="M28" s="244">
        <v>2586.92643</v>
      </c>
      <c r="N28" s="244">
        <v>62.827599999999997</v>
      </c>
    </row>
    <row r="29" spans="1:14" ht="78.75" hidden="1">
      <c r="A29" s="157" t="s">
        <v>898</v>
      </c>
      <c r="B29" s="170" t="s">
        <v>899</v>
      </c>
      <c r="C29" s="244">
        <v>0</v>
      </c>
      <c r="D29" s="247">
        <v>0.09</v>
      </c>
      <c r="E29" s="244">
        <v>0.1</v>
      </c>
      <c r="F29" s="244">
        <v>0</v>
      </c>
      <c r="G29" s="246">
        <v>0</v>
      </c>
      <c r="H29" s="246">
        <v>0</v>
      </c>
      <c r="I29" s="244">
        <v>0</v>
      </c>
      <c r="M29" s="244">
        <v>0</v>
      </c>
      <c r="N29" s="244" t="e">
        <v>#DIV/0!</v>
      </c>
    </row>
    <row r="30" spans="1:14" ht="63">
      <c r="A30" s="157" t="s">
        <v>35</v>
      </c>
      <c r="B30" s="170" t="s">
        <v>36</v>
      </c>
      <c r="C30" s="244">
        <f>10695.8/2</f>
        <v>5347.9</v>
      </c>
      <c r="D30" s="244">
        <v>2100.6</v>
      </c>
      <c r="E30" s="244">
        <f>10695.8/2</f>
        <v>5347.9</v>
      </c>
      <c r="F30" s="244">
        <v>5685</v>
      </c>
      <c r="G30" s="246">
        <v>5906.5</v>
      </c>
      <c r="H30" s="246">
        <v>6166.5</v>
      </c>
      <c r="I30" s="244">
        <v>4117.5</v>
      </c>
      <c r="M30" s="244">
        <v>177.6</v>
      </c>
      <c r="N30" s="244">
        <v>4.3132969034608379</v>
      </c>
    </row>
    <row r="31" spans="1:14" ht="18.75">
      <c r="A31" s="159" t="s">
        <v>37</v>
      </c>
      <c r="B31" s="163" t="s">
        <v>38</v>
      </c>
      <c r="C31" s="243">
        <f>SUM(C32:C33)</f>
        <v>9639</v>
      </c>
      <c r="D31" s="243">
        <f t="shared" ref="D31:I31" si="9">SUM(D32:D33)</f>
        <v>6707.8</v>
      </c>
      <c r="E31" s="243">
        <f t="shared" si="9"/>
        <v>9624</v>
      </c>
      <c r="F31" s="243">
        <f t="shared" si="9"/>
        <v>9894</v>
      </c>
      <c r="G31" s="243">
        <f t="shared" si="9"/>
        <v>9900</v>
      </c>
      <c r="H31" s="243">
        <f t="shared" si="9"/>
        <v>9950</v>
      </c>
      <c r="I31" s="243">
        <f t="shared" si="9"/>
        <v>9894</v>
      </c>
      <c r="M31" s="243">
        <v>2536.6909999999998</v>
      </c>
      <c r="N31" s="243">
        <v>25.638680008085707</v>
      </c>
    </row>
    <row r="32" spans="1:14" ht="18.75">
      <c r="A32" s="272" t="s">
        <v>39</v>
      </c>
      <c r="B32" s="164" t="s">
        <v>38</v>
      </c>
      <c r="C32" s="244">
        <v>9639</v>
      </c>
      <c r="D32" s="244">
        <v>6722.8</v>
      </c>
      <c r="E32" s="244">
        <v>9639</v>
      </c>
      <c r="F32" s="244">
        <v>9894</v>
      </c>
      <c r="G32" s="244">
        <v>9900</v>
      </c>
      <c r="H32" s="244">
        <v>9950</v>
      </c>
      <c r="I32" s="244">
        <v>9894</v>
      </c>
      <c r="M32" s="244">
        <v>2536.6909999999998</v>
      </c>
      <c r="N32" s="244">
        <v>25.638680008085707</v>
      </c>
    </row>
    <row r="33" spans="1:14" ht="47.25" hidden="1">
      <c r="A33" s="6" t="s">
        <v>900</v>
      </c>
      <c r="B33" s="237" t="s">
        <v>901</v>
      </c>
      <c r="C33" s="244">
        <v>0</v>
      </c>
      <c r="D33" s="244">
        <v>-15</v>
      </c>
      <c r="E33" s="244">
        <v>-15</v>
      </c>
      <c r="F33" s="244">
        <v>0</v>
      </c>
      <c r="G33" s="244">
        <v>0</v>
      </c>
      <c r="H33" s="244">
        <v>0</v>
      </c>
      <c r="I33" s="244">
        <v>0</v>
      </c>
      <c r="M33" s="244"/>
      <c r="N33" s="244" t="e">
        <v>#DIV/0!</v>
      </c>
    </row>
    <row r="34" spans="1:14" ht="31.5">
      <c r="A34" s="159" t="s">
        <v>40</v>
      </c>
      <c r="B34" s="171" t="s">
        <v>41</v>
      </c>
      <c r="C34" s="243">
        <v>155</v>
      </c>
      <c r="D34" s="243">
        <v>142.5</v>
      </c>
      <c r="E34" s="243">
        <v>155</v>
      </c>
      <c r="F34" s="243">
        <v>210</v>
      </c>
      <c r="G34" s="243">
        <v>210</v>
      </c>
      <c r="H34" s="243">
        <v>210</v>
      </c>
      <c r="I34" s="243">
        <v>210</v>
      </c>
      <c r="M34" s="243">
        <v>99.24485</v>
      </c>
      <c r="N34" s="243">
        <v>47.259452380952382</v>
      </c>
    </row>
    <row r="35" spans="1:14" ht="18.75">
      <c r="A35" s="162" t="s">
        <v>42</v>
      </c>
      <c r="B35" s="163" t="s">
        <v>43</v>
      </c>
      <c r="C35" s="243">
        <f>C36+C38</f>
        <v>383</v>
      </c>
      <c r="D35" s="243">
        <f t="shared" ref="D35" si="10">D36+D38</f>
        <v>76.900000000000006</v>
      </c>
      <c r="E35" s="243">
        <f>E36+E38</f>
        <v>383</v>
      </c>
      <c r="F35" s="243">
        <f>F36+F38</f>
        <v>974</v>
      </c>
      <c r="G35" s="243">
        <f t="shared" ref="G35:H35" si="11">G36+G38</f>
        <v>1311</v>
      </c>
      <c r="H35" s="243">
        <f t="shared" si="11"/>
        <v>1648</v>
      </c>
      <c r="I35" s="243">
        <f>I36+I38</f>
        <v>974</v>
      </c>
      <c r="M35" s="243">
        <v>145.29000000000002</v>
      </c>
      <c r="N35" s="243">
        <v>14.916837782340863</v>
      </c>
    </row>
    <row r="36" spans="1:14" ht="18.75">
      <c r="A36" s="162" t="s">
        <v>44</v>
      </c>
      <c r="B36" s="163" t="s">
        <v>45</v>
      </c>
      <c r="C36" s="243">
        <f>C37</f>
        <v>71</v>
      </c>
      <c r="D36" s="243">
        <f t="shared" ref="D36" si="12">D37</f>
        <v>48</v>
      </c>
      <c r="E36" s="243">
        <f>E37</f>
        <v>71</v>
      </c>
      <c r="F36" s="243">
        <f>F37</f>
        <v>652</v>
      </c>
      <c r="G36" s="243">
        <f t="shared" ref="G36:H36" si="13">G37</f>
        <v>978</v>
      </c>
      <c r="H36" s="243">
        <f t="shared" si="13"/>
        <v>1304</v>
      </c>
      <c r="I36" s="243">
        <f>I37</f>
        <v>652</v>
      </c>
      <c r="M36" s="243">
        <v>67.53</v>
      </c>
      <c r="N36" s="243">
        <v>10.357361963190185</v>
      </c>
    </row>
    <row r="37" spans="1:14" ht="38.25" customHeight="1">
      <c r="A37" s="272" t="s">
        <v>46</v>
      </c>
      <c r="B37" s="170" t="s">
        <v>47</v>
      </c>
      <c r="C37" s="244">
        <v>71</v>
      </c>
      <c r="D37" s="244">
        <v>48</v>
      </c>
      <c r="E37" s="244">
        <v>71</v>
      </c>
      <c r="F37" s="244">
        <v>652</v>
      </c>
      <c r="G37" s="246">
        <v>978</v>
      </c>
      <c r="H37" s="246">
        <v>1304</v>
      </c>
      <c r="I37" s="244">
        <v>652</v>
      </c>
      <c r="M37" s="244">
        <v>67.53</v>
      </c>
      <c r="N37" s="244">
        <v>10.357361963190185</v>
      </c>
    </row>
    <row r="38" spans="1:14" ht="18.75">
      <c r="A38" s="162" t="s">
        <v>48</v>
      </c>
      <c r="B38" s="163" t="s">
        <v>49</v>
      </c>
      <c r="C38" s="243">
        <f>C40+C39</f>
        <v>312</v>
      </c>
      <c r="D38" s="243">
        <f t="shared" ref="D38" si="14">D40+D39</f>
        <v>28.900000000000002</v>
      </c>
      <c r="E38" s="243">
        <f>E40+E39</f>
        <v>312</v>
      </c>
      <c r="F38" s="243">
        <f>F40+F39</f>
        <v>322</v>
      </c>
      <c r="G38" s="243">
        <f t="shared" ref="G38:H38" si="15">G40+G39</f>
        <v>333</v>
      </c>
      <c r="H38" s="243">
        <f t="shared" si="15"/>
        <v>344</v>
      </c>
      <c r="I38" s="243">
        <f>I40+I39</f>
        <v>322</v>
      </c>
      <c r="M38" s="243">
        <v>77.760000000000005</v>
      </c>
      <c r="N38" s="243">
        <v>24.149068322981368</v>
      </c>
    </row>
    <row r="39" spans="1:14" ht="31.5">
      <c r="A39" s="272" t="s">
        <v>50</v>
      </c>
      <c r="B39" s="170" t="s">
        <v>51</v>
      </c>
      <c r="C39" s="244">
        <v>167</v>
      </c>
      <c r="D39" s="244">
        <v>39.700000000000003</v>
      </c>
      <c r="E39" s="244">
        <v>167</v>
      </c>
      <c r="F39" s="244">
        <v>172</v>
      </c>
      <c r="G39" s="244">
        <v>173</v>
      </c>
      <c r="H39" s="244">
        <v>174</v>
      </c>
      <c r="I39" s="244">
        <v>172</v>
      </c>
      <c r="M39" s="244">
        <v>71</v>
      </c>
      <c r="N39" s="244">
        <v>41.279069767441861</v>
      </c>
    </row>
    <row r="40" spans="1:14" ht="31.5">
      <c r="A40" s="272" t="s">
        <v>52</v>
      </c>
      <c r="B40" s="170" t="s">
        <v>53</v>
      </c>
      <c r="C40" s="244">
        <v>145</v>
      </c>
      <c r="D40" s="244">
        <v>-10.8</v>
      </c>
      <c r="E40" s="244">
        <v>145</v>
      </c>
      <c r="F40" s="244">
        <v>150</v>
      </c>
      <c r="G40" s="244">
        <v>160</v>
      </c>
      <c r="H40" s="244">
        <v>170</v>
      </c>
      <c r="I40" s="244">
        <v>150</v>
      </c>
      <c r="M40" s="244">
        <v>6.76</v>
      </c>
      <c r="N40" s="244">
        <v>4.5066666666666668</v>
      </c>
    </row>
    <row r="41" spans="1:14" ht="18.75">
      <c r="A41" s="162" t="s">
        <v>54</v>
      </c>
      <c r="B41" s="163" t="s">
        <v>55</v>
      </c>
      <c r="C41" s="243">
        <f t="shared" ref="C41:F42" si="16">C42</f>
        <v>2294</v>
      </c>
      <c r="D41" s="243">
        <f t="shared" ref="D41:D42" si="17">D42</f>
        <v>933.3</v>
      </c>
      <c r="E41" s="243">
        <f t="shared" si="16"/>
        <v>1346.7</v>
      </c>
      <c r="F41" s="243">
        <f t="shared" si="16"/>
        <v>2088</v>
      </c>
      <c r="G41" s="243">
        <f t="shared" ref="G41:H42" si="18">G42</f>
        <v>2100</v>
      </c>
      <c r="H41" s="243">
        <f t="shared" si="18"/>
        <v>2150</v>
      </c>
      <c r="I41" s="243">
        <f>I42</f>
        <v>2088</v>
      </c>
      <c r="M41" s="243">
        <v>409.82</v>
      </c>
      <c r="N41" s="243">
        <v>19.627394636015325</v>
      </c>
    </row>
    <row r="42" spans="1:14" ht="31.5">
      <c r="A42" s="162" t="s">
        <v>56</v>
      </c>
      <c r="B42" s="163" t="s">
        <v>57</v>
      </c>
      <c r="C42" s="243">
        <f t="shared" si="16"/>
        <v>2294</v>
      </c>
      <c r="D42" s="243">
        <f t="shared" si="17"/>
        <v>933.3</v>
      </c>
      <c r="E42" s="243">
        <f t="shared" si="16"/>
        <v>1346.7</v>
      </c>
      <c r="F42" s="243">
        <f t="shared" si="16"/>
        <v>2088</v>
      </c>
      <c r="G42" s="243">
        <f t="shared" si="18"/>
        <v>2100</v>
      </c>
      <c r="H42" s="243">
        <f t="shared" si="18"/>
        <v>2150</v>
      </c>
      <c r="I42" s="243">
        <f>I43</f>
        <v>2088</v>
      </c>
      <c r="M42" s="243">
        <v>409.82</v>
      </c>
      <c r="N42" s="243">
        <v>19.627394636015325</v>
      </c>
    </row>
    <row r="43" spans="1:14" ht="47.25">
      <c r="A43" s="272" t="s">
        <v>58</v>
      </c>
      <c r="B43" s="164" t="s">
        <v>59</v>
      </c>
      <c r="C43" s="244">
        <v>2294</v>
      </c>
      <c r="D43" s="244">
        <v>933.3</v>
      </c>
      <c r="E43" s="244">
        <v>1346.7</v>
      </c>
      <c r="F43" s="244">
        <v>2088</v>
      </c>
      <c r="G43" s="246">
        <v>2100</v>
      </c>
      <c r="H43" s="246">
        <v>2150</v>
      </c>
      <c r="I43" s="244">
        <v>2088</v>
      </c>
      <c r="M43" s="244">
        <v>409.82</v>
      </c>
      <c r="N43" s="244">
        <v>19.627394636015325</v>
      </c>
    </row>
    <row r="44" spans="1:14" ht="31.5" hidden="1">
      <c r="A44" s="278" t="s">
        <v>902</v>
      </c>
      <c r="B44" s="238" t="s">
        <v>903</v>
      </c>
      <c r="C44" s="243">
        <v>0</v>
      </c>
      <c r="D44" s="243">
        <f>SUM(D45:D46)</f>
        <v>7.1</v>
      </c>
      <c r="E44" s="243">
        <f t="shared" ref="E44:I44" si="19">SUM(E45:E46)</f>
        <v>7.1</v>
      </c>
      <c r="F44" s="243">
        <f t="shared" si="19"/>
        <v>0</v>
      </c>
      <c r="G44" s="243">
        <f t="shared" si="19"/>
        <v>0</v>
      </c>
      <c r="H44" s="243">
        <f t="shared" si="19"/>
        <v>0</v>
      </c>
      <c r="I44" s="243">
        <f t="shared" si="19"/>
        <v>0</v>
      </c>
      <c r="M44" s="243"/>
      <c r="N44" s="243" t="e">
        <v>#DIV/0!</v>
      </c>
    </row>
    <row r="45" spans="1:14" ht="63" hidden="1">
      <c r="A45" s="6" t="s">
        <v>904</v>
      </c>
      <c r="B45" s="231" t="s">
        <v>905</v>
      </c>
      <c r="C45" s="244">
        <v>0</v>
      </c>
      <c r="D45" s="244">
        <v>7.5</v>
      </c>
      <c r="E45" s="244">
        <v>7.5</v>
      </c>
      <c r="F45" s="244">
        <v>0</v>
      </c>
      <c r="G45" s="246">
        <v>0</v>
      </c>
      <c r="H45" s="246">
        <v>0</v>
      </c>
      <c r="I45" s="244">
        <v>0</v>
      </c>
      <c r="M45" s="244"/>
      <c r="N45" s="244" t="e">
        <v>#DIV/0!</v>
      </c>
    </row>
    <row r="46" spans="1:14" ht="63" hidden="1">
      <c r="A46" s="2" t="s">
        <v>906</v>
      </c>
      <c r="B46" s="231" t="s">
        <v>907</v>
      </c>
      <c r="C46" s="244">
        <v>0</v>
      </c>
      <c r="D46" s="244">
        <v>-0.4</v>
      </c>
      <c r="E46" s="244">
        <v>-0.4</v>
      </c>
      <c r="F46" s="244">
        <v>0</v>
      </c>
      <c r="G46" s="246">
        <v>0</v>
      </c>
      <c r="H46" s="246">
        <v>0</v>
      </c>
      <c r="I46" s="244">
        <v>0</v>
      </c>
      <c r="M46" s="244"/>
      <c r="N46" s="244" t="e">
        <v>#DIV/0!</v>
      </c>
    </row>
    <row r="47" spans="1:14" ht="31.5">
      <c r="A47" s="162" t="s">
        <v>60</v>
      </c>
      <c r="B47" s="172" t="s">
        <v>61</v>
      </c>
      <c r="C47" s="243">
        <f>C48</f>
        <v>30200</v>
      </c>
      <c r="D47" s="243">
        <f t="shared" ref="D47" si="20">D48</f>
        <v>30394</v>
      </c>
      <c r="E47" s="243">
        <f>E48</f>
        <v>30200</v>
      </c>
      <c r="F47" s="243">
        <f>F48</f>
        <v>30200</v>
      </c>
      <c r="G47" s="243">
        <f t="shared" ref="G47:H47" si="21">G48</f>
        <v>30200</v>
      </c>
      <c r="H47" s="243">
        <f t="shared" si="21"/>
        <v>30200</v>
      </c>
      <c r="I47" s="243">
        <f>I48</f>
        <v>11849</v>
      </c>
      <c r="J47" s="153">
        <v>30200</v>
      </c>
      <c r="K47" s="140">
        <f>J47-I47</f>
        <v>18351</v>
      </c>
      <c r="M47" s="243">
        <v>10762.449999999999</v>
      </c>
      <c r="N47" s="243">
        <v>90.830027850451501</v>
      </c>
    </row>
    <row r="48" spans="1:14" ht="78.75">
      <c r="A48" s="162" t="s">
        <v>62</v>
      </c>
      <c r="B48" s="172" t="s">
        <v>63</v>
      </c>
      <c r="C48" s="243">
        <f>C49+C51</f>
        <v>30200</v>
      </c>
      <c r="D48" s="243">
        <f t="shared" ref="D48" si="22">D49+D51</f>
        <v>30394</v>
      </c>
      <c r="E48" s="243">
        <f>E49+E51</f>
        <v>30200</v>
      </c>
      <c r="F48" s="243">
        <f>F49+F51</f>
        <v>30200</v>
      </c>
      <c r="G48" s="243">
        <f t="shared" ref="G48:H48" si="23">G49+G51</f>
        <v>30200</v>
      </c>
      <c r="H48" s="243">
        <f t="shared" si="23"/>
        <v>30200</v>
      </c>
      <c r="I48" s="243">
        <f>I49+I51</f>
        <v>11849</v>
      </c>
      <c r="M48" s="243">
        <v>10762.449999999999</v>
      </c>
      <c r="N48" s="243">
        <v>90.830027850451501</v>
      </c>
    </row>
    <row r="49" spans="1:14" ht="63">
      <c r="A49" s="162" t="s">
        <v>64</v>
      </c>
      <c r="B49" s="163" t="s">
        <v>65</v>
      </c>
      <c r="C49" s="243">
        <f>C50</f>
        <v>26900</v>
      </c>
      <c r="D49" s="243">
        <f t="shared" ref="D49" si="24">D50</f>
        <v>27515.9</v>
      </c>
      <c r="E49" s="243">
        <f>E50</f>
        <v>26900</v>
      </c>
      <c r="F49" s="243">
        <f>F50</f>
        <v>26900</v>
      </c>
      <c r="G49" s="243">
        <f t="shared" ref="G49:H49" si="25">G50</f>
        <v>26900</v>
      </c>
      <c r="H49" s="243">
        <f t="shared" si="25"/>
        <v>26900</v>
      </c>
      <c r="I49" s="243">
        <f>I50</f>
        <v>8549</v>
      </c>
      <c r="M49" s="243">
        <v>9246.81</v>
      </c>
      <c r="N49" s="243">
        <v>108.1624751432916</v>
      </c>
    </row>
    <row r="50" spans="1:14" ht="63">
      <c r="A50" s="272" t="s">
        <v>66</v>
      </c>
      <c r="B50" s="170" t="s">
        <v>67</v>
      </c>
      <c r="C50" s="244">
        <v>26900</v>
      </c>
      <c r="D50" s="244">
        <v>27515.9</v>
      </c>
      <c r="E50" s="244">
        <v>26900</v>
      </c>
      <c r="F50" s="244">
        <v>26900</v>
      </c>
      <c r="G50" s="246">
        <v>26900</v>
      </c>
      <c r="H50" s="246">
        <v>26900</v>
      </c>
      <c r="I50" s="244">
        <v>8549</v>
      </c>
      <c r="M50" s="244">
        <v>9246.81</v>
      </c>
      <c r="N50" s="244">
        <v>108.1624751432916</v>
      </c>
    </row>
    <row r="51" spans="1:14" ht="31.5">
      <c r="A51" s="162" t="s">
        <v>68</v>
      </c>
      <c r="B51" s="163" t="s">
        <v>69</v>
      </c>
      <c r="C51" s="243">
        <f>C52</f>
        <v>3300</v>
      </c>
      <c r="D51" s="243">
        <f t="shared" ref="D51" si="26">D52</f>
        <v>2878.1</v>
      </c>
      <c r="E51" s="243">
        <f>E52</f>
        <v>3300</v>
      </c>
      <c r="F51" s="243">
        <f>F52</f>
        <v>3300</v>
      </c>
      <c r="G51" s="243">
        <f t="shared" ref="G51:H51" si="27">G52</f>
        <v>3300</v>
      </c>
      <c r="H51" s="243">
        <f t="shared" si="27"/>
        <v>3300</v>
      </c>
      <c r="I51" s="243">
        <f>I52</f>
        <v>3300</v>
      </c>
      <c r="M51" s="243">
        <v>1515.64</v>
      </c>
      <c r="N51" s="243">
        <v>45.92848484848485</v>
      </c>
    </row>
    <row r="52" spans="1:14" ht="31.5">
      <c r="A52" s="272" t="s">
        <v>70</v>
      </c>
      <c r="B52" s="170" t="s">
        <v>71</v>
      </c>
      <c r="C52" s="244">
        <v>3300</v>
      </c>
      <c r="D52" s="244">
        <v>2878.1</v>
      </c>
      <c r="E52" s="244">
        <v>3300</v>
      </c>
      <c r="F52" s="244">
        <v>3300</v>
      </c>
      <c r="G52" s="246">
        <v>3300</v>
      </c>
      <c r="H52" s="246">
        <v>3300</v>
      </c>
      <c r="I52" s="244">
        <v>3300</v>
      </c>
      <c r="M52" s="244">
        <v>1515.64</v>
      </c>
      <c r="N52" s="244">
        <v>45.92848484848485</v>
      </c>
    </row>
    <row r="53" spans="1:14" ht="18.75">
      <c r="A53" s="162" t="s">
        <v>72</v>
      </c>
      <c r="B53" s="172" t="s">
        <v>73</v>
      </c>
      <c r="C53" s="243">
        <f>SUM(C54)</f>
        <v>5112.9999999999991</v>
      </c>
      <c r="D53" s="243">
        <f t="shared" ref="D53" si="28">SUM(D54)</f>
        <v>5343</v>
      </c>
      <c r="E53" s="243">
        <f>SUM(E54)</f>
        <v>2061</v>
      </c>
      <c r="F53" s="243">
        <f>SUM(F54)</f>
        <v>2023.1999999999998</v>
      </c>
      <c r="G53" s="243">
        <f t="shared" ref="G53:H53" si="29">SUM(G54)</f>
        <v>2023.1999999999998</v>
      </c>
      <c r="H53" s="243">
        <f t="shared" si="29"/>
        <v>2023.1999999999998</v>
      </c>
      <c r="I53" s="243">
        <f>SUM(I54)</f>
        <v>2023.1999999999998</v>
      </c>
      <c r="M53" s="243">
        <v>571.5</v>
      </c>
      <c r="N53" s="243">
        <v>28.247330960854093</v>
      </c>
    </row>
    <row r="54" spans="1:14" ht="18.75">
      <c r="A54" s="162" t="s">
        <v>74</v>
      </c>
      <c r="B54" s="172" t="s">
        <v>75</v>
      </c>
      <c r="C54" s="243">
        <f>SUM(C55:C58)</f>
        <v>5112.9999999999991</v>
      </c>
      <c r="D54" s="243">
        <f>SUM(D55:D58)</f>
        <v>5343</v>
      </c>
      <c r="E54" s="243">
        <f>SUM(E55:E58)</f>
        <v>2061</v>
      </c>
      <c r="F54" s="243">
        <f>SUM(F55:F58)</f>
        <v>2023.1999999999998</v>
      </c>
      <c r="G54" s="243">
        <f t="shared" ref="G54:H54" si="30">SUM(G55:G58)</f>
        <v>2023.1999999999998</v>
      </c>
      <c r="H54" s="243">
        <f t="shared" si="30"/>
        <v>2023.1999999999998</v>
      </c>
      <c r="I54" s="243">
        <f>SUM(I55:I58)</f>
        <v>2023.1999999999998</v>
      </c>
      <c r="M54" s="243">
        <v>571.5</v>
      </c>
      <c r="N54" s="243">
        <v>28.247330960854093</v>
      </c>
    </row>
    <row r="55" spans="1:14" ht="31.5">
      <c r="A55" s="272" t="s">
        <v>76</v>
      </c>
      <c r="B55" s="164" t="s">
        <v>77</v>
      </c>
      <c r="C55" s="244">
        <v>386.3</v>
      </c>
      <c r="D55" s="244">
        <v>86.1</v>
      </c>
      <c r="E55" s="244">
        <v>129.1</v>
      </c>
      <c r="F55" s="244">
        <v>102.9</v>
      </c>
      <c r="G55" s="244">
        <v>102.9</v>
      </c>
      <c r="H55" s="244">
        <v>102.9</v>
      </c>
      <c r="I55" s="244">
        <v>102.9</v>
      </c>
      <c r="M55" s="244">
        <v>316.44</v>
      </c>
      <c r="N55" s="244">
        <v>307.52186588921279</v>
      </c>
    </row>
    <row r="56" spans="1:14" ht="31.5" hidden="1">
      <c r="A56" s="272" t="s">
        <v>892</v>
      </c>
      <c r="B56" s="231" t="s">
        <v>893</v>
      </c>
      <c r="C56" s="244">
        <v>0</v>
      </c>
      <c r="D56" s="244">
        <v>0.5</v>
      </c>
      <c r="E56" s="244">
        <v>2.2000000000000002</v>
      </c>
      <c r="F56" s="244">
        <v>0</v>
      </c>
      <c r="G56" s="244">
        <v>0</v>
      </c>
      <c r="H56" s="244">
        <v>0</v>
      </c>
      <c r="I56" s="244">
        <v>0</v>
      </c>
      <c r="M56" s="244">
        <v>0.22</v>
      </c>
      <c r="N56" s="244" t="s">
        <v>1017</v>
      </c>
    </row>
    <row r="57" spans="1:14" ht="18.75">
      <c r="A57" s="272" t="s">
        <v>78</v>
      </c>
      <c r="B57" s="164" t="s">
        <v>79</v>
      </c>
      <c r="C57" s="244">
        <v>10.4</v>
      </c>
      <c r="D57" s="244">
        <v>55.6</v>
      </c>
      <c r="E57" s="244">
        <v>83.5</v>
      </c>
      <c r="F57" s="244">
        <v>0.2</v>
      </c>
      <c r="G57" s="244">
        <v>0.2</v>
      </c>
      <c r="H57" s="244">
        <v>0.2</v>
      </c>
      <c r="I57" s="244">
        <v>0.2</v>
      </c>
      <c r="M57" s="244">
        <v>0</v>
      </c>
      <c r="N57" s="244">
        <v>0</v>
      </c>
    </row>
    <row r="58" spans="1:14" ht="18.75">
      <c r="A58" s="272" t="s">
        <v>80</v>
      </c>
      <c r="B58" s="164" t="s">
        <v>81</v>
      </c>
      <c r="C58" s="244">
        <f>6725.4-2009.1</f>
        <v>4716.2999999999993</v>
      </c>
      <c r="D58" s="244">
        <v>5200.8</v>
      </c>
      <c r="E58" s="244">
        <v>1846.2</v>
      </c>
      <c r="F58" s="244">
        <v>1920.1</v>
      </c>
      <c r="G58" s="244">
        <v>1920.1</v>
      </c>
      <c r="H58" s="244">
        <v>1920.1</v>
      </c>
      <c r="I58" s="244">
        <v>1920.1</v>
      </c>
      <c r="M58" s="244">
        <v>254.84</v>
      </c>
      <c r="N58" s="244">
        <v>13.272225404926827</v>
      </c>
    </row>
    <row r="59" spans="1:14" ht="31.5">
      <c r="A59" s="162" t="s">
        <v>82</v>
      </c>
      <c r="B59" s="172" t="s">
        <v>83</v>
      </c>
      <c r="C59" s="243">
        <f>C61+C62</f>
        <v>320</v>
      </c>
      <c r="D59" s="243">
        <f t="shared" ref="D59:I59" si="31">D61+D62</f>
        <v>2360.1999999999998</v>
      </c>
      <c r="E59" s="243">
        <f t="shared" si="31"/>
        <v>2412.9</v>
      </c>
      <c r="F59" s="243">
        <f t="shared" si="31"/>
        <v>320</v>
      </c>
      <c r="G59" s="243">
        <f t="shared" si="31"/>
        <v>340</v>
      </c>
      <c r="H59" s="243">
        <f t="shared" si="31"/>
        <v>360</v>
      </c>
      <c r="I59" s="243">
        <f t="shared" si="31"/>
        <v>320</v>
      </c>
      <c r="M59" s="243">
        <v>126.54</v>
      </c>
      <c r="N59" s="243">
        <v>39.543750000000003</v>
      </c>
    </row>
    <row r="60" spans="1:14" ht="18.75">
      <c r="A60" s="162" t="s">
        <v>84</v>
      </c>
      <c r="B60" s="172" t="s">
        <v>85</v>
      </c>
      <c r="C60" s="243">
        <f>C61+C63</f>
        <v>320</v>
      </c>
      <c r="D60" s="243">
        <f t="shared" ref="D60" si="32">D61</f>
        <v>172.6</v>
      </c>
      <c r="E60" s="243">
        <f>E61+E63</f>
        <v>2412.9</v>
      </c>
      <c r="F60" s="243">
        <f>F61+F63</f>
        <v>320</v>
      </c>
      <c r="G60" s="243">
        <f t="shared" ref="G60" si="33">G61+G63</f>
        <v>340</v>
      </c>
      <c r="H60" s="243">
        <f t="shared" ref="H60" si="34">H61+H63</f>
        <v>360</v>
      </c>
      <c r="I60" s="243">
        <f>I61</f>
        <v>320</v>
      </c>
      <c r="M60" s="243">
        <v>8.59</v>
      </c>
      <c r="N60" s="243">
        <v>2.6843750000000002</v>
      </c>
    </row>
    <row r="61" spans="1:14" ht="31.5">
      <c r="A61" s="272" t="s">
        <v>86</v>
      </c>
      <c r="B61" s="164" t="s">
        <v>87</v>
      </c>
      <c r="C61" s="244">
        <v>320</v>
      </c>
      <c r="D61" s="244">
        <v>172.6</v>
      </c>
      <c r="E61" s="244">
        <v>212.9</v>
      </c>
      <c r="F61" s="244">
        <v>320</v>
      </c>
      <c r="G61" s="246">
        <v>340</v>
      </c>
      <c r="H61" s="246">
        <v>360</v>
      </c>
      <c r="I61" s="244">
        <v>320</v>
      </c>
      <c r="M61" s="244">
        <v>8.59</v>
      </c>
      <c r="N61" s="244">
        <v>2.6843750000000002</v>
      </c>
    </row>
    <row r="62" spans="1:14" ht="18.75">
      <c r="A62" s="278" t="s">
        <v>908</v>
      </c>
      <c r="B62" s="238" t="s">
        <v>909</v>
      </c>
      <c r="C62" s="243">
        <f>C63</f>
        <v>0</v>
      </c>
      <c r="D62" s="243">
        <f>SUM(D63)</f>
        <v>2187.6</v>
      </c>
      <c r="E62" s="243">
        <f>SUM(E63)</f>
        <v>2200</v>
      </c>
      <c r="F62" s="243">
        <f t="shared" ref="F62:I62" si="35">SUM(F63)</f>
        <v>0</v>
      </c>
      <c r="G62" s="243">
        <f t="shared" si="35"/>
        <v>0</v>
      </c>
      <c r="H62" s="243">
        <f t="shared" si="35"/>
        <v>0</v>
      </c>
      <c r="I62" s="243">
        <f t="shared" si="35"/>
        <v>0</v>
      </c>
      <c r="M62" s="243">
        <v>117.95</v>
      </c>
      <c r="N62" s="243" t="s">
        <v>1017</v>
      </c>
    </row>
    <row r="63" spans="1:14" ht="18.75">
      <c r="A63" s="232" t="s">
        <v>895</v>
      </c>
      <c r="B63" s="47" t="s">
        <v>894</v>
      </c>
      <c r="C63" s="244">
        <v>0</v>
      </c>
      <c r="D63" s="244">
        <v>2187.6</v>
      </c>
      <c r="E63" s="244">
        <v>2200</v>
      </c>
      <c r="F63" s="244">
        <v>0</v>
      </c>
      <c r="G63" s="248">
        <v>0</v>
      </c>
      <c r="H63" s="248">
        <v>0</v>
      </c>
      <c r="I63" s="244">
        <v>0</v>
      </c>
      <c r="M63" s="244">
        <v>117.95</v>
      </c>
      <c r="N63" s="244" t="s">
        <v>1017</v>
      </c>
    </row>
    <row r="64" spans="1:14" ht="31.5">
      <c r="A64" s="162" t="s">
        <v>88</v>
      </c>
      <c r="B64" s="172" t="s">
        <v>89</v>
      </c>
      <c r="C64" s="243">
        <f>SUM(C65+C67)</f>
        <v>650</v>
      </c>
      <c r="D64" s="243">
        <f t="shared" ref="D64" si="36">SUM(D65+D67)</f>
        <v>145.6</v>
      </c>
      <c r="E64" s="243">
        <f>SUM(E65+E67)</f>
        <v>754.5</v>
      </c>
      <c r="F64" s="243">
        <f>SUM(F65+F67)</f>
        <v>250</v>
      </c>
      <c r="G64" s="243">
        <f t="shared" ref="G64:H64" si="37">SUM(G65+G67)</f>
        <v>250</v>
      </c>
      <c r="H64" s="243">
        <f t="shared" si="37"/>
        <v>250</v>
      </c>
      <c r="I64" s="243">
        <f>SUM(I65+I67)</f>
        <v>250</v>
      </c>
      <c r="M64" s="243">
        <v>0</v>
      </c>
      <c r="N64" s="243">
        <v>0</v>
      </c>
    </row>
    <row r="65" spans="1:14" ht="78.75">
      <c r="A65" s="162" t="s">
        <v>90</v>
      </c>
      <c r="B65" s="172" t="s">
        <v>91</v>
      </c>
      <c r="C65" s="243">
        <f>C66</f>
        <v>500</v>
      </c>
      <c r="D65" s="243">
        <f t="shared" ref="D65" si="38">D66</f>
        <v>141.1</v>
      </c>
      <c r="E65" s="243">
        <f>E66</f>
        <v>750</v>
      </c>
      <c r="F65" s="243">
        <f>F66</f>
        <v>235</v>
      </c>
      <c r="G65" s="243">
        <f t="shared" ref="G65:H65" si="39">G66</f>
        <v>235</v>
      </c>
      <c r="H65" s="243">
        <f t="shared" si="39"/>
        <v>235</v>
      </c>
      <c r="I65" s="243">
        <f>I66</f>
        <v>235</v>
      </c>
      <c r="M65" s="243">
        <v>0</v>
      </c>
      <c r="N65" s="243">
        <v>0</v>
      </c>
    </row>
    <row r="66" spans="1:14" ht="78.75">
      <c r="A66" s="272" t="s">
        <v>92</v>
      </c>
      <c r="B66" s="164" t="s">
        <v>782</v>
      </c>
      <c r="C66" s="244">
        <v>500</v>
      </c>
      <c r="D66" s="244">
        <v>141.1</v>
      </c>
      <c r="E66" s="244">
        <v>750</v>
      </c>
      <c r="F66" s="244">
        <v>235</v>
      </c>
      <c r="G66" s="246">
        <v>235</v>
      </c>
      <c r="H66" s="246">
        <v>235</v>
      </c>
      <c r="I66" s="244">
        <v>235</v>
      </c>
      <c r="M66" s="244">
        <v>0</v>
      </c>
      <c r="N66" s="244">
        <v>0</v>
      </c>
    </row>
    <row r="67" spans="1:14" ht="31.5">
      <c r="A67" s="162" t="s">
        <v>93</v>
      </c>
      <c r="B67" s="172" t="s">
        <v>94</v>
      </c>
      <c r="C67" s="243">
        <f>SUM(C68)</f>
        <v>150</v>
      </c>
      <c r="D67" s="243">
        <f t="shared" ref="D67" si="40">SUM(D68)</f>
        <v>4.5</v>
      </c>
      <c r="E67" s="243">
        <f>SUM(E68)</f>
        <v>4.5</v>
      </c>
      <c r="F67" s="243">
        <f>SUM(F68)</f>
        <v>15</v>
      </c>
      <c r="G67" s="243">
        <f t="shared" ref="G67:H67" si="41">SUM(G68)</f>
        <v>15</v>
      </c>
      <c r="H67" s="243">
        <f t="shared" si="41"/>
        <v>15</v>
      </c>
      <c r="I67" s="243">
        <f>SUM(I68)</f>
        <v>15</v>
      </c>
      <c r="M67" s="243">
        <v>0</v>
      </c>
      <c r="N67" s="243">
        <v>0</v>
      </c>
    </row>
    <row r="68" spans="1:14" ht="47.25">
      <c r="A68" s="272" t="s">
        <v>95</v>
      </c>
      <c r="B68" s="164" t="s">
        <v>96</v>
      </c>
      <c r="C68" s="244">
        <v>150</v>
      </c>
      <c r="D68" s="244">
        <v>4.5</v>
      </c>
      <c r="E68" s="244">
        <v>4.5</v>
      </c>
      <c r="F68" s="244">
        <v>15</v>
      </c>
      <c r="G68" s="246">
        <v>15</v>
      </c>
      <c r="H68" s="246">
        <v>15</v>
      </c>
      <c r="I68" s="244">
        <v>15</v>
      </c>
      <c r="M68" s="244">
        <v>0</v>
      </c>
      <c r="N68" s="244">
        <v>0</v>
      </c>
    </row>
    <row r="69" spans="1:14" ht="18.75">
      <c r="A69" s="162" t="s">
        <v>97</v>
      </c>
      <c r="B69" s="172" t="s">
        <v>98</v>
      </c>
      <c r="C69" s="243">
        <f>C70+C75+C85+C83+C81+C73+C78</f>
        <v>2875.5</v>
      </c>
      <c r="D69" s="243">
        <f>D70+D75+D78+D85+D83+D81+D79+D73+D74</f>
        <v>1693.8000000000002</v>
      </c>
      <c r="E69" s="243">
        <f>E70+E75+E85+E83+E81+E73+E78</f>
        <v>3190.1</v>
      </c>
      <c r="F69" s="243">
        <f>F70+F75+F78+F85+F83+F81+F73+F79</f>
        <v>1993</v>
      </c>
      <c r="G69" s="243">
        <f>G70+G75+G78+G85+G83+G81+G73+G79</f>
        <v>2053</v>
      </c>
      <c r="H69" s="243">
        <f>H70+H75+H78+H85+H83+H81+H73+H79</f>
        <v>2058</v>
      </c>
      <c r="I69" s="243">
        <f>I70+I75+I78+I85+I83+I81+I73+I79</f>
        <v>1993</v>
      </c>
      <c r="M69" s="243">
        <v>386.74</v>
      </c>
      <c r="N69" s="243">
        <v>19.404917210235826</v>
      </c>
    </row>
    <row r="70" spans="1:14" ht="31.5">
      <c r="A70" s="162" t="s">
        <v>99</v>
      </c>
      <c r="B70" s="172" t="s">
        <v>100</v>
      </c>
      <c r="C70" s="243">
        <f>C71+C72</f>
        <v>28</v>
      </c>
      <c r="D70" s="243">
        <f t="shared" ref="D70" si="42">D71+D72</f>
        <v>62.8</v>
      </c>
      <c r="E70" s="243">
        <f>E71+E72</f>
        <v>65.399999999999991</v>
      </c>
      <c r="F70" s="243">
        <f>F71+F72</f>
        <v>27.5</v>
      </c>
      <c r="G70" s="243">
        <f t="shared" ref="G70:H70" si="43">G71+G72</f>
        <v>27.5</v>
      </c>
      <c r="H70" s="243">
        <f t="shared" si="43"/>
        <v>27.5</v>
      </c>
      <c r="I70" s="243">
        <f>I71+I72</f>
        <v>27.5</v>
      </c>
      <c r="M70" s="243">
        <v>2.7899999999999996</v>
      </c>
      <c r="N70" s="243">
        <v>10.145454545454543</v>
      </c>
    </row>
    <row r="71" spans="1:14" ht="63">
      <c r="A71" s="272" t="s">
        <v>101</v>
      </c>
      <c r="B71" s="164" t="s">
        <v>102</v>
      </c>
      <c r="C71" s="244">
        <v>24.4</v>
      </c>
      <c r="D71" s="244">
        <v>61.8</v>
      </c>
      <c r="E71" s="244">
        <v>61.8</v>
      </c>
      <c r="F71" s="244">
        <v>25.2</v>
      </c>
      <c r="G71" s="246">
        <v>25.2</v>
      </c>
      <c r="H71" s="246">
        <v>25.2</v>
      </c>
      <c r="I71" s="244">
        <v>25.2</v>
      </c>
      <c r="M71" s="244">
        <v>2.78</v>
      </c>
      <c r="N71" s="244">
        <v>11.031746031746032</v>
      </c>
    </row>
    <row r="72" spans="1:14" ht="47.25">
      <c r="A72" s="272" t="s">
        <v>103</v>
      </c>
      <c r="B72" s="164" t="s">
        <v>783</v>
      </c>
      <c r="C72" s="244">
        <v>3.6</v>
      </c>
      <c r="D72" s="244">
        <v>1</v>
      </c>
      <c r="E72" s="244">
        <v>3.6</v>
      </c>
      <c r="F72" s="244">
        <v>2.2999999999999998</v>
      </c>
      <c r="G72" s="246">
        <v>2.2999999999999998</v>
      </c>
      <c r="H72" s="246">
        <v>2.2999999999999998</v>
      </c>
      <c r="I72" s="244">
        <v>2.2999999999999998</v>
      </c>
      <c r="M72" s="244">
        <v>0.01</v>
      </c>
      <c r="N72" s="244">
        <v>0.43478260869565216</v>
      </c>
    </row>
    <row r="73" spans="1:14" ht="63">
      <c r="A73" s="278" t="s">
        <v>912</v>
      </c>
      <c r="B73" s="238" t="s">
        <v>913</v>
      </c>
      <c r="C73" s="249">
        <f>C74</f>
        <v>0</v>
      </c>
      <c r="D73" s="243">
        <v>50</v>
      </c>
      <c r="E73" s="249">
        <v>50</v>
      </c>
      <c r="F73" s="243">
        <v>127.5</v>
      </c>
      <c r="G73" s="243">
        <v>127.5</v>
      </c>
      <c r="H73" s="243">
        <v>127.5</v>
      </c>
      <c r="I73" s="243">
        <v>127.5</v>
      </c>
      <c r="M73" s="243">
        <v>0</v>
      </c>
      <c r="N73" s="243">
        <v>0</v>
      </c>
    </row>
    <row r="74" spans="1:14" ht="47.25" hidden="1">
      <c r="A74" s="278" t="s">
        <v>910</v>
      </c>
      <c r="B74" s="238" t="s">
        <v>911</v>
      </c>
      <c r="C74" s="249">
        <v>0</v>
      </c>
      <c r="D74" s="243">
        <v>358.7</v>
      </c>
      <c r="E74" s="249">
        <v>358.7</v>
      </c>
      <c r="F74" s="243">
        <v>0</v>
      </c>
      <c r="G74" s="249">
        <v>0</v>
      </c>
      <c r="H74" s="249">
        <v>0</v>
      </c>
      <c r="I74" s="243">
        <v>0</v>
      </c>
      <c r="M74" s="243">
        <v>79.569999999999993</v>
      </c>
      <c r="N74" s="243" t="s">
        <v>1017</v>
      </c>
    </row>
    <row r="75" spans="1:14" ht="94.5">
      <c r="A75" s="162" t="s">
        <v>104</v>
      </c>
      <c r="B75" s="172" t="s">
        <v>105</v>
      </c>
      <c r="C75" s="243">
        <f>C76+C77</f>
        <v>80</v>
      </c>
      <c r="D75" s="243">
        <f t="shared" ref="D75" si="44">D76+D77</f>
        <v>5</v>
      </c>
      <c r="E75" s="243">
        <f>E76+E77</f>
        <v>80</v>
      </c>
      <c r="F75" s="243">
        <f>F76+F77</f>
        <v>45</v>
      </c>
      <c r="G75" s="243">
        <f t="shared" ref="G75:H75" si="45">G76+G77</f>
        <v>55</v>
      </c>
      <c r="H75" s="243">
        <f t="shared" si="45"/>
        <v>60</v>
      </c>
      <c r="I75" s="243">
        <f>I76+I77</f>
        <v>45</v>
      </c>
      <c r="M75" s="243">
        <v>0</v>
      </c>
      <c r="N75" s="243">
        <v>0</v>
      </c>
    </row>
    <row r="76" spans="1:14" ht="31.5">
      <c r="A76" s="272" t="s">
        <v>106</v>
      </c>
      <c r="B76" s="164" t="s">
        <v>107</v>
      </c>
      <c r="C76" s="244">
        <v>50</v>
      </c>
      <c r="D76" s="244">
        <v>0</v>
      </c>
      <c r="E76" s="244">
        <v>50</v>
      </c>
      <c r="F76" s="244">
        <v>10</v>
      </c>
      <c r="G76" s="246">
        <v>15</v>
      </c>
      <c r="H76" s="246">
        <v>10</v>
      </c>
      <c r="I76" s="244">
        <v>10</v>
      </c>
      <c r="M76" s="244">
        <v>0</v>
      </c>
      <c r="N76" s="244">
        <v>0</v>
      </c>
    </row>
    <row r="77" spans="1:14" ht="18.75">
      <c r="A77" s="272" t="s">
        <v>108</v>
      </c>
      <c r="B77" s="164" t="s">
        <v>109</v>
      </c>
      <c r="C77" s="244">
        <v>30</v>
      </c>
      <c r="D77" s="244">
        <v>5</v>
      </c>
      <c r="E77" s="244">
        <v>30</v>
      </c>
      <c r="F77" s="244">
        <v>35</v>
      </c>
      <c r="G77" s="246">
        <v>40</v>
      </c>
      <c r="H77" s="246">
        <v>50</v>
      </c>
      <c r="I77" s="244">
        <v>35</v>
      </c>
      <c r="M77" s="244">
        <v>0</v>
      </c>
      <c r="N77" s="244">
        <v>0</v>
      </c>
    </row>
    <row r="78" spans="1:14" ht="47.25">
      <c r="A78" s="162" t="s">
        <v>110</v>
      </c>
      <c r="B78" s="172" t="s">
        <v>111</v>
      </c>
      <c r="C78" s="250">
        <v>2000</v>
      </c>
      <c r="D78" s="243">
        <v>484.8</v>
      </c>
      <c r="E78" s="250">
        <v>2000</v>
      </c>
      <c r="F78" s="243">
        <v>1200</v>
      </c>
      <c r="G78" s="243">
        <v>1200</v>
      </c>
      <c r="H78" s="243">
        <v>1200</v>
      </c>
      <c r="I78" s="243">
        <v>1200</v>
      </c>
      <c r="M78" s="243">
        <v>144.69</v>
      </c>
      <c r="N78" s="243">
        <v>12.057500000000001</v>
      </c>
    </row>
    <row r="79" spans="1:14" ht="47.25">
      <c r="A79" s="9" t="s">
        <v>914</v>
      </c>
      <c r="B79" s="238" t="s">
        <v>915</v>
      </c>
      <c r="C79" s="250">
        <f>C80</f>
        <v>0</v>
      </c>
      <c r="D79" s="243">
        <f>SUM(D80)</f>
        <v>15</v>
      </c>
      <c r="E79" s="250">
        <f>E80</f>
        <v>15</v>
      </c>
      <c r="F79" s="243">
        <f>F80</f>
        <v>50</v>
      </c>
      <c r="G79" s="243">
        <f t="shared" ref="G79:H79" si="46">G80</f>
        <v>50</v>
      </c>
      <c r="H79" s="243">
        <f t="shared" si="46"/>
        <v>50</v>
      </c>
      <c r="I79" s="243">
        <f>I80</f>
        <v>50</v>
      </c>
      <c r="M79" s="243">
        <v>0</v>
      </c>
      <c r="N79" s="243">
        <v>0</v>
      </c>
    </row>
    <row r="80" spans="1:14" ht="63">
      <c r="A80" s="10" t="s">
        <v>916</v>
      </c>
      <c r="B80" s="231" t="s">
        <v>917</v>
      </c>
      <c r="C80" s="251">
        <v>0</v>
      </c>
      <c r="D80" s="244">
        <v>15</v>
      </c>
      <c r="E80" s="251">
        <v>15</v>
      </c>
      <c r="F80" s="244">
        <v>50</v>
      </c>
      <c r="G80" s="252">
        <v>50</v>
      </c>
      <c r="H80" s="252">
        <v>50</v>
      </c>
      <c r="I80" s="244">
        <v>50</v>
      </c>
      <c r="M80" s="244">
        <v>0</v>
      </c>
      <c r="N80" s="244">
        <v>0</v>
      </c>
    </row>
    <row r="81" spans="1:15" ht="18.75">
      <c r="A81" s="162" t="s">
        <v>112</v>
      </c>
      <c r="B81" s="172" t="s">
        <v>113</v>
      </c>
      <c r="C81" s="243">
        <f>C82</f>
        <v>5</v>
      </c>
      <c r="D81" s="243">
        <f t="shared" ref="D81" si="47">D82</f>
        <v>232.2</v>
      </c>
      <c r="E81" s="243">
        <f>E82</f>
        <v>232.2</v>
      </c>
      <c r="F81" s="243">
        <f>F82</f>
        <v>5</v>
      </c>
      <c r="G81" s="243">
        <f t="shared" ref="G81:H81" si="48">G82</f>
        <v>5</v>
      </c>
      <c r="H81" s="243">
        <f t="shared" si="48"/>
        <v>5</v>
      </c>
      <c r="I81" s="243">
        <f>I82</f>
        <v>5</v>
      </c>
      <c r="M81" s="243">
        <v>59.77</v>
      </c>
      <c r="N81" s="243">
        <v>1195.4000000000001</v>
      </c>
    </row>
    <row r="82" spans="1:15" ht="31.5">
      <c r="A82" s="272" t="s">
        <v>114</v>
      </c>
      <c r="B82" s="164" t="s">
        <v>115</v>
      </c>
      <c r="C82" s="244">
        <v>5</v>
      </c>
      <c r="D82" s="244">
        <v>232.2</v>
      </c>
      <c r="E82" s="244">
        <v>232.2</v>
      </c>
      <c r="F82" s="244">
        <v>5</v>
      </c>
      <c r="G82" s="246">
        <v>5</v>
      </c>
      <c r="H82" s="246">
        <v>5</v>
      </c>
      <c r="I82" s="244">
        <v>5</v>
      </c>
      <c r="M82" s="244">
        <v>59.77</v>
      </c>
      <c r="N82" s="244">
        <v>1195.4000000000001</v>
      </c>
    </row>
    <row r="83" spans="1:15" ht="63">
      <c r="A83" s="162" t="s">
        <v>116</v>
      </c>
      <c r="B83" s="172" t="s">
        <v>117</v>
      </c>
      <c r="C83" s="243">
        <v>215</v>
      </c>
      <c r="D83" s="243">
        <v>14</v>
      </c>
      <c r="E83" s="243">
        <v>215</v>
      </c>
      <c r="F83" s="243">
        <v>207</v>
      </c>
      <c r="G83" s="243">
        <v>207</v>
      </c>
      <c r="H83" s="243">
        <v>207</v>
      </c>
      <c r="I83" s="243">
        <v>207</v>
      </c>
      <c r="M83" s="243">
        <v>-0.5</v>
      </c>
      <c r="N83" s="243" t="s">
        <v>1017</v>
      </c>
    </row>
    <row r="84" spans="1:15" ht="31.5">
      <c r="A84" s="162" t="s">
        <v>118</v>
      </c>
      <c r="B84" s="172" t="s">
        <v>119</v>
      </c>
      <c r="C84" s="243">
        <f>C85</f>
        <v>547.5</v>
      </c>
      <c r="D84" s="243">
        <f t="shared" ref="D84" si="49">D85</f>
        <v>471.3</v>
      </c>
      <c r="E84" s="243">
        <f>E85</f>
        <v>547.5</v>
      </c>
      <c r="F84" s="243">
        <f>F85</f>
        <v>331</v>
      </c>
      <c r="G84" s="243">
        <f t="shared" ref="G84:H84" si="50">G85</f>
        <v>381</v>
      </c>
      <c r="H84" s="243">
        <f t="shared" si="50"/>
        <v>381</v>
      </c>
      <c r="I84" s="243">
        <f>I85</f>
        <v>331</v>
      </c>
      <c r="M84" s="243">
        <v>100.42</v>
      </c>
      <c r="N84" s="243">
        <v>30.338368580060422</v>
      </c>
    </row>
    <row r="85" spans="1:15" ht="31.5">
      <c r="A85" s="272" t="s">
        <v>120</v>
      </c>
      <c r="B85" s="164" t="s">
        <v>121</v>
      </c>
      <c r="C85" s="244">
        <v>547.5</v>
      </c>
      <c r="D85" s="244">
        <v>471.3</v>
      </c>
      <c r="E85" s="244">
        <v>547.5</v>
      </c>
      <c r="F85" s="244">
        <v>331</v>
      </c>
      <c r="G85" s="246">
        <v>381</v>
      </c>
      <c r="H85" s="246">
        <v>381</v>
      </c>
      <c r="I85" s="244">
        <v>331</v>
      </c>
      <c r="M85" s="244">
        <v>100.42</v>
      </c>
      <c r="N85" s="244">
        <v>30.338368580060422</v>
      </c>
    </row>
    <row r="86" spans="1:15" ht="18.75">
      <c r="A86" s="3" t="s">
        <v>918</v>
      </c>
      <c r="B86" s="238" t="s">
        <v>919</v>
      </c>
      <c r="C86" s="244">
        <v>0</v>
      </c>
      <c r="D86" s="243">
        <f>SUM(D89+D87)</f>
        <v>726.76400000000001</v>
      </c>
      <c r="E86" s="243">
        <f t="shared" ref="E86:I86" si="51">SUM(E89+E87)</f>
        <v>359.4</v>
      </c>
      <c r="F86" s="243">
        <f t="shared" si="51"/>
        <v>0</v>
      </c>
      <c r="G86" s="243">
        <f t="shared" si="51"/>
        <v>0</v>
      </c>
      <c r="H86" s="243">
        <f t="shared" si="51"/>
        <v>0</v>
      </c>
      <c r="I86" s="243">
        <f t="shared" si="51"/>
        <v>0</v>
      </c>
      <c r="M86" s="243">
        <v>126.57</v>
      </c>
      <c r="N86" s="243" t="s">
        <v>1017</v>
      </c>
    </row>
    <row r="87" spans="1:15" ht="18.75">
      <c r="A87" s="2" t="s">
        <v>920</v>
      </c>
      <c r="B87" s="238" t="s">
        <v>921</v>
      </c>
      <c r="C87" s="244">
        <v>0</v>
      </c>
      <c r="D87" s="243">
        <f>SUM(D88)</f>
        <v>367.375</v>
      </c>
      <c r="E87" s="243">
        <f t="shared" ref="E87:I87" si="52">SUM(E88)</f>
        <v>0</v>
      </c>
      <c r="F87" s="243">
        <f t="shared" si="52"/>
        <v>0</v>
      </c>
      <c r="G87" s="243">
        <f t="shared" si="52"/>
        <v>0</v>
      </c>
      <c r="H87" s="243">
        <f t="shared" si="52"/>
        <v>0</v>
      </c>
      <c r="I87" s="243">
        <f t="shared" si="52"/>
        <v>0</v>
      </c>
      <c r="M87" s="243">
        <v>0</v>
      </c>
      <c r="N87" s="243" t="s">
        <v>1017</v>
      </c>
    </row>
    <row r="88" spans="1:15" ht="18.75">
      <c r="A88" s="2" t="s">
        <v>922</v>
      </c>
      <c r="B88" s="231" t="s">
        <v>923</v>
      </c>
      <c r="C88" s="244">
        <v>0</v>
      </c>
      <c r="D88" s="244">
        <v>367.375</v>
      </c>
      <c r="E88" s="244">
        <v>0</v>
      </c>
      <c r="F88" s="244">
        <v>0</v>
      </c>
      <c r="G88" s="246">
        <v>0</v>
      </c>
      <c r="H88" s="246">
        <v>0</v>
      </c>
      <c r="I88" s="244">
        <v>0</v>
      </c>
      <c r="M88" s="244">
        <v>0</v>
      </c>
      <c r="N88" s="244" t="s">
        <v>1017</v>
      </c>
    </row>
    <row r="89" spans="1:15" ht="18.75">
      <c r="A89" s="3" t="s">
        <v>924</v>
      </c>
      <c r="B89" s="238" t="s">
        <v>925</v>
      </c>
      <c r="C89" s="244">
        <v>0</v>
      </c>
      <c r="D89" s="243">
        <f>SUM(D90)</f>
        <v>359.38900000000001</v>
      </c>
      <c r="E89" s="243">
        <f t="shared" ref="E89:I89" si="53">SUM(E90)</f>
        <v>359.4</v>
      </c>
      <c r="F89" s="243">
        <f t="shared" si="53"/>
        <v>0</v>
      </c>
      <c r="G89" s="243">
        <f t="shared" si="53"/>
        <v>0</v>
      </c>
      <c r="H89" s="243">
        <f t="shared" si="53"/>
        <v>0</v>
      </c>
      <c r="I89" s="243">
        <f t="shared" si="53"/>
        <v>0</v>
      </c>
      <c r="M89" s="243">
        <v>126.57</v>
      </c>
      <c r="N89" s="243" t="s">
        <v>1017</v>
      </c>
    </row>
    <row r="90" spans="1:15" ht="18.75">
      <c r="A90" s="2" t="s">
        <v>926</v>
      </c>
      <c r="B90" s="231" t="s">
        <v>927</v>
      </c>
      <c r="C90" s="244">
        <v>0</v>
      </c>
      <c r="D90" s="244">
        <v>359.38900000000001</v>
      </c>
      <c r="E90" s="244">
        <v>359.4</v>
      </c>
      <c r="F90" s="244">
        <v>0</v>
      </c>
      <c r="G90" s="246">
        <v>0</v>
      </c>
      <c r="H90" s="246">
        <v>0</v>
      </c>
      <c r="I90" s="244">
        <v>0</v>
      </c>
      <c r="M90" s="244">
        <v>126.57</v>
      </c>
      <c r="N90" s="244" t="s">
        <v>1017</v>
      </c>
    </row>
    <row r="91" spans="1:15" ht="18.75">
      <c r="A91" s="162" t="s">
        <v>122</v>
      </c>
      <c r="B91" s="163" t="s">
        <v>123</v>
      </c>
      <c r="C91" s="243" t="e">
        <f>C92</f>
        <v>#REF!</v>
      </c>
      <c r="D91" s="243" t="e">
        <f>D92+D147</f>
        <v>#REF!</v>
      </c>
      <c r="E91" s="243" t="e">
        <f>E92</f>
        <v>#REF!</v>
      </c>
      <c r="F91" s="243" t="e">
        <f>F92</f>
        <v>#REF!</v>
      </c>
      <c r="G91" s="243" t="e">
        <f t="shared" ref="G91:H91" si="54">G92</f>
        <v>#REF!</v>
      </c>
      <c r="H91" s="243" t="e">
        <f t="shared" si="54"/>
        <v>#REF!</v>
      </c>
      <c r="I91" s="243">
        <f>SUM(I92)</f>
        <v>385570.3</v>
      </c>
      <c r="J91" s="140">
        <v>325561.8</v>
      </c>
      <c r="K91" s="140">
        <f>I91-J91</f>
        <v>60008.5</v>
      </c>
      <c r="M91" s="243">
        <v>101372.22872000001</v>
      </c>
      <c r="N91" s="243">
        <v>26.29150344826871</v>
      </c>
      <c r="O91" s="140">
        <f>I91-I94-I106</f>
        <v>200974.3</v>
      </c>
    </row>
    <row r="92" spans="1:15" ht="31.5">
      <c r="A92" s="162" t="s">
        <v>124</v>
      </c>
      <c r="B92" s="163" t="s">
        <v>125</v>
      </c>
      <c r="C92" s="243" t="e">
        <f t="shared" ref="C92:H92" si="55">C93+C97+C120+C143</f>
        <v>#REF!</v>
      </c>
      <c r="D92" s="243" t="e">
        <f t="shared" si="55"/>
        <v>#REF!</v>
      </c>
      <c r="E92" s="243" t="e">
        <f t="shared" si="55"/>
        <v>#REF!</v>
      </c>
      <c r="F92" s="243" t="e">
        <f t="shared" si="55"/>
        <v>#REF!</v>
      </c>
      <c r="G92" s="243" t="e">
        <f t="shared" si="55"/>
        <v>#REF!</v>
      </c>
      <c r="H92" s="243" t="e">
        <f t="shared" si="55"/>
        <v>#REF!</v>
      </c>
      <c r="I92" s="243">
        <f>SUM(I93+I97+I120+I143+I147)</f>
        <v>385570.3</v>
      </c>
      <c r="M92" s="243">
        <v>102098.40000000001</v>
      </c>
      <c r="N92" s="243">
        <v>26.479840381896636</v>
      </c>
    </row>
    <row r="93" spans="1:15" ht="18.75">
      <c r="A93" s="162" t="s">
        <v>126</v>
      </c>
      <c r="B93" s="173" t="s">
        <v>127</v>
      </c>
      <c r="C93" s="243">
        <f>C94</f>
        <v>105360</v>
      </c>
      <c r="D93" s="243">
        <f t="shared" ref="D93" si="56">D94</f>
        <v>79011</v>
      </c>
      <c r="E93" s="243">
        <f>E94</f>
        <v>105360</v>
      </c>
      <c r="F93" s="243">
        <f>F94</f>
        <v>115839.7</v>
      </c>
      <c r="G93" s="243">
        <f t="shared" ref="G93:H93" si="57">G94</f>
        <v>105360</v>
      </c>
      <c r="H93" s="243">
        <f t="shared" si="57"/>
        <v>105360</v>
      </c>
      <c r="I93" s="243">
        <f>I94</f>
        <v>112828</v>
      </c>
      <c r="M93" s="243">
        <v>28206</v>
      </c>
      <c r="N93" s="243">
        <v>24.999113695182047</v>
      </c>
    </row>
    <row r="94" spans="1:15" ht="31.5">
      <c r="A94" s="162" t="s">
        <v>128</v>
      </c>
      <c r="B94" s="163" t="s">
        <v>129</v>
      </c>
      <c r="C94" s="243">
        <f>SUM(C95+C96)</f>
        <v>105360</v>
      </c>
      <c r="D94" s="243">
        <f t="shared" ref="D94" si="58">SUM(D95+D96)</f>
        <v>79011</v>
      </c>
      <c r="E94" s="243">
        <f>SUM(E95+E96)</f>
        <v>105360</v>
      </c>
      <c r="F94" s="243">
        <f>SUM(F95+F96)</f>
        <v>115839.7</v>
      </c>
      <c r="G94" s="243">
        <f t="shared" ref="G94:H94" si="59">SUM(G95+G96)</f>
        <v>105360</v>
      </c>
      <c r="H94" s="243">
        <f t="shared" si="59"/>
        <v>105360</v>
      </c>
      <c r="I94" s="243">
        <f>SUM(I95+I96)</f>
        <v>112828</v>
      </c>
      <c r="J94" s="153">
        <v>105360</v>
      </c>
      <c r="K94" s="140">
        <f>I94-J94</f>
        <v>7468</v>
      </c>
      <c r="M94" s="243">
        <v>28206</v>
      </c>
      <c r="N94" s="243">
        <v>24.999113695182047</v>
      </c>
    </row>
    <row r="95" spans="1:15" ht="94.5">
      <c r="A95" s="165" t="s">
        <v>128</v>
      </c>
      <c r="B95" s="170" t="s">
        <v>130</v>
      </c>
      <c r="C95" s="244">
        <v>104300</v>
      </c>
      <c r="D95" s="244">
        <v>78219</v>
      </c>
      <c r="E95" s="244">
        <v>104300</v>
      </c>
      <c r="F95" s="244">
        <f>104300+28315-2567.5-18351+5224.9+38-9780.7+7561+40</f>
        <v>114779.7</v>
      </c>
      <c r="G95" s="244">
        <v>104300</v>
      </c>
      <c r="H95" s="244">
        <v>104300</v>
      </c>
      <c r="I95" s="244">
        <v>111781</v>
      </c>
      <c r="M95" s="244">
        <v>27945</v>
      </c>
      <c r="N95" s="244">
        <v>24.999776348395521</v>
      </c>
    </row>
    <row r="96" spans="1:15" ht="94.5">
      <c r="A96" s="165" t="s">
        <v>128</v>
      </c>
      <c r="B96" s="170" t="s">
        <v>131</v>
      </c>
      <c r="C96" s="244">
        <v>1060</v>
      </c>
      <c r="D96" s="244">
        <v>792</v>
      </c>
      <c r="E96" s="244">
        <v>1060</v>
      </c>
      <c r="F96" s="244">
        <v>1060</v>
      </c>
      <c r="G96" s="244">
        <v>1060</v>
      </c>
      <c r="H96" s="244">
        <v>1060</v>
      </c>
      <c r="I96" s="244">
        <v>1047</v>
      </c>
      <c r="M96" s="244">
        <v>261</v>
      </c>
      <c r="N96" s="244">
        <v>24.928366762177649</v>
      </c>
    </row>
    <row r="97" spans="1:18" ht="30" customHeight="1">
      <c r="A97" s="162" t="s">
        <v>132</v>
      </c>
      <c r="B97" s="163" t="s">
        <v>133</v>
      </c>
      <c r="C97" s="243" t="e">
        <f t="shared" ref="C97:H97" si="60">C98+C100+C102+C104</f>
        <v>#REF!</v>
      </c>
      <c r="D97" s="243" t="e">
        <f t="shared" si="60"/>
        <v>#REF!</v>
      </c>
      <c r="E97" s="243" t="e">
        <f t="shared" si="60"/>
        <v>#REF!</v>
      </c>
      <c r="F97" s="243" t="e">
        <f t="shared" si="60"/>
        <v>#REF!</v>
      </c>
      <c r="G97" s="243" t="e">
        <f t="shared" si="60"/>
        <v>#REF!</v>
      </c>
      <c r="H97" s="243" t="e">
        <f t="shared" si="60"/>
        <v>#REF!</v>
      </c>
      <c r="I97" s="243">
        <f>I102+I100+I104</f>
        <v>83710</v>
      </c>
      <c r="J97" s="140">
        <v>48494.5</v>
      </c>
      <c r="K97" s="140">
        <f>I97-J97</f>
        <v>35215.5</v>
      </c>
      <c r="L97" s="140"/>
      <c r="M97" s="243">
        <v>24914.300000000003</v>
      </c>
      <c r="N97" s="243">
        <v>29.762632899295188</v>
      </c>
      <c r="O97" s="140"/>
    </row>
    <row r="98" spans="1:18" ht="18.75" hidden="1">
      <c r="A98" s="174" t="s">
        <v>814</v>
      </c>
      <c r="B98" s="163" t="s">
        <v>815</v>
      </c>
      <c r="C98" s="243">
        <f>SUM(C99)</f>
        <v>319</v>
      </c>
      <c r="D98" s="243">
        <f t="shared" ref="D98" si="61">SUM(D99)</f>
        <v>319</v>
      </c>
      <c r="E98" s="243">
        <f>SUM(E99)</f>
        <v>319</v>
      </c>
      <c r="F98" s="243">
        <f>SUM(F99)</f>
        <v>0</v>
      </c>
      <c r="G98" s="243">
        <f t="shared" ref="G98:H98" si="62">SUM(G99)</f>
        <v>0</v>
      </c>
      <c r="H98" s="243">
        <f t="shared" si="62"/>
        <v>0</v>
      </c>
      <c r="I98" s="243">
        <f>SUM(I99)</f>
        <v>0</v>
      </c>
      <c r="M98" s="243"/>
      <c r="N98" s="243" t="e">
        <v>#DIV/0!</v>
      </c>
    </row>
    <row r="99" spans="1:18" s="175" customFormat="1" ht="78.75" hidden="1">
      <c r="A99" s="273" t="s">
        <v>816</v>
      </c>
      <c r="B99" s="170" t="s">
        <v>829</v>
      </c>
      <c r="C99" s="244">
        <v>319</v>
      </c>
      <c r="D99" s="244">
        <v>319</v>
      </c>
      <c r="E99" s="244">
        <v>319</v>
      </c>
      <c r="F99" s="244">
        <v>0</v>
      </c>
      <c r="G99" s="244">
        <v>0</v>
      </c>
      <c r="H99" s="244">
        <v>0</v>
      </c>
      <c r="I99" s="244">
        <v>0</v>
      </c>
      <c r="M99" s="244"/>
      <c r="N99" s="244" t="e">
        <v>#DIV/0!</v>
      </c>
    </row>
    <row r="100" spans="1:18" ht="18.75">
      <c r="A100" s="174" t="s">
        <v>784</v>
      </c>
      <c r="B100" s="163" t="s">
        <v>785</v>
      </c>
      <c r="C100" s="243">
        <f>SUM(C101)</f>
        <v>3.5</v>
      </c>
      <c r="D100" s="243">
        <f t="shared" ref="D100" si="63">SUM(D101)</f>
        <v>3.5</v>
      </c>
      <c r="E100" s="243">
        <f>SUM(E101)</f>
        <v>3.5</v>
      </c>
      <c r="F100" s="243">
        <f>SUM(F101)</f>
        <v>0</v>
      </c>
      <c r="G100" s="243">
        <f t="shared" ref="G100:H100" si="64">SUM(G101)</f>
        <v>0</v>
      </c>
      <c r="H100" s="243">
        <f t="shared" si="64"/>
        <v>0</v>
      </c>
      <c r="I100" s="243">
        <f>SUM(I101)</f>
        <v>3</v>
      </c>
      <c r="M100" s="243">
        <v>0</v>
      </c>
      <c r="N100" s="243">
        <v>0</v>
      </c>
    </row>
    <row r="101" spans="1:18" s="175" customFormat="1" ht="78.75">
      <c r="A101" s="273" t="s">
        <v>786</v>
      </c>
      <c r="B101" s="170" t="s">
        <v>996</v>
      </c>
      <c r="C101" s="244">
        <v>3.5</v>
      </c>
      <c r="D101" s="244">
        <v>3.5</v>
      </c>
      <c r="E101" s="244">
        <v>3.5</v>
      </c>
      <c r="F101" s="244">
        <v>0</v>
      </c>
      <c r="G101" s="244">
        <v>0</v>
      </c>
      <c r="H101" s="244">
        <v>0</v>
      </c>
      <c r="I101" s="244">
        <v>3</v>
      </c>
      <c r="M101" s="244">
        <v>0</v>
      </c>
      <c r="N101" s="244">
        <v>0</v>
      </c>
    </row>
    <row r="102" spans="1:18" ht="47.25">
      <c r="A102" s="174" t="s">
        <v>787</v>
      </c>
      <c r="B102" s="163" t="s">
        <v>788</v>
      </c>
      <c r="C102" s="243">
        <f>SUM(C103)</f>
        <v>1406.9</v>
      </c>
      <c r="D102" s="243">
        <f t="shared" ref="D102" si="65">SUM(D103)</f>
        <v>1406.9</v>
      </c>
      <c r="E102" s="243">
        <f>SUM(E103)</f>
        <v>1406.9</v>
      </c>
      <c r="F102" s="243">
        <f>SUM(F103)</f>
        <v>0</v>
      </c>
      <c r="G102" s="243">
        <f t="shared" ref="G102:H102" si="66">SUM(G103)</f>
        <v>0</v>
      </c>
      <c r="H102" s="243">
        <f t="shared" si="66"/>
        <v>0</v>
      </c>
      <c r="I102" s="243">
        <f>SUM(I103)</f>
        <v>1387.9</v>
      </c>
      <c r="M102" s="243">
        <v>0</v>
      </c>
      <c r="N102" s="243">
        <v>0</v>
      </c>
    </row>
    <row r="103" spans="1:18" s="175" customFormat="1" ht="110.25">
      <c r="A103" s="273" t="s">
        <v>789</v>
      </c>
      <c r="B103" s="170" t="s">
        <v>950</v>
      </c>
      <c r="C103" s="244">
        <v>1406.9</v>
      </c>
      <c r="D103" s="244">
        <v>1406.9</v>
      </c>
      <c r="E103" s="244">
        <v>1406.9</v>
      </c>
      <c r="F103" s="244">
        <v>0</v>
      </c>
      <c r="G103" s="244">
        <v>0</v>
      </c>
      <c r="H103" s="244">
        <v>0</v>
      </c>
      <c r="I103" s="244">
        <v>1387.9</v>
      </c>
      <c r="M103" s="244">
        <v>0</v>
      </c>
      <c r="N103" s="244">
        <v>0</v>
      </c>
    </row>
    <row r="104" spans="1:18" ht="18.75">
      <c r="A104" s="299" t="s">
        <v>134</v>
      </c>
      <c r="B104" s="170" t="s">
        <v>135</v>
      </c>
      <c r="C104" s="244" t="e">
        <f>SUM(C106+C107+C108+C109+C112+C113+#REF!+C114+#REF!+#REF!+C115+C116+#REF!+#REF!+#REF!+#REF!+#REF!+#REF!)</f>
        <v>#REF!</v>
      </c>
      <c r="D104" s="244" t="e">
        <f>SUM(D106+D107+D108+D109+D112+D113+#REF!+D114+#REF!+#REF!+D115+D116+#REF!+#REF!+#REF!+#REF!+#REF!+#REF!)</f>
        <v>#REF!</v>
      </c>
      <c r="E104" s="244" t="e">
        <f>SUM(E106+E107+E108+E109+E112+E113+#REF!+E114+#REF!+#REF!+E115+E116+#REF!+#REF!+#REF!+#REF!+#REF!+#REF!)</f>
        <v>#REF!</v>
      </c>
      <c r="F104" s="244" t="e">
        <f>SUM(F106+F107+F108+F109+F112+F113+#REF!+F114+#REF!+#REF!+F115+F116+#REF!+#REF!+#REF!+#REF!+#REF!+#REF!)</f>
        <v>#REF!</v>
      </c>
      <c r="G104" s="244" t="e">
        <f>SUM(G106+G107+G108+G109+G112+G113+#REF!+G114+#REF!+#REF!+G115+G116+#REF!+#REF!+#REF!+#REF!+#REF!+#REF!)</f>
        <v>#REF!</v>
      </c>
      <c r="H104" s="244" t="e">
        <f>SUM(H106+H107+H108+H109+H112+H113+#REF!+H114+#REF!+#REF!+H115+H116+#REF!+#REF!+#REF!+#REF!+#REF!+#REF!)</f>
        <v>#REF!</v>
      </c>
      <c r="I104" s="271">
        <f>SUM(I106+I107+I108+I109+I112+I113+I114+I115+I116+I117+I118+I119)</f>
        <v>82319.100000000006</v>
      </c>
      <c r="M104" s="271">
        <v>24914.300000000003</v>
      </c>
      <c r="N104" s="271">
        <v>30.265515536491534</v>
      </c>
      <c r="O104" s="140"/>
    </row>
    <row r="105" spans="1:18" ht="18.75">
      <c r="A105" s="300"/>
      <c r="B105" s="170" t="s">
        <v>136</v>
      </c>
      <c r="C105" s="244"/>
      <c r="D105" s="244"/>
      <c r="E105" s="244"/>
      <c r="F105" s="244"/>
      <c r="G105" s="244"/>
      <c r="H105" s="244"/>
      <c r="I105" s="244"/>
      <c r="M105" s="244"/>
      <c r="N105" s="244"/>
    </row>
    <row r="106" spans="1:18" ht="141.75">
      <c r="A106" s="300"/>
      <c r="B106" s="170" t="s">
        <v>945</v>
      </c>
      <c r="C106" s="244">
        <v>18292</v>
      </c>
      <c r="D106" s="244">
        <v>13716</v>
      </c>
      <c r="E106" s="244">
        <v>18292</v>
      </c>
      <c r="F106" s="244">
        <v>18292</v>
      </c>
      <c r="G106" s="244">
        <v>18292</v>
      </c>
      <c r="H106" s="244">
        <v>18292</v>
      </c>
      <c r="I106" s="244">
        <f>55654+16114</f>
        <v>71768</v>
      </c>
      <c r="M106" s="244">
        <v>17940</v>
      </c>
      <c r="N106" s="244">
        <v>24.997213242670828</v>
      </c>
    </row>
    <row r="107" spans="1:18" ht="63">
      <c r="A107" s="300"/>
      <c r="B107" s="164" t="s">
        <v>959</v>
      </c>
      <c r="C107" s="244">
        <v>177.3</v>
      </c>
      <c r="D107" s="244">
        <v>0</v>
      </c>
      <c r="E107" s="244">
        <v>177.3</v>
      </c>
      <c r="F107" s="244">
        <v>177.3</v>
      </c>
      <c r="G107" s="244">
        <v>177.3</v>
      </c>
      <c r="H107" s="244">
        <v>177.3</v>
      </c>
      <c r="I107" s="244">
        <v>158.5</v>
      </c>
      <c r="M107" s="244">
        <v>0</v>
      </c>
      <c r="N107" s="244">
        <v>0</v>
      </c>
    </row>
    <row r="108" spans="1:18" ht="78.75">
      <c r="A108" s="300"/>
      <c r="B108" s="176" t="s">
        <v>801</v>
      </c>
      <c r="C108" s="253">
        <v>1303.8</v>
      </c>
      <c r="D108" s="253">
        <v>1303.8</v>
      </c>
      <c r="E108" s="253">
        <v>1303.8</v>
      </c>
      <c r="F108" s="253">
        <v>1303.8</v>
      </c>
      <c r="G108" s="253">
        <v>1303.8</v>
      </c>
      <c r="H108" s="253">
        <v>1303.8</v>
      </c>
      <c r="I108" s="253">
        <v>1303.8</v>
      </c>
      <c r="M108" s="253">
        <v>0</v>
      </c>
      <c r="N108" s="253">
        <v>0</v>
      </c>
    </row>
    <row r="109" spans="1:18" ht="63">
      <c r="A109" s="300"/>
      <c r="B109" s="177" t="s">
        <v>947</v>
      </c>
      <c r="C109" s="254">
        <f>SUM(C110:C111)</f>
        <v>72</v>
      </c>
      <c r="D109" s="254">
        <f>SUM(D110:D111)</f>
        <v>20</v>
      </c>
      <c r="E109" s="254">
        <f>SUM(E110:E111)</f>
        <v>72</v>
      </c>
      <c r="F109" s="254">
        <f>SUM(F110:F111)</f>
        <v>72</v>
      </c>
      <c r="G109" s="254">
        <f t="shared" ref="G109:H109" si="67">SUM(G110:G111)</f>
        <v>72</v>
      </c>
      <c r="H109" s="254">
        <f t="shared" si="67"/>
        <v>72</v>
      </c>
      <c r="I109" s="254">
        <f>SUM(I110:I111)</f>
        <v>50</v>
      </c>
      <c r="M109" s="254">
        <v>0</v>
      </c>
      <c r="N109" s="254">
        <v>0</v>
      </c>
    </row>
    <row r="110" spans="1:18" s="178" customFormat="1" ht="94.5" hidden="1" customHeight="1">
      <c r="A110" s="300"/>
      <c r="B110" s="195" t="s">
        <v>790</v>
      </c>
      <c r="C110" s="255">
        <v>32</v>
      </c>
      <c r="D110" s="255">
        <v>0</v>
      </c>
      <c r="E110" s="255">
        <v>32</v>
      </c>
      <c r="F110" s="255">
        <v>32</v>
      </c>
      <c r="G110" s="255">
        <v>32</v>
      </c>
      <c r="H110" s="255">
        <v>32</v>
      </c>
      <c r="I110" s="255">
        <v>0</v>
      </c>
      <c r="M110" s="255">
        <v>0</v>
      </c>
      <c r="N110" s="255" t="e">
        <v>#DIV/0!</v>
      </c>
      <c r="R110" s="153"/>
    </row>
    <row r="111" spans="1:18" s="178" customFormat="1" ht="110.25">
      <c r="A111" s="300"/>
      <c r="B111" s="196" t="s">
        <v>995</v>
      </c>
      <c r="C111" s="256">
        <v>40</v>
      </c>
      <c r="D111" s="256">
        <v>20</v>
      </c>
      <c r="E111" s="256">
        <v>40</v>
      </c>
      <c r="F111" s="256">
        <v>40</v>
      </c>
      <c r="G111" s="256">
        <v>40</v>
      </c>
      <c r="H111" s="256">
        <v>40</v>
      </c>
      <c r="I111" s="256">
        <v>50</v>
      </c>
      <c r="M111" s="256">
        <v>0</v>
      </c>
      <c r="N111" s="256">
        <v>0</v>
      </c>
      <c r="R111" s="153"/>
    </row>
    <row r="112" spans="1:18" ht="78.75">
      <c r="A112" s="300"/>
      <c r="B112" s="164" t="s">
        <v>137</v>
      </c>
      <c r="C112" s="244">
        <v>1293.5999999999999</v>
      </c>
      <c r="D112" s="244">
        <v>580</v>
      </c>
      <c r="E112" s="244">
        <v>1293.5999999999999</v>
      </c>
      <c r="F112" s="244">
        <v>1293.5999999999999</v>
      </c>
      <c r="G112" s="244">
        <v>1293.5999999999999</v>
      </c>
      <c r="H112" s="244">
        <v>1293.5999999999999</v>
      </c>
      <c r="I112" s="244">
        <v>1293.5999999999999</v>
      </c>
      <c r="M112" s="244">
        <v>330</v>
      </c>
      <c r="N112" s="244">
        <v>25.510204081632654</v>
      </c>
    </row>
    <row r="113" spans="1:14" ht="78.75">
      <c r="A113" s="300"/>
      <c r="B113" s="164" t="s">
        <v>948</v>
      </c>
      <c r="C113" s="244">
        <v>450</v>
      </c>
      <c r="D113" s="244">
        <v>280</v>
      </c>
      <c r="E113" s="244">
        <v>450</v>
      </c>
      <c r="F113" s="244">
        <v>450</v>
      </c>
      <c r="G113" s="244">
        <v>450</v>
      </c>
      <c r="H113" s="244">
        <v>450</v>
      </c>
      <c r="I113" s="244">
        <v>510</v>
      </c>
      <c r="M113" s="244">
        <v>170</v>
      </c>
      <c r="N113" s="244">
        <v>33.333333333333329</v>
      </c>
    </row>
    <row r="114" spans="1:14" ht="94.5">
      <c r="A114" s="300"/>
      <c r="B114" s="164" t="s">
        <v>949</v>
      </c>
      <c r="C114" s="244">
        <v>488.7</v>
      </c>
      <c r="D114" s="244">
        <v>288.3</v>
      </c>
      <c r="E114" s="244">
        <v>488.7</v>
      </c>
      <c r="F114" s="244">
        <v>488.7</v>
      </c>
      <c r="G114" s="244">
        <v>488.7</v>
      </c>
      <c r="H114" s="244">
        <v>488.7</v>
      </c>
      <c r="I114" s="244">
        <v>488.7</v>
      </c>
      <c r="M114" s="244">
        <v>155</v>
      </c>
      <c r="N114" s="244">
        <v>31.716799672600775</v>
      </c>
    </row>
    <row r="115" spans="1:14" ht="110.25">
      <c r="A115" s="300"/>
      <c r="B115" s="164" t="s">
        <v>950</v>
      </c>
      <c r="C115" s="244">
        <v>191.9</v>
      </c>
      <c r="D115" s="244">
        <v>191.9</v>
      </c>
      <c r="E115" s="244">
        <v>191.9</v>
      </c>
      <c r="F115" s="244">
        <v>0</v>
      </c>
      <c r="G115" s="244">
        <v>0</v>
      </c>
      <c r="H115" s="244">
        <v>0</v>
      </c>
      <c r="I115" s="244">
        <v>137.30000000000001</v>
      </c>
      <c r="M115" s="244">
        <v>0</v>
      </c>
      <c r="N115" s="244">
        <v>0</v>
      </c>
    </row>
    <row r="116" spans="1:14" ht="94.5">
      <c r="A116" s="300"/>
      <c r="B116" s="164" t="s">
        <v>967</v>
      </c>
      <c r="C116" s="244">
        <v>0.5</v>
      </c>
      <c r="D116" s="244">
        <v>0.5</v>
      </c>
      <c r="E116" s="244">
        <v>0.5</v>
      </c>
      <c r="F116" s="244">
        <v>0</v>
      </c>
      <c r="G116" s="244">
        <v>0</v>
      </c>
      <c r="H116" s="244">
        <v>0</v>
      </c>
      <c r="I116" s="244">
        <v>4148.3999999999996</v>
      </c>
      <c r="M116" s="244">
        <v>4148.3999999999996</v>
      </c>
      <c r="N116" s="244">
        <v>100</v>
      </c>
    </row>
    <row r="117" spans="1:14" ht="78.75">
      <c r="A117" s="300"/>
      <c r="B117" s="287" t="s">
        <v>986</v>
      </c>
      <c r="C117" s="244"/>
      <c r="D117" s="244"/>
      <c r="E117" s="244"/>
      <c r="F117" s="244"/>
      <c r="G117" s="244"/>
      <c r="H117" s="244"/>
      <c r="I117" s="244">
        <f>1915.9+255</f>
        <v>2170.9</v>
      </c>
      <c r="M117" s="244">
        <v>2170.9</v>
      </c>
      <c r="N117" s="244">
        <v>100</v>
      </c>
    </row>
    <row r="118" spans="1:14" ht="78.75">
      <c r="A118" s="300"/>
      <c r="B118" s="287" t="s">
        <v>990</v>
      </c>
      <c r="C118" s="244"/>
      <c r="D118" s="244"/>
      <c r="E118" s="244"/>
      <c r="F118" s="244"/>
      <c r="G118" s="244"/>
      <c r="H118" s="244"/>
      <c r="I118" s="244">
        <v>289.60000000000002</v>
      </c>
      <c r="M118" s="244">
        <v>0</v>
      </c>
      <c r="N118" s="244">
        <v>0</v>
      </c>
    </row>
    <row r="119" spans="1:14" ht="78.75">
      <c r="A119" s="301"/>
      <c r="B119" s="287" t="s">
        <v>997</v>
      </c>
      <c r="C119" s="244"/>
      <c r="D119" s="244"/>
      <c r="E119" s="244"/>
      <c r="F119" s="244"/>
      <c r="G119" s="244"/>
      <c r="H119" s="244"/>
      <c r="I119" s="244">
        <v>0.3</v>
      </c>
      <c r="M119" s="244">
        <v>0</v>
      </c>
      <c r="N119" s="244">
        <v>0</v>
      </c>
    </row>
    <row r="120" spans="1:14" ht="18.75">
      <c r="A120" s="162" t="s">
        <v>138</v>
      </c>
      <c r="B120" s="172" t="s">
        <v>139</v>
      </c>
      <c r="C120" s="243">
        <f t="shared" ref="C120:H120" si="68">C141+C121</f>
        <v>153786.49999999997</v>
      </c>
      <c r="D120" s="243">
        <f t="shared" si="68"/>
        <v>126329.75700000001</v>
      </c>
      <c r="E120" s="243">
        <f t="shared" si="68"/>
        <v>153786.49999999997</v>
      </c>
      <c r="F120" s="243">
        <f t="shared" si="68"/>
        <v>151654.49999999997</v>
      </c>
      <c r="G120" s="243">
        <f t="shared" si="68"/>
        <v>151654.49999999997</v>
      </c>
      <c r="H120" s="243">
        <f t="shared" si="68"/>
        <v>151654.49999999997</v>
      </c>
      <c r="I120" s="243">
        <f>I141+I121+I139+I137</f>
        <v>158313.20000000001</v>
      </c>
      <c r="J120" s="153">
        <v>153786.5</v>
      </c>
      <c r="K120" s="140">
        <f>I120-J120</f>
        <v>4526.7000000000116</v>
      </c>
      <c r="M120" s="243">
        <v>46671</v>
      </c>
      <c r="N120" s="243">
        <v>29.480169688945708</v>
      </c>
    </row>
    <row r="121" spans="1:14" ht="31.5">
      <c r="A121" s="162" t="s">
        <v>140</v>
      </c>
      <c r="B121" s="172" t="s">
        <v>141</v>
      </c>
      <c r="C121" s="243">
        <f>C122</f>
        <v>153084.69999999998</v>
      </c>
      <c r="D121" s="243">
        <f t="shared" ref="D121" si="69">D122</f>
        <v>125634.50700000001</v>
      </c>
      <c r="E121" s="243">
        <f>E122</f>
        <v>153084.69999999998</v>
      </c>
      <c r="F121" s="243">
        <f>F122</f>
        <v>150952.69999999998</v>
      </c>
      <c r="G121" s="243">
        <f t="shared" ref="G121:H121" si="70">G122</f>
        <v>150952.69999999998</v>
      </c>
      <c r="H121" s="243">
        <f t="shared" si="70"/>
        <v>150952.69999999998</v>
      </c>
      <c r="I121" s="243">
        <f>I122</f>
        <v>157165.1</v>
      </c>
      <c r="M121" s="243">
        <v>46518.8</v>
      </c>
      <c r="N121" s="243">
        <v>29.598683168209739</v>
      </c>
    </row>
    <row r="122" spans="1:14" ht="31.5">
      <c r="A122" s="299" t="s">
        <v>142</v>
      </c>
      <c r="B122" s="164" t="s">
        <v>143</v>
      </c>
      <c r="C122" s="244">
        <f t="shared" ref="C122:I122" si="71">SUM(C124+C125+C126+C127+C128+C129+C130+C133+C134+C135+C136)</f>
        <v>153084.69999999998</v>
      </c>
      <c r="D122" s="244">
        <f t="shared" si="71"/>
        <v>125634.50700000001</v>
      </c>
      <c r="E122" s="244">
        <f t="shared" si="71"/>
        <v>153084.69999999998</v>
      </c>
      <c r="F122" s="244">
        <f t="shared" si="71"/>
        <v>150952.69999999998</v>
      </c>
      <c r="G122" s="244">
        <f t="shared" si="71"/>
        <v>150952.69999999998</v>
      </c>
      <c r="H122" s="244">
        <f t="shared" si="71"/>
        <v>150952.69999999998</v>
      </c>
      <c r="I122" s="244">
        <f t="shared" si="71"/>
        <v>157165.1</v>
      </c>
      <c r="M122" s="244">
        <v>46518.8</v>
      </c>
      <c r="N122" s="244">
        <v>29.598683168209739</v>
      </c>
    </row>
    <row r="123" spans="1:14" ht="18.75">
      <c r="A123" s="300"/>
      <c r="B123" s="164" t="s">
        <v>144</v>
      </c>
      <c r="C123" s="244"/>
      <c r="D123" s="244"/>
      <c r="E123" s="244"/>
      <c r="F123" s="244"/>
      <c r="G123" s="244"/>
      <c r="H123" s="244"/>
      <c r="I123" s="244"/>
      <c r="M123" s="244"/>
      <c r="N123" s="244"/>
    </row>
    <row r="124" spans="1:14" ht="94.5">
      <c r="A124" s="300"/>
      <c r="B124" s="176" t="s">
        <v>802</v>
      </c>
      <c r="C124" s="254">
        <v>79753.600000000006</v>
      </c>
      <c r="D124" s="254">
        <v>66712.5</v>
      </c>
      <c r="E124" s="254">
        <v>79753.600000000006</v>
      </c>
      <c r="F124" s="254">
        <v>79753.600000000006</v>
      </c>
      <c r="G124" s="254">
        <v>79753.600000000006</v>
      </c>
      <c r="H124" s="254">
        <v>79753.600000000006</v>
      </c>
      <c r="I124" s="254">
        <v>79406.8</v>
      </c>
      <c r="M124" s="254">
        <v>23586.799999999999</v>
      </c>
      <c r="N124" s="254">
        <v>29.703753330948985</v>
      </c>
    </row>
    <row r="125" spans="1:14" ht="78.75">
      <c r="A125" s="300"/>
      <c r="B125" s="164" t="s">
        <v>145</v>
      </c>
      <c r="C125" s="244">
        <f>58518.6-2198.6</f>
        <v>56320</v>
      </c>
      <c r="D125" s="244">
        <v>46863</v>
      </c>
      <c r="E125" s="244">
        <f>58518.6-2198.6</f>
        <v>56320</v>
      </c>
      <c r="F125" s="244">
        <f>58518.6-2198.6</f>
        <v>56320</v>
      </c>
      <c r="G125" s="244">
        <f t="shared" ref="G125:H125" si="72">58518.6-2198.6</f>
        <v>56320</v>
      </c>
      <c r="H125" s="244">
        <f t="shared" si="72"/>
        <v>56320</v>
      </c>
      <c r="I125" s="244">
        <v>62045.599999999999</v>
      </c>
      <c r="M125" s="244">
        <v>19010</v>
      </c>
      <c r="N125" s="244">
        <v>30.638756011707518</v>
      </c>
    </row>
    <row r="126" spans="1:14" ht="110.25">
      <c r="A126" s="300"/>
      <c r="B126" s="164" t="s">
        <v>791</v>
      </c>
      <c r="C126" s="244">
        <v>4932.5</v>
      </c>
      <c r="D126" s="244">
        <v>3043.0569999999998</v>
      </c>
      <c r="E126" s="244">
        <v>4932.5</v>
      </c>
      <c r="F126" s="244">
        <v>4932.5</v>
      </c>
      <c r="G126" s="244">
        <v>4932.5</v>
      </c>
      <c r="H126" s="244">
        <v>4932.5</v>
      </c>
      <c r="I126" s="244">
        <f>4932.5+171.6</f>
        <v>5104.1000000000004</v>
      </c>
      <c r="M126" s="244">
        <v>883.5</v>
      </c>
      <c r="N126" s="244">
        <v>17.309613839854237</v>
      </c>
    </row>
    <row r="127" spans="1:14" ht="110.25">
      <c r="A127" s="300"/>
      <c r="B127" s="164" t="s">
        <v>792</v>
      </c>
      <c r="C127" s="244">
        <v>1507.8</v>
      </c>
      <c r="D127" s="244">
        <v>1075.0999999999999</v>
      </c>
      <c r="E127" s="244">
        <v>1507.8</v>
      </c>
      <c r="F127" s="244">
        <v>1507.8</v>
      </c>
      <c r="G127" s="244">
        <v>1507.8</v>
      </c>
      <c r="H127" s="244">
        <v>1507.8</v>
      </c>
      <c r="I127" s="244">
        <v>1507.8</v>
      </c>
      <c r="M127" s="244">
        <v>292.7</v>
      </c>
      <c r="N127" s="244">
        <v>19.412388910996153</v>
      </c>
    </row>
    <row r="128" spans="1:14" ht="94.5">
      <c r="A128" s="300"/>
      <c r="B128" s="164" t="s">
        <v>146</v>
      </c>
      <c r="C128" s="244">
        <v>1752.9</v>
      </c>
      <c r="D128" s="244">
        <v>1279.5</v>
      </c>
      <c r="E128" s="244">
        <v>1752.9</v>
      </c>
      <c r="F128" s="244">
        <v>1752.9</v>
      </c>
      <c r="G128" s="244">
        <v>1752.9</v>
      </c>
      <c r="H128" s="244">
        <v>1752.9</v>
      </c>
      <c r="I128" s="244">
        <v>1752.9</v>
      </c>
      <c r="M128" s="244">
        <v>438.3</v>
      </c>
      <c r="N128" s="244">
        <v>25.004278623994523</v>
      </c>
    </row>
    <row r="129" spans="1:14" ht="94.5">
      <c r="A129" s="300"/>
      <c r="B129" s="164" t="s">
        <v>147</v>
      </c>
      <c r="C129" s="244">
        <v>1281.4000000000001</v>
      </c>
      <c r="D129" s="244">
        <v>838.6</v>
      </c>
      <c r="E129" s="244">
        <v>1281.4000000000001</v>
      </c>
      <c r="F129" s="244">
        <v>1281.4000000000001</v>
      </c>
      <c r="G129" s="244">
        <v>1281.4000000000001</v>
      </c>
      <c r="H129" s="244">
        <v>1281.4000000000001</v>
      </c>
      <c r="I129" s="244">
        <f>1326.4-425.1</f>
        <v>901.30000000000007</v>
      </c>
      <c r="M129" s="244">
        <v>164.8</v>
      </c>
      <c r="N129" s="244">
        <v>18.284699877954065</v>
      </c>
    </row>
    <row r="130" spans="1:14" ht="47.25">
      <c r="A130" s="300"/>
      <c r="B130" s="164" t="s">
        <v>148</v>
      </c>
      <c r="C130" s="244">
        <f>SUM(C131:C132)</f>
        <v>3148.5</v>
      </c>
      <c r="D130" s="244">
        <f t="shared" ref="D130" si="73">SUM(D131:D132)</f>
        <v>2267.6</v>
      </c>
      <c r="E130" s="244">
        <f>SUM(E131:E132)</f>
        <v>3148.5</v>
      </c>
      <c r="F130" s="244">
        <f>SUM(F131:F132)</f>
        <v>3148.5</v>
      </c>
      <c r="G130" s="244">
        <f t="shared" ref="G130:H130" si="74">SUM(G131:G132)</f>
        <v>3148.5</v>
      </c>
      <c r="H130" s="244">
        <f t="shared" si="74"/>
        <v>3148.5</v>
      </c>
      <c r="I130" s="244">
        <f>SUM(I131:I132)</f>
        <v>3148.7</v>
      </c>
      <c r="M130" s="244">
        <v>722.7</v>
      </c>
      <c r="N130" s="244">
        <v>22.952329532823075</v>
      </c>
    </row>
    <row r="131" spans="1:14" ht="31.5">
      <c r="A131" s="300"/>
      <c r="B131" s="179" t="s">
        <v>793</v>
      </c>
      <c r="C131" s="256">
        <v>2510</v>
      </c>
      <c r="D131" s="256">
        <v>1832.3</v>
      </c>
      <c r="E131" s="256">
        <v>2510</v>
      </c>
      <c r="F131" s="256">
        <v>2510</v>
      </c>
      <c r="G131" s="256">
        <v>2510</v>
      </c>
      <c r="H131" s="256">
        <v>2510</v>
      </c>
      <c r="I131" s="256">
        <f>2510+0.2</f>
        <v>2510.1999999999998</v>
      </c>
      <c r="M131" s="256">
        <v>600.6</v>
      </c>
      <c r="N131" s="256">
        <v>23.926380368098162</v>
      </c>
    </row>
    <row r="132" spans="1:14" ht="31.5">
      <c r="A132" s="300"/>
      <c r="B132" s="179" t="s">
        <v>794</v>
      </c>
      <c r="C132" s="256">
        <v>638.5</v>
      </c>
      <c r="D132" s="256">
        <v>435.3</v>
      </c>
      <c r="E132" s="256">
        <v>638.5</v>
      </c>
      <c r="F132" s="256">
        <v>638.5</v>
      </c>
      <c r="G132" s="256">
        <v>638.5</v>
      </c>
      <c r="H132" s="256">
        <v>638.5</v>
      </c>
      <c r="I132" s="256">
        <v>638.5</v>
      </c>
      <c r="M132" s="256">
        <v>122.1</v>
      </c>
      <c r="N132" s="256">
        <v>19.122944400939701</v>
      </c>
    </row>
    <row r="133" spans="1:14" ht="126">
      <c r="A133" s="300"/>
      <c r="B133" s="164" t="s">
        <v>946</v>
      </c>
      <c r="C133" s="244">
        <v>263.3</v>
      </c>
      <c r="D133" s="244">
        <v>123.8</v>
      </c>
      <c r="E133" s="244">
        <v>263.3</v>
      </c>
      <c r="F133" s="244">
        <v>263.3</v>
      </c>
      <c r="G133" s="244">
        <v>263.3</v>
      </c>
      <c r="H133" s="244">
        <v>263.3</v>
      </c>
      <c r="I133" s="244">
        <v>273.7</v>
      </c>
      <c r="M133" s="244">
        <v>45.8</v>
      </c>
      <c r="N133" s="244">
        <v>16.733649981731823</v>
      </c>
    </row>
    <row r="134" spans="1:14" ht="110.25">
      <c r="A134" s="300"/>
      <c r="B134" s="164" t="s">
        <v>149</v>
      </c>
      <c r="C134" s="244">
        <v>886.5</v>
      </c>
      <c r="D134" s="244">
        <v>623.20000000000005</v>
      </c>
      <c r="E134" s="244">
        <v>886.5</v>
      </c>
      <c r="F134" s="244">
        <v>886.5</v>
      </c>
      <c r="G134" s="244">
        <v>886.5</v>
      </c>
      <c r="H134" s="244">
        <v>886.5</v>
      </c>
      <c r="I134" s="244">
        <f>886.5+55.5</f>
        <v>942</v>
      </c>
      <c r="M134" s="244">
        <v>232.6</v>
      </c>
      <c r="N134" s="244">
        <v>24.692144373673035</v>
      </c>
    </row>
    <row r="135" spans="1:14" ht="47.25">
      <c r="A135" s="300"/>
      <c r="B135" s="164" t="s">
        <v>150</v>
      </c>
      <c r="C135" s="244">
        <v>1106.2</v>
      </c>
      <c r="D135" s="244">
        <v>676.15</v>
      </c>
      <c r="E135" s="244">
        <v>1106.2</v>
      </c>
      <c r="F135" s="244">
        <v>1106.2</v>
      </c>
      <c r="G135" s="244">
        <v>1106.2</v>
      </c>
      <c r="H135" s="244">
        <v>1106.2</v>
      </c>
      <c r="I135" s="244">
        <v>1106.2</v>
      </c>
      <c r="M135" s="244">
        <v>165.6</v>
      </c>
      <c r="N135" s="244">
        <v>14.970168143192911</v>
      </c>
    </row>
    <row r="136" spans="1:14" ht="32.25" customHeight="1">
      <c r="A136" s="301"/>
      <c r="B136" s="164" t="s">
        <v>795</v>
      </c>
      <c r="C136" s="244">
        <v>2132</v>
      </c>
      <c r="D136" s="244">
        <v>2132</v>
      </c>
      <c r="E136" s="244">
        <v>2132</v>
      </c>
      <c r="F136" s="244">
        <v>0</v>
      </c>
      <c r="G136" s="244">
        <v>0</v>
      </c>
      <c r="H136" s="244">
        <v>0</v>
      </c>
      <c r="I136" s="244">
        <v>976</v>
      </c>
      <c r="M136" s="244">
        <v>976</v>
      </c>
      <c r="N136" s="244">
        <v>100</v>
      </c>
    </row>
    <row r="137" spans="1:14" ht="63">
      <c r="A137" s="288" t="s">
        <v>968</v>
      </c>
      <c r="B137" s="289" t="s">
        <v>969</v>
      </c>
      <c r="C137" s="244"/>
      <c r="D137" s="244"/>
      <c r="E137" s="244"/>
      <c r="F137" s="244"/>
      <c r="G137" s="244"/>
      <c r="H137" s="244"/>
      <c r="I137" s="244">
        <f>SUM(I138)</f>
        <v>378.5</v>
      </c>
      <c r="M137" s="244">
        <v>0</v>
      </c>
      <c r="N137" s="244">
        <v>0</v>
      </c>
    </row>
    <row r="138" spans="1:14" ht="63">
      <c r="A138" s="18" t="s">
        <v>970</v>
      </c>
      <c r="B138" s="290" t="s">
        <v>971</v>
      </c>
      <c r="C138" s="244"/>
      <c r="D138" s="244"/>
      <c r="E138" s="244"/>
      <c r="F138" s="244"/>
      <c r="G138" s="244"/>
      <c r="H138" s="244"/>
      <c r="I138" s="244">
        <v>378.5</v>
      </c>
      <c r="M138" s="244">
        <v>0</v>
      </c>
      <c r="N138" s="244">
        <v>0</v>
      </c>
    </row>
    <row r="139" spans="1:14" ht="32.25" customHeight="1">
      <c r="A139" s="180" t="s">
        <v>953</v>
      </c>
      <c r="B139" s="172" t="s">
        <v>954</v>
      </c>
      <c r="C139" s="243"/>
      <c r="D139" s="243"/>
      <c r="E139" s="243"/>
      <c r="F139" s="243"/>
      <c r="G139" s="243"/>
      <c r="H139" s="243"/>
      <c r="I139" s="243">
        <f>I140</f>
        <v>96.2</v>
      </c>
      <c r="M139" s="243">
        <v>0</v>
      </c>
      <c r="N139" s="243">
        <v>0</v>
      </c>
    </row>
    <row r="140" spans="1:14" ht="32.25" customHeight="1">
      <c r="A140" s="274" t="s">
        <v>951</v>
      </c>
      <c r="B140" s="164" t="s">
        <v>952</v>
      </c>
      <c r="C140" s="244"/>
      <c r="D140" s="244"/>
      <c r="E140" s="244"/>
      <c r="F140" s="244"/>
      <c r="G140" s="244"/>
      <c r="H140" s="244"/>
      <c r="I140" s="244">
        <v>96.2</v>
      </c>
      <c r="M140" s="244">
        <v>0</v>
      </c>
      <c r="N140" s="244">
        <v>0</v>
      </c>
    </row>
    <row r="141" spans="1:14" ht="31.5">
      <c r="A141" s="162" t="s">
        <v>151</v>
      </c>
      <c r="B141" s="172" t="s">
        <v>152</v>
      </c>
      <c r="C141" s="243">
        <f>C142</f>
        <v>701.8</v>
      </c>
      <c r="D141" s="243">
        <f t="shared" ref="D141" si="75">D142</f>
        <v>695.25</v>
      </c>
      <c r="E141" s="243">
        <f>E142</f>
        <v>701.8</v>
      </c>
      <c r="F141" s="243">
        <f>F142</f>
        <v>701.8</v>
      </c>
      <c r="G141" s="243">
        <f t="shared" ref="G141:H141" si="76">G142</f>
        <v>701.8</v>
      </c>
      <c r="H141" s="243">
        <f t="shared" si="76"/>
        <v>701.8</v>
      </c>
      <c r="I141" s="243">
        <f>I142</f>
        <v>673.4</v>
      </c>
      <c r="M141" s="243">
        <v>152.19999999999999</v>
      </c>
      <c r="N141" s="243">
        <v>22.601722601722603</v>
      </c>
    </row>
    <row r="142" spans="1:14" ht="31.5">
      <c r="A142" s="272" t="s">
        <v>153</v>
      </c>
      <c r="B142" s="164" t="s">
        <v>154</v>
      </c>
      <c r="C142" s="244">
        <v>701.8</v>
      </c>
      <c r="D142" s="244">
        <v>695.25</v>
      </c>
      <c r="E142" s="244">
        <v>701.8</v>
      </c>
      <c r="F142" s="244">
        <v>701.8</v>
      </c>
      <c r="G142" s="244">
        <v>701.8</v>
      </c>
      <c r="H142" s="244">
        <v>701.8</v>
      </c>
      <c r="I142" s="244">
        <v>673.4</v>
      </c>
      <c r="M142" s="244">
        <v>152.19999999999999</v>
      </c>
      <c r="N142" s="244">
        <v>22.601722601722603</v>
      </c>
    </row>
    <row r="143" spans="1:14" ht="18.75">
      <c r="A143" s="162" t="s">
        <v>155</v>
      </c>
      <c r="B143" s="172" t="s">
        <v>156</v>
      </c>
      <c r="C143" s="243" t="e">
        <f>SUM(#REF!+C144)</f>
        <v>#REF!</v>
      </c>
      <c r="D143" s="243" t="e">
        <f>SUM(#REF!+D144)</f>
        <v>#REF!</v>
      </c>
      <c r="E143" s="243" t="e">
        <f>SUM(#REF!+E144)</f>
        <v>#REF!</v>
      </c>
      <c r="F143" s="243" t="e">
        <f>SUM(#REF!+F144)</f>
        <v>#REF!</v>
      </c>
      <c r="G143" s="243" t="e">
        <f>SUM(#REF!+G144)</f>
        <v>#REF!</v>
      </c>
      <c r="H143" s="243" t="e">
        <f>SUM(#REF!+H144)</f>
        <v>#REF!</v>
      </c>
      <c r="I143" s="243">
        <f>SUM(I144)</f>
        <v>10719.099999999999</v>
      </c>
      <c r="M143" s="243">
        <v>2307.1</v>
      </c>
      <c r="N143" s="243">
        <v>21.52326221417843</v>
      </c>
    </row>
    <row r="144" spans="1:14" ht="18.75">
      <c r="A144" s="162" t="s">
        <v>157</v>
      </c>
      <c r="B144" s="172" t="s">
        <v>158</v>
      </c>
      <c r="C144" s="243">
        <f t="shared" ref="C144:I144" si="77">SUM(C145:C146)</f>
        <v>10920.8</v>
      </c>
      <c r="D144" s="243">
        <f t="shared" si="77"/>
        <v>7284.7</v>
      </c>
      <c r="E144" s="243">
        <f t="shared" si="77"/>
        <v>10920.8</v>
      </c>
      <c r="F144" s="243">
        <f t="shared" si="77"/>
        <v>10920.8</v>
      </c>
      <c r="G144" s="243">
        <f t="shared" si="77"/>
        <v>10920.8</v>
      </c>
      <c r="H144" s="243">
        <f t="shared" si="77"/>
        <v>10920.8</v>
      </c>
      <c r="I144" s="243">
        <f t="shared" si="77"/>
        <v>10719.099999999999</v>
      </c>
      <c r="M144" s="243">
        <v>2307.1</v>
      </c>
      <c r="N144" s="243">
        <v>21.52326221417843</v>
      </c>
    </row>
    <row r="145" spans="1:18" ht="110.25">
      <c r="A145" s="297" t="s">
        <v>159</v>
      </c>
      <c r="B145" s="181" t="s">
        <v>992</v>
      </c>
      <c r="C145" s="257">
        <v>9227.5</v>
      </c>
      <c r="D145" s="257">
        <v>6274.7</v>
      </c>
      <c r="E145" s="257">
        <v>9227.5</v>
      </c>
      <c r="F145" s="257">
        <v>9227.5</v>
      </c>
      <c r="G145" s="257">
        <v>9227.5</v>
      </c>
      <c r="H145" s="257">
        <v>9227.5</v>
      </c>
      <c r="I145" s="257">
        <f>9227.5-157.2</f>
        <v>9070.2999999999993</v>
      </c>
      <c r="M145" s="257">
        <v>1922.4</v>
      </c>
      <c r="N145" s="257">
        <v>21.194447813192511</v>
      </c>
    </row>
    <row r="146" spans="1:18" ht="126">
      <c r="A146" s="297"/>
      <c r="B146" s="181" t="s">
        <v>993</v>
      </c>
      <c r="C146" s="257">
        <v>1693.3</v>
      </c>
      <c r="D146" s="257">
        <v>1010</v>
      </c>
      <c r="E146" s="257">
        <v>1693.3</v>
      </c>
      <c r="F146" s="257">
        <v>1693.3</v>
      </c>
      <c r="G146" s="257">
        <v>1693.3</v>
      </c>
      <c r="H146" s="257">
        <v>1693.3</v>
      </c>
      <c r="I146" s="257">
        <f>1693.3-44.5</f>
        <v>1648.8</v>
      </c>
      <c r="M146" s="257">
        <v>384.7</v>
      </c>
      <c r="N146" s="257">
        <v>23.332120329936924</v>
      </c>
    </row>
    <row r="147" spans="1:18" ht="18.75">
      <c r="A147" s="20" t="s">
        <v>972</v>
      </c>
      <c r="B147" s="291" t="s">
        <v>973</v>
      </c>
      <c r="C147" s="292">
        <v>0</v>
      </c>
      <c r="D147" s="292">
        <f>SUM(D149)</f>
        <v>-1324.9</v>
      </c>
      <c r="E147" s="292">
        <f>SUM(E149)</f>
        <v>-1324.9</v>
      </c>
      <c r="F147" s="292">
        <f t="shared" ref="F147:H147" si="78">SUM(F149)</f>
        <v>0</v>
      </c>
      <c r="G147" s="292">
        <f t="shared" si="78"/>
        <v>0</v>
      </c>
      <c r="H147" s="292">
        <f t="shared" si="78"/>
        <v>0</v>
      </c>
      <c r="I147" s="292">
        <f>SUM(I148)</f>
        <v>20000</v>
      </c>
      <c r="M147" s="292">
        <v>0</v>
      </c>
      <c r="N147" s="292">
        <v>0</v>
      </c>
    </row>
    <row r="148" spans="1:18" ht="18.75">
      <c r="A148" s="20" t="s">
        <v>974</v>
      </c>
      <c r="B148" s="291" t="s">
        <v>975</v>
      </c>
      <c r="C148" s="292"/>
      <c r="D148" s="292"/>
      <c r="E148" s="292"/>
      <c r="F148" s="292"/>
      <c r="G148" s="292"/>
      <c r="H148" s="292"/>
      <c r="I148" s="292">
        <f>SUM(I149)</f>
        <v>20000</v>
      </c>
      <c r="M148" s="292">
        <v>0</v>
      </c>
      <c r="N148" s="292">
        <v>0</v>
      </c>
    </row>
    <row r="149" spans="1:18" ht="18.75">
      <c r="A149" s="17" t="s">
        <v>976</v>
      </c>
      <c r="B149" s="293" t="s">
        <v>977</v>
      </c>
      <c r="C149" s="257">
        <v>0</v>
      </c>
      <c r="D149" s="257">
        <v>-1324.9</v>
      </c>
      <c r="E149" s="257">
        <v>-1324.9</v>
      </c>
      <c r="F149" s="257">
        <v>0</v>
      </c>
      <c r="G149" s="257">
        <v>0</v>
      </c>
      <c r="H149" s="257">
        <v>0</v>
      </c>
      <c r="I149" s="257">
        <v>20000</v>
      </c>
      <c r="M149" s="257">
        <v>0</v>
      </c>
      <c r="N149" s="257">
        <v>0</v>
      </c>
    </row>
    <row r="150" spans="1:18" ht="18.75">
      <c r="A150" s="272"/>
      <c r="B150" s="268" t="s">
        <v>160</v>
      </c>
      <c r="C150" s="243" t="e">
        <f t="shared" ref="C150:H150" si="79">SUM(C91+C13+C147)</f>
        <v>#REF!</v>
      </c>
      <c r="D150" s="243" t="e">
        <f t="shared" si="79"/>
        <v>#REF!</v>
      </c>
      <c r="E150" s="243" t="e">
        <f t="shared" si="79"/>
        <v>#REF!</v>
      </c>
      <c r="F150" s="243" t="e">
        <f t="shared" si="79"/>
        <v>#REF!</v>
      </c>
      <c r="G150" s="243" t="e">
        <f t="shared" si="79"/>
        <v>#REF!</v>
      </c>
      <c r="H150" s="243" t="e">
        <f t="shared" si="79"/>
        <v>#REF!</v>
      </c>
      <c r="I150" s="243">
        <f>SUM(I13+I91)</f>
        <v>658886.69999999995</v>
      </c>
      <c r="M150" s="243">
        <f>SUM(M13+M91)</f>
        <v>173160.22100000002</v>
      </c>
      <c r="N150" s="243">
        <f>M150/I150*100</f>
        <v>26.280727930917415</v>
      </c>
      <c r="R150" s="140">
        <f>I91-I94-I106</f>
        <v>200974.3</v>
      </c>
    </row>
    <row r="151" spans="1:18">
      <c r="M151" s="153">
        <v>-726.17128000000002</v>
      </c>
      <c r="N151" s="153" t="s">
        <v>1017</v>
      </c>
    </row>
    <row r="152" spans="1:18">
      <c r="M152" s="153">
        <v>173160.22100000002</v>
      </c>
      <c r="N152" s="153">
        <v>26.280727930917415</v>
      </c>
    </row>
  </sheetData>
  <mergeCells count="6">
    <mergeCell ref="A145:A146"/>
    <mergeCell ref="A9:I9"/>
    <mergeCell ref="A122:A136"/>
    <mergeCell ref="A104:A119"/>
    <mergeCell ref="A7:N7"/>
    <mergeCell ref="A8:N8"/>
  </mergeCells>
  <pageMargins left="0.39370078740157483" right="0.39370078740157483" top="1.1811023622047245" bottom="0.39370078740157483" header="0.31496062992125984" footer="0.31496062992125984"/>
  <pageSetup paperSize="9" scale="59" orientation="portrait" r:id="rId1"/>
  <ignoredErrors>
    <ignoredError sqref="I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topLeftCell="A33" zoomScaleNormal="100" zoomScaleSheetLayoutView="100" workbookViewId="0">
      <selection activeCell="A6" sqref="A6"/>
    </sheetView>
  </sheetViews>
  <sheetFormatPr defaultRowHeight="15"/>
  <cols>
    <col min="1" max="1" width="6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11" width="13.140625" customWidth="1"/>
  </cols>
  <sheetData>
    <row r="1" spans="1:11" ht="18.75">
      <c r="A1" s="12"/>
      <c r="C1" s="12"/>
      <c r="J1" s="277" t="s">
        <v>1014</v>
      </c>
    </row>
    <row r="2" spans="1:11" ht="18.75">
      <c r="A2" s="12"/>
      <c r="C2" s="12"/>
      <c r="J2" s="277" t="s">
        <v>999</v>
      </c>
    </row>
    <row r="3" spans="1:11" ht="18.75">
      <c r="A3" s="12"/>
      <c r="C3" s="12"/>
      <c r="J3" s="277" t="s">
        <v>1000</v>
      </c>
    </row>
    <row r="4" spans="1:11" ht="18.75">
      <c r="A4" s="12"/>
      <c r="C4" s="12"/>
      <c r="J4" s="277" t="s">
        <v>1001</v>
      </c>
    </row>
    <row r="5" spans="1:11" ht="18.75">
      <c r="A5" s="12"/>
      <c r="C5" s="12"/>
      <c r="I5" s="270"/>
      <c r="J5" s="277" t="s">
        <v>1021</v>
      </c>
      <c r="K5" s="270"/>
    </row>
    <row r="6" spans="1:11" ht="18.75">
      <c r="A6" s="12"/>
      <c r="C6" s="12"/>
      <c r="I6" s="270"/>
      <c r="J6" s="277"/>
      <c r="K6" s="270"/>
    </row>
    <row r="7" spans="1:11" ht="16.5">
      <c r="A7" s="302" t="s">
        <v>1002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</row>
    <row r="8" spans="1:11" ht="16.5">
      <c r="A8" s="302" t="s">
        <v>757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</row>
    <row r="9" spans="1:11" ht="16.5">
      <c r="A9" s="302" t="s">
        <v>1003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</row>
    <row r="10" spans="1:11" ht="15.75">
      <c r="B10" s="112"/>
      <c r="C10" s="112"/>
      <c r="D10" s="113" t="s">
        <v>1</v>
      </c>
      <c r="I10" s="260"/>
      <c r="J10" s="260"/>
      <c r="K10" s="260"/>
    </row>
    <row r="11" spans="1:11" ht="66" customHeight="1">
      <c r="A11" s="114" t="s">
        <v>758</v>
      </c>
      <c r="B11" s="114" t="s">
        <v>759</v>
      </c>
      <c r="C11" s="114" t="s">
        <v>760</v>
      </c>
      <c r="D11" s="77" t="s">
        <v>4</v>
      </c>
      <c r="E11" s="227" t="s">
        <v>886</v>
      </c>
      <c r="F11" s="241" t="s">
        <v>890</v>
      </c>
      <c r="G11" s="227" t="s">
        <v>887</v>
      </c>
      <c r="H11" s="227" t="s">
        <v>888</v>
      </c>
      <c r="I11" s="227" t="s">
        <v>1004</v>
      </c>
      <c r="J11" s="279" t="s">
        <v>1005</v>
      </c>
      <c r="K11" s="279" t="s">
        <v>1006</v>
      </c>
    </row>
    <row r="12" spans="1:11" ht="15.75">
      <c r="A12" s="49" t="s">
        <v>170</v>
      </c>
      <c r="B12" s="25" t="s">
        <v>171</v>
      </c>
      <c r="C12" s="115"/>
      <c r="D12" s="116">
        <f>D13+D14+D15+D16+D18</f>
        <v>118780.09999999998</v>
      </c>
      <c r="E12" s="116">
        <f t="shared" ref="E12:I12" si="0">E13+E14+E15+E16+E18</f>
        <v>108948.27960784313</v>
      </c>
      <c r="F12" s="116">
        <f t="shared" si="0"/>
        <v>137733.79999999999</v>
      </c>
      <c r="G12" s="116">
        <f t="shared" si="0"/>
        <v>138680.9</v>
      </c>
      <c r="H12" s="116">
        <f t="shared" si="0"/>
        <v>139391.69999999998</v>
      </c>
      <c r="I12" s="116">
        <f t="shared" si="0"/>
        <v>135107.29999999999</v>
      </c>
      <c r="J12" s="116">
        <f t="shared" ref="J12" si="1">J13+J14+J15+J16+J18</f>
        <v>27975.499999999996</v>
      </c>
      <c r="K12" s="116">
        <f>J12/I12*100</f>
        <v>20.706135049697536</v>
      </c>
    </row>
    <row r="13" spans="1:11" ht="31.5">
      <c r="A13" s="33" t="s">
        <v>629</v>
      </c>
      <c r="B13" s="21" t="s">
        <v>171</v>
      </c>
      <c r="C13" s="21" t="s">
        <v>266</v>
      </c>
      <c r="D13" s="28">
        <f>'ПРил.№3 Рд,пр, ЦС,ВР'!F13</f>
        <v>4133.6000000000004</v>
      </c>
      <c r="E13" s="28">
        <f>'ПРил.№3 Рд,пр, ЦС,ВР'!G13</f>
        <v>4411.6000000000004</v>
      </c>
      <c r="F13" s="28">
        <f>'ПРил.№3 Рд,пр, ЦС,ВР'!H13</f>
        <v>4342.8</v>
      </c>
      <c r="G13" s="28">
        <f>'ПРил.№3 Рд,пр, ЦС,ВР'!I13</f>
        <v>4342.8</v>
      </c>
      <c r="H13" s="28">
        <f>'ПРил.№3 Рд,пр, ЦС,ВР'!J13</f>
        <v>4342.8</v>
      </c>
      <c r="I13" s="28">
        <f>'ПРил.№3 Рд,пр, ЦС,ВР'!K13</f>
        <v>4342.8</v>
      </c>
      <c r="J13" s="28">
        <f>'ПРил.№3 Рд,пр, ЦС,ВР'!L13</f>
        <v>980.5</v>
      </c>
      <c r="K13" s="294">
        <f t="shared" ref="K13:K52" si="2">J13/I13*100</f>
        <v>22.577599705259281</v>
      </c>
    </row>
    <row r="14" spans="1:11" ht="47.25">
      <c r="A14" s="33" t="s">
        <v>632</v>
      </c>
      <c r="B14" s="21" t="s">
        <v>171</v>
      </c>
      <c r="C14" s="21" t="s">
        <v>268</v>
      </c>
      <c r="D14" s="28">
        <f>'ПРил.№3 Рд,пр, ЦС,ВР'!F21</f>
        <v>1138.7</v>
      </c>
      <c r="E14" s="28">
        <f>'ПРил.№3 Рд,пр, ЦС,ВР'!G21</f>
        <v>1302.7</v>
      </c>
      <c r="F14" s="28">
        <f>'ПРил.№3 Рд,пр, ЦС,ВР'!H21</f>
        <v>1049.5</v>
      </c>
      <c r="G14" s="28">
        <f>'ПРил.№3 Рд,пр, ЦС,ВР'!I21</f>
        <v>1049.5</v>
      </c>
      <c r="H14" s="28">
        <f>'ПРил.№3 Рд,пр, ЦС,ВР'!J21</f>
        <v>1049.5</v>
      </c>
      <c r="I14" s="28">
        <f>'ПРил.№3 Рд,пр, ЦС,ВР'!K21</f>
        <v>1049.5</v>
      </c>
      <c r="J14" s="28">
        <f>'ПРил.№3 Рд,пр, ЦС,ВР'!L21</f>
        <v>196.4</v>
      </c>
      <c r="K14" s="294">
        <f t="shared" si="2"/>
        <v>18.713673177703669</v>
      </c>
    </row>
    <row r="15" spans="1:11" ht="47.25">
      <c r="A15" s="26" t="s">
        <v>202</v>
      </c>
      <c r="B15" s="21" t="s">
        <v>171</v>
      </c>
      <c r="C15" s="21" t="s">
        <v>203</v>
      </c>
      <c r="D15" s="28">
        <f>'ПРил.№3 Рд,пр, ЦС,ВР'!F31</f>
        <v>62597.19999999999</v>
      </c>
      <c r="E15" s="28">
        <f>'ПРил.№3 Рд,пр, ЦС,ВР'!G31</f>
        <v>59087.519607843133</v>
      </c>
      <c r="F15" s="28">
        <f>'ПРил.№3 Рд,пр, ЦС,ВР'!H31</f>
        <v>60573.200000000004</v>
      </c>
      <c r="G15" s="28">
        <f>'ПРил.№3 Рд,пр, ЦС,ВР'!I31</f>
        <v>60922.1</v>
      </c>
      <c r="H15" s="28">
        <f>'ПРил.№3 Рд,пр, ЦС,ВР'!J31</f>
        <v>61133.4</v>
      </c>
      <c r="I15" s="28">
        <f>'ПРил.№3 Рд,пр, ЦС,ВР'!K31</f>
        <v>62620.4</v>
      </c>
      <c r="J15" s="28">
        <f>'ПРил.№3 Рд,пр, ЦС,ВР'!L31</f>
        <v>12542.099999999999</v>
      </c>
      <c r="K15" s="294">
        <f t="shared" si="2"/>
        <v>20.028776564825517</v>
      </c>
    </row>
    <row r="16" spans="1:11" ht="47.25">
      <c r="A16" s="26" t="s">
        <v>172</v>
      </c>
      <c r="B16" s="21" t="s">
        <v>171</v>
      </c>
      <c r="C16" s="21" t="s">
        <v>173</v>
      </c>
      <c r="D16" s="28">
        <f>'ПРил.№3 Рд,пр, ЦС,ВР'!F56</f>
        <v>16933.86</v>
      </c>
      <c r="E16" s="28">
        <f>'ПРил.№3 Рд,пр, ЦС,ВР'!G56</f>
        <v>16560.599999999999</v>
      </c>
      <c r="F16" s="28">
        <f>'ПРил.№3 Рд,пр, ЦС,ВР'!H56</f>
        <v>20031.599999999999</v>
      </c>
      <c r="G16" s="28">
        <f>'ПРил.№3 Рд,пр, ЦС,ВР'!I56</f>
        <v>20031.599999999999</v>
      </c>
      <c r="H16" s="28">
        <f>'ПРил.№3 Рд,пр, ЦС,ВР'!J56</f>
        <v>20031.599999999999</v>
      </c>
      <c r="I16" s="28">
        <f>'ПРил.№3 Рд,пр, ЦС,ВР'!K56</f>
        <v>17015.400000000001</v>
      </c>
      <c r="J16" s="28">
        <f>'ПРил.№3 Рд,пр, ЦС,ВР'!L56</f>
        <v>2851.8999999999996</v>
      </c>
      <c r="K16" s="294">
        <f t="shared" si="2"/>
        <v>16.760699131375105</v>
      </c>
    </row>
    <row r="17" spans="1:11" ht="15.75" hidden="1">
      <c r="A17" s="26" t="s">
        <v>761</v>
      </c>
      <c r="B17" s="21" t="s">
        <v>171</v>
      </c>
      <c r="C17" s="21" t="s">
        <v>545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4" t="e">
        <f t="shared" si="2"/>
        <v>#DIV/0!</v>
      </c>
    </row>
    <row r="18" spans="1:11" ht="15.75">
      <c r="A18" s="117" t="s">
        <v>192</v>
      </c>
      <c r="B18" s="21" t="s">
        <v>171</v>
      </c>
      <c r="C18" s="21" t="s">
        <v>193</v>
      </c>
      <c r="D18" s="28">
        <f>'ПРил.№3 Рд,пр, ЦС,ВР'!F74</f>
        <v>33976.74</v>
      </c>
      <c r="E18" s="28">
        <f>'ПРил.№3 Рд,пр, ЦС,ВР'!G74</f>
        <v>27585.86</v>
      </c>
      <c r="F18" s="28">
        <f>'ПРил.№3 Рд,пр, ЦС,ВР'!H74</f>
        <v>51736.7</v>
      </c>
      <c r="G18" s="28">
        <f>'ПРил.№3 Рд,пр, ЦС,ВР'!I74</f>
        <v>52334.9</v>
      </c>
      <c r="H18" s="28">
        <f>'ПРил.№3 Рд,пр, ЦС,ВР'!J74</f>
        <v>52834.400000000001</v>
      </c>
      <c r="I18" s="28">
        <f>'ПРил.№3 Рд,пр, ЦС,ВР'!K74</f>
        <v>50079.199999999997</v>
      </c>
      <c r="J18" s="28">
        <f>'ПРил.№3 Рд,пр, ЦС,ВР'!L74</f>
        <v>11404.599999999999</v>
      </c>
      <c r="K18" s="294">
        <f t="shared" si="2"/>
        <v>22.773127366251856</v>
      </c>
    </row>
    <row r="19" spans="1:11" ht="15.75" hidden="1">
      <c r="A19" s="20" t="s">
        <v>265</v>
      </c>
      <c r="B19" s="25" t="s">
        <v>266</v>
      </c>
      <c r="C19" s="21"/>
      <c r="D19" s="46">
        <f>D20</f>
        <v>0</v>
      </c>
      <c r="E19" s="46">
        <f t="shared" ref="E19:J19" si="3">E20</f>
        <v>0</v>
      </c>
      <c r="F19" s="46">
        <f t="shared" si="3"/>
        <v>322.89999999999998</v>
      </c>
      <c r="G19" s="46">
        <f t="shared" si="3"/>
        <v>22.3</v>
      </c>
      <c r="H19" s="46">
        <f t="shared" si="3"/>
        <v>22.3</v>
      </c>
      <c r="I19" s="46">
        <f t="shared" si="3"/>
        <v>0</v>
      </c>
      <c r="J19" s="46">
        <f t="shared" si="3"/>
        <v>0</v>
      </c>
      <c r="K19" s="116" t="e">
        <f t="shared" si="2"/>
        <v>#DIV/0!</v>
      </c>
    </row>
    <row r="20" spans="1:11" ht="15.75" hidden="1">
      <c r="A20" s="26" t="s">
        <v>271</v>
      </c>
      <c r="B20" s="21" t="s">
        <v>266</v>
      </c>
      <c r="C20" s="21" t="s">
        <v>272</v>
      </c>
      <c r="D20" s="28">
        <f>'ПРил.№3 Рд,пр, ЦС,ВР'!F205</f>
        <v>0</v>
      </c>
      <c r="E20" s="28">
        <f>'ПРил.№3 Рд,пр, ЦС,ВР'!G205</f>
        <v>0</v>
      </c>
      <c r="F20" s="28">
        <f>'ПРил.№3 Рд,пр, ЦС,ВР'!H205</f>
        <v>322.89999999999998</v>
      </c>
      <c r="G20" s="28">
        <f>'ПРил.№3 Рд,пр, ЦС,ВР'!I205</f>
        <v>22.3</v>
      </c>
      <c r="H20" s="28">
        <f>'ПРил.№3 Рд,пр, ЦС,ВР'!J205</f>
        <v>22.3</v>
      </c>
      <c r="I20" s="28">
        <f>'ПРил.№3 Рд,пр, ЦС,ВР'!K205</f>
        <v>0</v>
      </c>
      <c r="J20" s="28">
        <f>'ПРил.№3 Рд,пр, ЦС,ВР'!L205</f>
        <v>0</v>
      </c>
      <c r="K20" s="116" t="e">
        <f t="shared" si="2"/>
        <v>#DIV/0!</v>
      </c>
    </row>
    <row r="21" spans="1:11" ht="18" customHeight="1">
      <c r="A21" s="36" t="s">
        <v>275</v>
      </c>
      <c r="B21" s="25" t="s">
        <v>268</v>
      </c>
      <c r="C21" s="25"/>
      <c r="D21" s="46">
        <f>D22</f>
        <v>7209.4000000000005</v>
      </c>
      <c r="E21" s="46">
        <f t="shared" ref="E21:J21" si="4">E22</f>
        <v>5540.3666666666668</v>
      </c>
      <c r="F21" s="46">
        <f t="shared" si="4"/>
        <v>10330.9</v>
      </c>
      <c r="G21" s="46">
        <f t="shared" si="4"/>
        <v>8923.6</v>
      </c>
      <c r="H21" s="46">
        <f t="shared" si="4"/>
        <v>8970.1</v>
      </c>
      <c r="I21" s="46">
        <f t="shared" si="4"/>
        <v>9234.4</v>
      </c>
      <c r="J21" s="46">
        <f t="shared" si="4"/>
        <v>1148.0999999999999</v>
      </c>
      <c r="K21" s="116">
        <f t="shared" si="2"/>
        <v>12.432859741834877</v>
      </c>
    </row>
    <row r="22" spans="1:11" ht="31.5">
      <c r="A22" s="33" t="s">
        <v>276</v>
      </c>
      <c r="B22" s="21" t="s">
        <v>268</v>
      </c>
      <c r="C22" s="21" t="s">
        <v>272</v>
      </c>
      <c r="D22" s="28">
        <f>'ПРил.№3 Рд,пр, ЦС,ВР'!F212</f>
        <v>7209.4000000000005</v>
      </c>
      <c r="E22" s="28">
        <f>'ПРил.№3 Рд,пр, ЦС,ВР'!G212</f>
        <v>5540.3666666666668</v>
      </c>
      <c r="F22" s="28">
        <f>'ПРил.№3 Рд,пр, ЦС,ВР'!H212</f>
        <v>10330.9</v>
      </c>
      <c r="G22" s="28">
        <f>'ПРил.№3 Рд,пр, ЦС,ВР'!I212</f>
        <v>8923.6</v>
      </c>
      <c r="H22" s="28">
        <f>'ПРил.№3 Рд,пр, ЦС,ВР'!J212</f>
        <v>8970.1</v>
      </c>
      <c r="I22" s="28">
        <f>'ПРил.№3 Рд,пр, ЦС,ВР'!K212</f>
        <v>9234.4</v>
      </c>
      <c r="J22" s="28">
        <f>'ПРил.№3 Рд,пр, ЦС,ВР'!L212</f>
        <v>1148.0999999999999</v>
      </c>
      <c r="K22" s="294">
        <f t="shared" si="2"/>
        <v>12.432859741834877</v>
      </c>
    </row>
    <row r="23" spans="1:11" ht="15.75">
      <c r="A23" s="49" t="s">
        <v>285</v>
      </c>
      <c r="B23" s="25" t="s">
        <v>203</v>
      </c>
      <c r="C23" s="25"/>
      <c r="D23" s="46">
        <f>D24+D25+D26+D27</f>
        <v>20153.2</v>
      </c>
      <c r="E23" s="46">
        <f t="shared" ref="E23:I23" si="5">E24+E25+E26+E27</f>
        <v>20153.2</v>
      </c>
      <c r="F23" s="46">
        <f t="shared" si="5"/>
        <v>20153.2</v>
      </c>
      <c r="G23" s="46">
        <f t="shared" si="5"/>
        <v>20793.2</v>
      </c>
      <c r="H23" s="46">
        <f t="shared" si="5"/>
        <v>20793.2</v>
      </c>
      <c r="I23" s="46">
        <f t="shared" si="5"/>
        <v>12224.5</v>
      </c>
      <c r="J23" s="46">
        <f t="shared" ref="J23" si="6">J24+J25+J26+J27</f>
        <v>1612.5</v>
      </c>
      <c r="K23" s="116">
        <f t="shared" si="2"/>
        <v>13.190723546975336</v>
      </c>
    </row>
    <row r="24" spans="1:11" ht="15.75">
      <c r="A24" s="118" t="s">
        <v>286</v>
      </c>
      <c r="B24" s="21" t="s">
        <v>203</v>
      </c>
      <c r="C24" s="21" t="s">
        <v>287</v>
      </c>
      <c r="D24" s="28">
        <f>'ПРил.№3 Рд,пр, ЦС,ВР'!F230</f>
        <v>450</v>
      </c>
      <c r="E24" s="28">
        <f>'ПРил.№3 Рд,пр, ЦС,ВР'!G230</f>
        <v>450</v>
      </c>
      <c r="F24" s="28">
        <f>'ПРил.№3 Рд,пр, ЦС,ВР'!H230</f>
        <v>450</v>
      </c>
      <c r="G24" s="28">
        <f>'ПРил.№3 Рд,пр, ЦС,ВР'!I230</f>
        <v>550</v>
      </c>
      <c r="H24" s="28">
        <f>'ПРил.№3 Рд,пр, ЦС,ВР'!J230</f>
        <v>550</v>
      </c>
      <c r="I24" s="28">
        <f>'ПРил.№3 Рд,пр, ЦС,ВР'!K230</f>
        <v>919.6</v>
      </c>
      <c r="J24" s="28">
        <f>'ПРил.№3 Рд,пр, ЦС,ВР'!L230</f>
        <v>175</v>
      </c>
      <c r="K24" s="294">
        <f t="shared" si="2"/>
        <v>19.030013049151805</v>
      </c>
    </row>
    <row r="25" spans="1:11" ht="15.75">
      <c r="A25" s="117" t="s">
        <v>559</v>
      </c>
      <c r="B25" s="21" t="s">
        <v>203</v>
      </c>
      <c r="C25" s="21" t="s">
        <v>352</v>
      </c>
      <c r="D25" s="28">
        <f>'ПРил.№3 Рд,пр, ЦС,ВР'!F246</f>
        <v>3207.7</v>
      </c>
      <c r="E25" s="28">
        <f>'ПРил.№3 Рд,пр, ЦС,ВР'!G246</f>
        <v>3207.7</v>
      </c>
      <c r="F25" s="28">
        <f>'ПРил.№3 Рд,пр, ЦС,ВР'!H246</f>
        <v>3207.7</v>
      </c>
      <c r="G25" s="28">
        <f>'ПРил.№3 Рд,пр, ЦС,ВР'!I246</f>
        <v>3207.7</v>
      </c>
      <c r="H25" s="28">
        <f>'ПРил.№3 Рд,пр, ЦС,ВР'!J246</f>
        <v>3207.7</v>
      </c>
      <c r="I25" s="28">
        <f>'ПРил.№3 Рд,пр, ЦС,ВР'!K246</f>
        <v>3258.3</v>
      </c>
      <c r="J25" s="28">
        <f>'ПРил.№3 Рд,пр, ЦС,ВР'!L246</f>
        <v>522</v>
      </c>
      <c r="K25" s="294">
        <f t="shared" si="2"/>
        <v>16.020624251910505</v>
      </c>
    </row>
    <row r="26" spans="1:11" ht="15.75">
      <c r="A26" s="117" t="s">
        <v>562</v>
      </c>
      <c r="B26" s="21" t="s">
        <v>203</v>
      </c>
      <c r="C26" s="21" t="s">
        <v>272</v>
      </c>
      <c r="D26" s="28">
        <f>'ПРил.№3 Рд,пр, ЦС,ВР'!F252</f>
        <v>15124.1</v>
      </c>
      <c r="E26" s="28">
        <f>'ПРил.№3 Рд,пр, ЦС,ВР'!G252</f>
        <v>15124.1</v>
      </c>
      <c r="F26" s="28">
        <f>'ПРил.№3 Рд,пр, ЦС,ВР'!H252</f>
        <v>15124.1</v>
      </c>
      <c r="G26" s="28">
        <f>'ПРил.№3 Рд,пр, ЦС,ВР'!I252</f>
        <v>15124.1</v>
      </c>
      <c r="H26" s="28">
        <f>'ПРил.№3 Рд,пр, ЦС,ВР'!J252</f>
        <v>15124.1</v>
      </c>
      <c r="I26" s="28">
        <f>'ПРил.№3 Рд,пр, ЦС,ВР'!K252</f>
        <v>6895.3</v>
      </c>
      <c r="J26" s="28">
        <f>'ПРил.№3 Рд,пр, ЦС,ВР'!L252</f>
        <v>837.3</v>
      </c>
      <c r="K26" s="294">
        <f t="shared" si="2"/>
        <v>12.143053964294518</v>
      </c>
    </row>
    <row r="27" spans="1:11" ht="15.75">
      <c r="A27" s="119" t="s">
        <v>290</v>
      </c>
      <c r="B27" s="21" t="s">
        <v>203</v>
      </c>
      <c r="C27" s="21" t="s">
        <v>291</v>
      </c>
      <c r="D27" s="28">
        <f>'ПРил.№3 Рд,пр, ЦС,ВР'!F259</f>
        <v>1371.3999999999999</v>
      </c>
      <c r="E27" s="28">
        <f>'ПРил.№3 Рд,пр, ЦС,ВР'!G259</f>
        <v>1371.3999999999999</v>
      </c>
      <c r="F27" s="28">
        <f>'ПРил.№3 Рд,пр, ЦС,ВР'!H259</f>
        <v>1371.3999999999999</v>
      </c>
      <c r="G27" s="28">
        <f>'ПРил.№3 Рд,пр, ЦС,ВР'!I259</f>
        <v>1911.3999999999999</v>
      </c>
      <c r="H27" s="28">
        <f>'ПРил.№3 Рд,пр, ЦС,ВР'!J259</f>
        <v>1911.3999999999999</v>
      </c>
      <c r="I27" s="28">
        <f>'ПРил.№3 Рд,пр, ЦС,ВР'!K259</f>
        <v>1151.3</v>
      </c>
      <c r="J27" s="28">
        <f>'ПРил.№3 Рд,пр, ЦС,ВР'!L259</f>
        <v>78.2</v>
      </c>
      <c r="K27" s="294">
        <f t="shared" si="2"/>
        <v>6.7923217232693487</v>
      </c>
    </row>
    <row r="28" spans="1:11" ht="15.75">
      <c r="A28" s="49" t="s">
        <v>444</v>
      </c>
      <c r="B28" s="25" t="s">
        <v>287</v>
      </c>
      <c r="C28" s="25"/>
      <c r="D28" s="46">
        <f>SUM(D29:D32)</f>
        <v>109165.59999999999</v>
      </c>
      <c r="E28" s="46">
        <f t="shared" ref="E28:H28" si="7">SUM(E29:E32)</f>
        <v>90925.805882352943</v>
      </c>
      <c r="F28" s="46">
        <f t="shared" si="7"/>
        <v>65675</v>
      </c>
      <c r="G28" s="46">
        <f t="shared" si="7"/>
        <v>65971.899999999994</v>
      </c>
      <c r="H28" s="46">
        <f t="shared" si="7"/>
        <v>67991.899999999994</v>
      </c>
      <c r="I28" s="46">
        <f>SUM(I29:I32)</f>
        <v>97791.6</v>
      </c>
      <c r="J28" s="46">
        <f>SUM(J29:J32)</f>
        <v>11501.1</v>
      </c>
      <c r="K28" s="116">
        <f t="shared" si="2"/>
        <v>11.760826083221872</v>
      </c>
    </row>
    <row r="29" spans="1:11" ht="15.75">
      <c r="A29" s="118" t="s">
        <v>445</v>
      </c>
      <c r="B29" s="21" t="s">
        <v>287</v>
      </c>
      <c r="C29" s="21" t="s">
        <v>171</v>
      </c>
      <c r="D29" s="28">
        <f>'ПРил.№3 Рд,пр, ЦС,ВР'!F275</f>
        <v>8865.2000000000007</v>
      </c>
      <c r="E29" s="28">
        <f>'ПРил.№3 Рд,пр, ЦС,ВР'!G275</f>
        <v>8757.6</v>
      </c>
      <c r="F29" s="28">
        <f>'ПРил.№3 Рд,пр, ЦС,ВР'!H275</f>
        <v>8964.4</v>
      </c>
      <c r="G29" s="28">
        <f>'ПРил.№3 Рд,пр, ЦС,ВР'!I275</f>
        <v>8964.4</v>
      </c>
      <c r="H29" s="28">
        <f>'ПРил.№3 Рд,пр, ЦС,ВР'!J275</f>
        <v>8964.4</v>
      </c>
      <c r="I29" s="28">
        <f>'ПРил.№3 Рд,пр, ЦС,ВР'!K275</f>
        <v>4380.8</v>
      </c>
      <c r="J29" s="28">
        <f>'ПРил.№3 Рд,пр, ЦС,ВР'!L275</f>
        <v>1219.7</v>
      </c>
      <c r="K29" s="294">
        <f t="shared" si="2"/>
        <v>27.841946676406138</v>
      </c>
    </row>
    <row r="30" spans="1:11" ht="15.75">
      <c r="A30" s="118" t="s">
        <v>571</v>
      </c>
      <c r="B30" s="21" t="s">
        <v>287</v>
      </c>
      <c r="C30" s="21" t="s">
        <v>266</v>
      </c>
      <c r="D30" s="28">
        <f>'ПРил.№3 Рд,пр, ЦС,ВР'!F294</f>
        <v>53711.1</v>
      </c>
      <c r="E30" s="28">
        <f>'ПРил.№3 Рд,пр, ЦС,ВР'!G294</f>
        <v>44351.4</v>
      </c>
      <c r="F30" s="28">
        <f>'ПРил.№3 Рд,пр, ЦС,ВР'!H294</f>
        <v>12383.3</v>
      </c>
      <c r="G30" s="28">
        <f>'ПРил.№3 Рд,пр, ЦС,ВР'!I294</f>
        <v>12383.3</v>
      </c>
      <c r="H30" s="28">
        <f>'ПРил.№3 Рд,пр, ЦС,ВР'!J294</f>
        <v>12383.3</v>
      </c>
      <c r="I30" s="28">
        <f>'ПРил.№3 Рд,пр, ЦС,ВР'!K294</f>
        <v>51224.700000000004</v>
      </c>
      <c r="J30" s="28">
        <f>'ПРил.№3 Рд,пр, ЦС,ВР'!L294</f>
        <v>4696.8999999999996</v>
      </c>
      <c r="K30" s="294">
        <f t="shared" si="2"/>
        <v>9.1692093853160674</v>
      </c>
    </row>
    <row r="31" spans="1:11" ht="15.75">
      <c r="A31" s="117" t="s">
        <v>595</v>
      </c>
      <c r="B31" s="21" t="s">
        <v>287</v>
      </c>
      <c r="C31" s="21" t="s">
        <v>268</v>
      </c>
      <c r="D31" s="28">
        <f>'ПРил.№3 Рд,пр, ЦС,ВР'!F346</f>
        <v>25464.6</v>
      </c>
      <c r="E31" s="28">
        <f>'ПРил.№3 Рд,пр, ЦС,ВР'!G346</f>
        <v>16228</v>
      </c>
      <c r="F31" s="28">
        <f>'ПРил.№3 Рд,пр, ЦС,ВР'!H346</f>
        <v>19935.400000000001</v>
      </c>
      <c r="G31" s="28">
        <f>'ПРил.№3 Рд,пр, ЦС,ВР'!I346</f>
        <v>20104</v>
      </c>
      <c r="H31" s="28">
        <f>'ПРил.№3 Рд,пр, ЦС,ВР'!J346</f>
        <v>22018.100000000002</v>
      </c>
      <c r="I31" s="28">
        <f>'ПРил.№3 Рд,пр, ЦС,ВР'!K346</f>
        <v>21685.1</v>
      </c>
      <c r="J31" s="28">
        <f>'ПРил.№3 Рд,пр, ЦС,ВР'!L346</f>
        <v>1602.8</v>
      </c>
      <c r="K31" s="294">
        <f t="shared" si="2"/>
        <v>7.3912502132800872</v>
      </c>
    </row>
    <row r="32" spans="1:11" ht="15.75">
      <c r="A32" s="26" t="s">
        <v>623</v>
      </c>
      <c r="B32" s="21" t="s">
        <v>287</v>
      </c>
      <c r="C32" s="21" t="s">
        <v>287</v>
      </c>
      <c r="D32" s="28">
        <f>'ПРил.№3 Рд,пр, ЦС,ВР'!F403</f>
        <v>21124.699999999997</v>
      </c>
      <c r="E32" s="28">
        <f>'ПРил.№3 Рд,пр, ЦС,ВР'!G403</f>
        <v>21588.805882352943</v>
      </c>
      <c r="F32" s="28">
        <f>'ПРил.№3 Рд,пр, ЦС,ВР'!H403</f>
        <v>24391.9</v>
      </c>
      <c r="G32" s="28">
        <f>'ПРил.№3 Рд,пр, ЦС,ВР'!I403</f>
        <v>24520.199999999997</v>
      </c>
      <c r="H32" s="28">
        <f>'ПРил.№3 Рд,пр, ЦС,ВР'!J403</f>
        <v>24626.1</v>
      </c>
      <c r="I32" s="28">
        <f>'ПРил.№3 Рд,пр, ЦС,ВР'!K403</f>
        <v>20501</v>
      </c>
      <c r="J32" s="28">
        <f>'ПРил.№3 Рд,пр, ЦС,ВР'!L403</f>
        <v>3981.7000000000003</v>
      </c>
      <c r="K32" s="294">
        <f t="shared" si="2"/>
        <v>19.421979415638262</v>
      </c>
    </row>
    <row r="33" spans="1:11" ht="15.75">
      <c r="A33" s="49" t="s">
        <v>316</v>
      </c>
      <c r="B33" s="25" t="s">
        <v>317</v>
      </c>
      <c r="C33" s="25"/>
      <c r="D33" s="46">
        <f>SUM(D34:D38)</f>
        <v>290484.59999999998</v>
      </c>
      <c r="E33" s="46">
        <f t="shared" ref="E33:I33" si="8">SUM(E34:E38)</f>
        <v>286378.90000000002</v>
      </c>
      <c r="F33" s="46">
        <f t="shared" si="8"/>
        <v>351290</v>
      </c>
      <c r="G33" s="46">
        <f t="shared" si="8"/>
        <v>343706.89999999997</v>
      </c>
      <c r="H33" s="46">
        <f t="shared" si="8"/>
        <v>337520.6</v>
      </c>
      <c r="I33" s="46">
        <f t="shared" si="8"/>
        <v>296561.09999999998</v>
      </c>
      <c r="J33" s="46">
        <f t="shared" ref="J33" si="9">SUM(J34:J38)</f>
        <v>95327.4</v>
      </c>
      <c r="K33" s="116">
        <f t="shared" si="2"/>
        <v>32.144269764308262</v>
      </c>
    </row>
    <row r="34" spans="1:11" ht="15.75">
      <c r="A34" s="117" t="s">
        <v>458</v>
      </c>
      <c r="B34" s="21" t="s">
        <v>317</v>
      </c>
      <c r="C34" s="21" t="s">
        <v>171</v>
      </c>
      <c r="D34" s="28">
        <f>'ПРил.№3 Рд,пр, ЦС,ВР'!F423</f>
        <v>84659.4</v>
      </c>
      <c r="E34" s="28">
        <f>'ПРил.№3 Рд,пр, ЦС,ВР'!G423</f>
        <v>85381.2</v>
      </c>
      <c r="F34" s="28">
        <f>'ПРил.№3 Рд,пр, ЦС,ВР'!H423</f>
        <v>122402.5</v>
      </c>
      <c r="G34" s="28">
        <f>'ПРил.№3 Рд,пр, ЦС,ВР'!I423</f>
        <v>117666.8</v>
      </c>
      <c r="H34" s="28">
        <f>'ПРил.№3 Рд,пр, ЦС,ВР'!J423</f>
        <v>112203.8</v>
      </c>
      <c r="I34" s="28">
        <f>'ПРил.№3 Рд,пр, ЦС,ВР'!K423</f>
        <v>92326.5</v>
      </c>
      <c r="J34" s="28">
        <f>'ПРил.№3 Рд,пр, ЦС,ВР'!L423</f>
        <v>32610.799999999999</v>
      </c>
      <c r="K34" s="294">
        <f t="shared" si="2"/>
        <v>35.321169978283592</v>
      </c>
    </row>
    <row r="35" spans="1:11" ht="15.75">
      <c r="A35" s="117" t="s">
        <v>479</v>
      </c>
      <c r="B35" s="21" t="s">
        <v>317</v>
      </c>
      <c r="C35" s="21" t="s">
        <v>266</v>
      </c>
      <c r="D35" s="28">
        <f>'ПРил.№3 Рд,пр, ЦС,ВР'!F468</f>
        <v>130684.4</v>
      </c>
      <c r="E35" s="28">
        <f>'ПРил.№3 Рд,пр, ЦС,ВР'!G468</f>
        <v>129899.26666666666</v>
      </c>
      <c r="F35" s="28">
        <f>'ПРил.№3 Рд,пр, ЦС,ВР'!H468</f>
        <v>135586.40000000002</v>
      </c>
      <c r="G35" s="28">
        <f>'ПРил.№3 Рд,пр, ЦС,ВР'!I468</f>
        <v>132510.29999999999</v>
      </c>
      <c r="H35" s="28">
        <f>'ПРил.№3 Рд,пр, ЦС,ВР'!J468</f>
        <v>131125.70000000001</v>
      </c>
      <c r="I35" s="28">
        <f>'ПРил.№3 Рд,пр, ЦС,ВР'!K468</f>
        <v>127073.4</v>
      </c>
      <c r="J35" s="28">
        <f>'ПРил.№3 Рд,пр, ЦС,ВР'!L468</f>
        <v>40216.199999999997</v>
      </c>
      <c r="K35" s="294">
        <f t="shared" si="2"/>
        <v>31.648008159063973</v>
      </c>
    </row>
    <row r="36" spans="1:11" ht="15.75">
      <c r="A36" s="117" t="s">
        <v>318</v>
      </c>
      <c r="B36" s="21" t="s">
        <v>317</v>
      </c>
      <c r="C36" s="21" t="s">
        <v>268</v>
      </c>
      <c r="D36" s="28">
        <f>'ПРил.№3 Рд,пр, ЦС,ВР'!F545</f>
        <v>52029.9</v>
      </c>
      <c r="E36" s="28">
        <f>'ПРил.№3 Рд,пр, ЦС,ВР'!G545</f>
        <v>47647.133333333339</v>
      </c>
      <c r="F36" s="28">
        <f>'ПРил.№3 Рд,пр, ЦС,ВР'!H545</f>
        <v>67974.7</v>
      </c>
      <c r="G36" s="28">
        <f>'ПРил.№3 Рд,пр, ЦС,ВР'!I545</f>
        <v>68080.099999999991</v>
      </c>
      <c r="H36" s="28">
        <f>'ПРил.№3 Рд,пр, ЦС,ВР'!J545</f>
        <v>68616.799999999988</v>
      </c>
      <c r="I36" s="28">
        <f>'ПРил.№3 Рд,пр, ЦС,ВР'!K545</f>
        <v>53946.899999999994</v>
      </c>
      <c r="J36" s="28">
        <f>'ПРил.№3 Рд,пр, ЦС,ВР'!L545</f>
        <v>18523.5</v>
      </c>
      <c r="K36" s="294">
        <f t="shared" si="2"/>
        <v>34.336542044121167</v>
      </c>
    </row>
    <row r="37" spans="1:11" ht="15.75">
      <c r="A37" s="117" t="s">
        <v>520</v>
      </c>
      <c r="B37" s="21" t="s">
        <v>317</v>
      </c>
      <c r="C37" s="21" t="s">
        <v>317</v>
      </c>
      <c r="D37" s="28">
        <f>'ПРил.№3 Рд,пр, ЦС,ВР'!F615</f>
        <v>4788.6000000000004</v>
      </c>
      <c r="E37" s="28">
        <f>'ПРил.№3 Рд,пр, ЦС,ВР'!G615</f>
        <v>4788.6000000000004</v>
      </c>
      <c r="F37" s="28">
        <f>'ПРил.№3 Рд,пр, ЦС,ВР'!H615</f>
        <v>5474.8</v>
      </c>
      <c r="G37" s="28">
        <f>'ПРил.№3 Рд,пр, ЦС,ВР'!I615</f>
        <v>5474.8</v>
      </c>
      <c r="H37" s="28">
        <f>'ПРил.№3 Рд,пр, ЦС,ВР'!J615</f>
        <v>5474.8</v>
      </c>
      <c r="I37" s="28">
        <f>'ПРил.№3 Рд,пр, ЦС,ВР'!K615</f>
        <v>4788.8</v>
      </c>
      <c r="J37" s="28">
        <f>'ПРил.№3 Рд,пр, ЦС,ВР'!L615</f>
        <v>0</v>
      </c>
      <c r="K37" s="294">
        <f t="shared" si="2"/>
        <v>0</v>
      </c>
    </row>
    <row r="38" spans="1:11" ht="15.75">
      <c r="A38" s="117" t="s">
        <v>348</v>
      </c>
      <c r="B38" s="21" t="s">
        <v>317</v>
      </c>
      <c r="C38" s="21" t="s">
        <v>272</v>
      </c>
      <c r="D38" s="28">
        <f>'ПРил.№3 Рд,пр, ЦС,ВР'!F626</f>
        <v>18322.300000000003</v>
      </c>
      <c r="E38" s="28">
        <f>'ПРил.№3 Рд,пр, ЦС,ВР'!G626</f>
        <v>18662.7</v>
      </c>
      <c r="F38" s="28">
        <f>'ПРил.№3 Рд,пр, ЦС,ВР'!H626</f>
        <v>19851.600000000002</v>
      </c>
      <c r="G38" s="28">
        <f>'ПРил.№3 Рд,пр, ЦС,ВР'!I626</f>
        <v>19974.900000000001</v>
      </c>
      <c r="H38" s="28">
        <f>'ПРил.№3 Рд,пр, ЦС,ВР'!J626</f>
        <v>20099.5</v>
      </c>
      <c r="I38" s="28">
        <f>'ПРил.№3 Рд,пр, ЦС,ВР'!K626</f>
        <v>18425.5</v>
      </c>
      <c r="J38" s="28">
        <f>'ПРил.№3 Рд,пр, ЦС,ВР'!L626</f>
        <v>3976.9</v>
      </c>
      <c r="K38" s="294">
        <f t="shared" si="2"/>
        <v>21.583674798512931</v>
      </c>
    </row>
    <row r="39" spans="1:11" ht="15.75">
      <c r="A39" s="120" t="s">
        <v>351</v>
      </c>
      <c r="B39" s="25" t="s">
        <v>352</v>
      </c>
      <c r="C39" s="21"/>
      <c r="D39" s="46">
        <f>D40+D41</f>
        <v>61699.8</v>
      </c>
      <c r="E39" s="46">
        <f t="shared" ref="E39:I39" si="10">E40+E41</f>
        <v>62134.184313725498</v>
      </c>
      <c r="F39" s="46">
        <f t="shared" si="10"/>
        <v>72053.100000000006</v>
      </c>
      <c r="G39" s="46">
        <f t="shared" si="10"/>
        <v>73293.100000000006</v>
      </c>
      <c r="H39" s="46">
        <f t="shared" si="10"/>
        <v>74048.899999999994</v>
      </c>
      <c r="I39" s="46">
        <f t="shared" si="10"/>
        <v>59773.000000000007</v>
      </c>
      <c r="J39" s="46">
        <f t="shared" ref="J39" si="11">J40+J41</f>
        <v>18186</v>
      </c>
      <c r="K39" s="116">
        <f t="shared" si="2"/>
        <v>30.425108326501928</v>
      </c>
    </row>
    <row r="40" spans="1:11" ht="15.75">
      <c r="A40" s="119" t="s">
        <v>353</v>
      </c>
      <c r="B40" s="21" t="s">
        <v>352</v>
      </c>
      <c r="C40" s="21" t="s">
        <v>171</v>
      </c>
      <c r="D40" s="28">
        <f>'ПРил.№3 Рд,пр, ЦС,ВР'!F659</f>
        <v>44421.000000000007</v>
      </c>
      <c r="E40" s="28">
        <f>'ПРил.№3 Рд,пр, ЦС,ВР'!G659</f>
        <v>44421.000000000007</v>
      </c>
      <c r="F40" s="28">
        <f>'ПРил.№3 Рд,пр, ЦС,ВР'!H659</f>
        <v>52460.700000000004</v>
      </c>
      <c r="G40" s="28">
        <f>'ПРил.№3 Рд,пр, ЦС,ВР'!I659</f>
        <v>53585</v>
      </c>
      <c r="H40" s="28">
        <f>'ПРил.№3 Рд,пр, ЦС,ВР'!J659</f>
        <v>54232.700000000004</v>
      </c>
      <c r="I40" s="28">
        <f>'ПРил.№3 Рд,пр, ЦС,ВР'!K659</f>
        <v>43140.600000000006</v>
      </c>
      <c r="J40" s="28">
        <f>'ПРил.№3 Рд,пр, ЦС,ВР'!L659</f>
        <v>14699.1</v>
      </c>
      <c r="K40" s="294">
        <f t="shared" si="2"/>
        <v>34.072544192709415</v>
      </c>
    </row>
    <row r="41" spans="1:11" ht="15.75">
      <c r="A41" s="119" t="s">
        <v>386</v>
      </c>
      <c r="B41" s="21" t="s">
        <v>352</v>
      </c>
      <c r="C41" s="21" t="s">
        <v>203</v>
      </c>
      <c r="D41" s="28">
        <f>'ПРил.№3 Рд,пр, ЦС,ВР'!F750</f>
        <v>17278.8</v>
      </c>
      <c r="E41" s="28">
        <f>'ПРил.№3 Рд,пр, ЦС,ВР'!G750</f>
        <v>17713.184313725491</v>
      </c>
      <c r="F41" s="28">
        <f>'ПРил.№3 Рд,пр, ЦС,ВР'!H750</f>
        <v>19592.400000000001</v>
      </c>
      <c r="G41" s="28">
        <f>'ПРил.№3 Рд,пр, ЦС,ВР'!I750</f>
        <v>19708.099999999999</v>
      </c>
      <c r="H41" s="28">
        <f>'ПРил.№3 Рд,пр, ЦС,ВР'!J750</f>
        <v>19816.199999999997</v>
      </c>
      <c r="I41" s="28">
        <f>'ПРил.№3 Рд,пр, ЦС,ВР'!K750</f>
        <v>16632.400000000001</v>
      </c>
      <c r="J41" s="28">
        <f>'ПРил.№3 Рд,пр, ЦС,ВР'!L750</f>
        <v>3486.8999999999996</v>
      </c>
      <c r="K41" s="294">
        <f t="shared" si="2"/>
        <v>20.964503018205427</v>
      </c>
    </row>
    <row r="42" spans="1:11" ht="15.75">
      <c r="A42" s="49" t="s">
        <v>296</v>
      </c>
      <c r="B42" s="25" t="s">
        <v>297</v>
      </c>
      <c r="C42" s="25"/>
      <c r="D42" s="46">
        <f>D43+D44+D45+D46</f>
        <v>16937</v>
      </c>
      <c r="E42" s="46">
        <f t="shared" ref="E42:I42" si="12">E43+E44+E45+E46</f>
        <v>16927</v>
      </c>
      <c r="F42" s="46">
        <f t="shared" si="12"/>
        <v>17517.8</v>
      </c>
      <c r="G42" s="46">
        <f t="shared" si="12"/>
        <v>17632.8</v>
      </c>
      <c r="H42" s="46">
        <f t="shared" si="12"/>
        <v>17677.8</v>
      </c>
      <c r="I42" s="46">
        <f t="shared" si="12"/>
        <v>16443.7</v>
      </c>
      <c r="J42" s="46">
        <f t="shared" ref="J42" si="13">J43+J44+J45+J46</f>
        <v>3521.4999999999995</v>
      </c>
      <c r="K42" s="116">
        <f t="shared" si="2"/>
        <v>21.415496512342109</v>
      </c>
    </row>
    <row r="43" spans="1:11" ht="15.75">
      <c r="A43" s="117" t="s">
        <v>298</v>
      </c>
      <c r="B43" s="21" t="s">
        <v>297</v>
      </c>
      <c r="C43" s="21" t="s">
        <v>171</v>
      </c>
      <c r="D43" s="28">
        <f>'ПРил.№3 Рд,пр, ЦС,ВР'!F781</f>
        <v>9066.4</v>
      </c>
      <c r="E43" s="28">
        <f>'ПРил.№3 Рд,пр, ЦС,ВР'!G781</f>
        <v>9066.4</v>
      </c>
      <c r="F43" s="28">
        <f>'ПРил.№3 Рд,пр, ЦС,ВР'!H781</f>
        <v>9066.5</v>
      </c>
      <c r="G43" s="28">
        <f>'ПРил.№3 Рд,пр, ЦС,ВР'!I781</f>
        <v>9066.5</v>
      </c>
      <c r="H43" s="28">
        <f>'ПРил.№3 Рд,пр, ЦС,ВР'!J781</f>
        <v>9066.5</v>
      </c>
      <c r="I43" s="28">
        <f>'ПРил.№3 Рд,пр, ЦС,ВР'!K781</f>
        <v>9066.4</v>
      </c>
      <c r="J43" s="28">
        <f>'ПРил.№3 Рд,пр, ЦС,ВР'!L781</f>
        <v>2266.6</v>
      </c>
      <c r="K43" s="294">
        <f t="shared" si="2"/>
        <v>25</v>
      </c>
    </row>
    <row r="44" spans="1:11" ht="15.75">
      <c r="A44" s="26" t="s">
        <v>305</v>
      </c>
      <c r="B44" s="21" t="s">
        <v>297</v>
      </c>
      <c r="C44" s="21" t="s">
        <v>268</v>
      </c>
      <c r="D44" s="28">
        <f>'ПРил.№3 Рд,пр, ЦС,ВР'!F787</f>
        <v>4635</v>
      </c>
      <c r="E44" s="28">
        <f>'ПРил.№3 Рд,пр, ЦС,ВР'!G787</f>
        <v>4625</v>
      </c>
      <c r="F44" s="28">
        <f>'ПРил.№3 Рд,пр, ЦС,ВР'!H787</f>
        <v>5195</v>
      </c>
      <c r="G44" s="28">
        <f>'ПРил.№3 Рд,пр, ЦС,ВР'!I787</f>
        <v>5310</v>
      </c>
      <c r="H44" s="28">
        <f>'ПРил.№3 Рд,пр, ЦС,ВР'!J787</f>
        <v>5355</v>
      </c>
      <c r="I44" s="28">
        <f>'ПРил.№3 Рд,пр, ЦС,ВР'!K787</f>
        <v>3763</v>
      </c>
      <c r="J44" s="28">
        <f>'ПРил.№3 Рд,пр, ЦС,ВР'!L787</f>
        <v>727.8</v>
      </c>
      <c r="K44" s="294">
        <f t="shared" si="2"/>
        <v>19.34095136858889</v>
      </c>
    </row>
    <row r="45" spans="1:11" ht="15.75">
      <c r="A45" s="119" t="s">
        <v>454</v>
      </c>
      <c r="B45" s="21" t="s">
        <v>297</v>
      </c>
      <c r="C45" s="21" t="s">
        <v>203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f>'ПРил.№3 Рд,пр, ЦС,ВР'!K865</f>
        <v>378.5</v>
      </c>
      <c r="J45" s="28">
        <f>'ПРил.№3 Рд,пр, ЦС,ВР'!L865</f>
        <v>0</v>
      </c>
      <c r="K45" s="294">
        <f t="shared" si="2"/>
        <v>0</v>
      </c>
    </row>
    <row r="46" spans="1:11" ht="15.75">
      <c r="A46" s="26" t="s">
        <v>311</v>
      </c>
      <c r="B46" s="21" t="s">
        <v>297</v>
      </c>
      <c r="C46" s="21" t="s">
        <v>173</v>
      </c>
      <c r="D46" s="28">
        <f>'ПРил.№3 Рд,пр, ЦС,ВР'!F873</f>
        <v>3235.6000000000004</v>
      </c>
      <c r="E46" s="28">
        <f>'ПРил.№3 Рд,пр, ЦС,ВР'!G873</f>
        <v>3235.6000000000004</v>
      </c>
      <c r="F46" s="28">
        <f>'ПРил.№3 Рд,пр, ЦС,ВР'!H873</f>
        <v>3256.3000000000006</v>
      </c>
      <c r="G46" s="28">
        <f>'ПРил.№3 Рд,пр, ЦС,ВР'!I873</f>
        <v>3256.3000000000006</v>
      </c>
      <c r="H46" s="28">
        <f>'ПРил.№3 Рд,пр, ЦС,ВР'!J873</f>
        <v>3256.3000000000006</v>
      </c>
      <c r="I46" s="28">
        <f>'ПРил.№3 Рд,пр, ЦС,ВР'!K873</f>
        <v>3235.8</v>
      </c>
      <c r="J46" s="28">
        <f>'ПРил.№3 Рд,пр, ЦС,ВР'!L873</f>
        <v>527.1</v>
      </c>
      <c r="K46" s="294">
        <f t="shared" si="2"/>
        <v>16.289634711663268</v>
      </c>
    </row>
    <row r="47" spans="1:11" ht="15.75">
      <c r="A47" s="120" t="s">
        <v>544</v>
      </c>
      <c r="B47" s="25" t="s">
        <v>545</v>
      </c>
      <c r="C47" s="21"/>
      <c r="D47" s="46">
        <f>D48+D49</f>
        <v>34702.699999999997</v>
      </c>
      <c r="E47" s="46">
        <f t="shared" ref="E47:I47" si="14">E48+E49</f>
        <v>40816.800000000003</v>
      </c>
      <c r="F47" s="46">
        <f t="shared" si="14"/>
        <v>64029.599999999999</v>
      </c>
      <c r="G47" s="46">
        <f t="shared" si="14"/>
        <v>65815.3</v>
      </c>
      <c r="H47" s="46">
        <f t="shared" si="14"/>
        <v>66895.899999999994</v>
      </c>
      <c r="I47" s="46">
        <f t="shared" si="14"/>
        <v>52525.7</v>
      </c>
      <c r="J47" s="46">
        <f t="shared" ref="J47" si="15">J48+J49</f>
        <v>17267.5</v>
      </c>
      <c r="K47" s="116">
        <f t="shared" si="2"/>
        <v>32.87438339707991</v>
      </c>
    </row>
    <row r="48" spans="1:11" ht="15.75">
      <c r="A48" s="119" t="s">
        <v>546</v>
      </c>
      <c r="B48" s="21" t="s">
        <v>545</v>
      </c>
      <c r="C48" s="21" t="s">
        <v>171</v>
      </c>
      <c r="D48" s="28">
        <f>'ПРил.№3 Рд,пр, ЦС,ВР'!F886</f>
        <v>23173.9</v>
      </c>
      <c r="E48" s="28">
        <f>'ПРил.№3 Рд,пр, ЦС,ВР'!G886</f>
        <v>28397</v>
      </c>
      <c r="F48" s="28">
        <f>'ПРил.№3 Рд,пр, ЦС,ВР'!H886</f>
        <v>52737</v>
      </c>
      <c r="G48" s="28">
        <f>'ПРил.№3 Рд,пр, ЦС,ВР'!I886</f>
        <v>54355.7</v>
      </c>
      <c r="H48" s="28">
        <f>'ПРил.№3 Рд,пр, ЦС,ВР'!J886</f>
        <v>55263.1</v>
      </c>
      <c r="I48" s="28">
        <f>'ПРил.№3 Рд,пр, ЦС,ВР'!K886</f>
        <v>42347.5</v>
      </c>
      <c r="J48" s="28">
        <f>'ПРил.№3 Рд,пр, ЦС,ВР'!L886</f>
        <v>14481.6</v>
      </c>
      <c r="K48" s="294">
        <f t="shared" si="2"/>
        <v>34.197060038963336</v>
      </c>
    </row>
    <row r="49" spans="1:11" ht="15.75">
      <c r="A49" s="119" t="s">
        <v>554</v>
      </c>
      <c r="B49" s="21" t="s">
        <v>545</v>
      </c>
      <c r="C49" s="21" t="s">
        <v>287</v>
      </c>
      <c r="D49" s="28">
        <f>'ПРил.№3 Рд,пр, ЦС,ВР'!F913</f>
        <v>11528.8</v>
      </c>
      <c r="E49" s="28">
        <f>'ПРил.№3 Рд,пр, ЦС,ВР'!G913</f>
        <v>12419.8</v>
      </c>
      <c r="F49" s="28">
        <f>'ПРил.№3 Рд,пр, ЦС,ВР'!H913</f>
        <v>11292.6</v>
      </c>
      <c r="G49" s="28">
        <f>'ПРил.№3 Рд,пр, ЦС,ВР'!I913</f>
        <v>11459.6</v>
      </c>
      <c r="H49" s="28">
        <f>'ПРил.№3 Рд,пр, ЦС,ВР'!J913</f>
        <v>11632.800000000001</v>
      </c>
      <c r="I49" s="28">
        <f>'ПРил.№3 Рд,пр, ЦС,ВР'!K913</f>
        <v>10178.200000000001</v>
      </c>
      <c r="J49" s="28">
        <f>'ПРил.№3 Рд,пр, ЦС,ВР'!L913</f>
        <v>2785.8999999999996</v>
      </c>
      <c r="K49" s="294">
        <f t="shared" si="2"/>
        <v>27.371244424357936</v>
      </c>
    </row>
    <row r="50" spans="1:11" ht="15.75">
      <c r="A50" s="20" t="s">
        <v>636</v>
      </c>
      <c r="B50" s="25" t="s">
        <v>291</v>
      </c>
      <c r="C50" s="21"/>
      <c r="D50" s="46">
        <f>D51</f>
        <v>6309.8</v>
      </c>
      <c r="E50" s="46">
        <f t="shared" ref="E50:J50" si="16">E51</f>
        <v>6309.8</v>
      </c>
      <c r="F50" s="46">
        <f t="shared" si="16"/>
        <v>8181.7000000000007</v>
      </c>
      <c r="G50" s="46">
        <f t="shared" si="16"/>
        <v>8258.7000000000007</v>
      </c>
      <c r="H50" s="46">
        <f t="shared" si="16"/>
        <v>8332.7000000000007</v>
      </c>
      <c r="I50" s="46">
        <f t="shared" si="16"/>
        <v>6238.7</v>
      </c>
      <c r="J50" s="46">
        <f t="shared" si="16"/>
        <v>1008.9</v>
      </c>
      <c r="K50" s="116">
        <f t="shared" si="2"/>
        <v>16.171638322086331</v>
      </c>
    </row>
    <row r="51" spans="1:11" ht="15.75">
      <c r="A51" s="33" t="s">
        <v>637</v>
      </c>
      <c r="B51" s="21" t="s">
        <v>291</v>
      </c>
      <c r="C51" s="21" t="s">
        <v>266</v>
      </c>
      <c r="D51" s="28">
        <f>'ПРил.№3 Рд,пр, ЦС,ВР'!F937</f>
        <v>6309.8</v>
      </c>
      <c r="E51" s="28">
        <f>'ПРил.№3 Рд,пр, ЦС,ВР'!G937</f>
        <v>6309.8</v>
      </c>
      <c r="F51" s="28">
        <f>'ПРил.№3 Рд,пр, ЦС,ВР'!H937</f>
        <v>8181.7000000000007</v>
      </c>
      <c r="G51" s="28">
        <f>'ПРил.№3 Рд,пр, ЦС,ВР'!I937</f>
        <v>8258.7000000000007</v>
      </c>
      <c r="H51" s="28">
        <f>'ПРил.№3 Рд,пр, ЦС,ВР'!J937</f>
        <v>8332.7000000000007</v>
      </c>
      <c r="I51" s="28">
        <f>'ПРил.№3 Рд,пр, ЦС,ВР'!K937</f>
        <v>6238.7</v>
      </c>
      <c r="J51" s="28">
        <f>'ПРил.№3 Рд,пр, ЦС,ВР'!L937</f>
        <v>1008.9</v>
      </c>
      <c r="K51" s="294">
        <f t="shared" si="2"/>
        <v>16.171638322086331</v>
      </c>
    </row>
    <row r="52" spans="1:11" ht="15.75">
      <c r="A52" s="115" t="s">
        <v>762</v>
      </c>
      <c r="B52" s="25"/>
      <c r="C52" s="25"/>
      <c r="D52" s="46">
        <f>D12+D21+D23+D28+D33+D39+D42+D47+D50+D19</f>
        <v>665442.19999999995</v>
      </c>
      <c r="E52" s="46">
        <f t="shared" ref="E52:I52" si="17">E12+E21+E23+E28+E33+E39+E42+E47+E50+E19</f>
        <v>638134.33647058834</v>
      </c>
      <c r="F52" s="46">
        <f t="shared" si="17"/>
        <v>747288</v>
      </c>
      <c r="G52" s="46">
        <f t="shared" si="17"/>
        <v>743098.70000000007</v>
      </c>
      <c r="H52" s="46">
        <f t="shared" si="17"/>
        <v>741645.10000000009</v>
      </c>
      <c r="I52" s="46">
        <f t="shared" si="17"/>
        <v>685899.99999999977</v>
      </c>
      <c r="J52" s="46">
        <f t="shared" ref="J52" si="18">J12+J21+J23+J28+J33+J39+J42+J47+J50+J19</f>
        <v>177548.49999999997</v>
      </c>
      <c r="K52" s="116">
        <f t="shared" si="2"/>
        <v>25.885478932789042</v>
      </c>
    </row>
    <row r="53" spans="1:11" hidden="1">
      <c r="D53">
        <f>'Прил.№4 ведомств.'!G1104</f>
        <v>665442.19999999995</v>
      </c>
      <c r="E53">
        <f>'Прил.№4 ведомств.'!I1104</f>
        <v>638134.33647058823</v>
      </c>
      <c r="F53">
        <f>'Прил.№4 ведомств.'!J1104</f>
        <v>747927.99999999988</v>
      </c>
      <c r="G53">
        <f>'Прил.№4 ведомств.'!K1104</f>
        <v>743098.70000000007</v>
      </c>
      <c r="H53">
        <f>'Прил.№4 ведомств.'!L1104</f>
        <v>741645.1</v>
      </c>
      <c r="I53">
        <f>'Прил.№4 ведомств.'!M1104</f>
        <v>685900</v>
      </c>
      <c r="J53">
        <f>'Прил.№4 ведомств.'!N1104</f>
        <v>177548.50000000003</v>
      </c>
      <c r="K53">
        <f>'Прил.№4 ведомств.'!O1104</f>
        <v>25.885478932789042</v>
      </c>
    </row>
    <row r="54" spans="1:11" hidden="1">
      <c r="D54" s="23">
        <f>D53-D52</f>
        <v>0</v>
      </c>
      <c r="E54" s="23">
        <f t="shared" ref="E54:I54" si="19">E53-E52</f>
        <v>0</v>
      </c>
      <c r="F54" s="23">
        <f t="shared" si="19"/>
        <v>639.99999999988358</v>
      </c>
      <c r="G54" s="23">
        <f t="shared" si="19"/>
        <v>0</v>
      </c>
      <c r="H54" s="23">
        <f t="shared" si="19"/>
        <v>0</v>
      </c>
      <c r="I54" s="23">
        <f t="shared" si="19"/>
        <v>0</v>
      </c>
      <c r="J54" s="23">
        <f t="shared" ref="J54:K54" si="20">J53-J52</f>
        <v>0</v>
      </c>
      <c r="K54" s="23">
        <f t="shared" si="20"/>
        <v>0</v>
      </c>
    </row>
    <row r="55" spans="1:11">
      <c r="I55">
        <v>665442.19999999995</v>
      </c>
    </row>
    <row r="56" spans="1:11">
      <c r="I56" s="23">
        <f>I52-I55</f>
        <v>20457.799999999814</v>
      </c>
      <c r="J56" s="23"/>
      <c r="K56" s="23"/>
    </row>
    <row r="60" spans="1:11">
      <c r="I60">
        <f>164414.9-112075.6</f>
        <v>52339.299999999988</v>
      </c>
    </row>
  </sheetData>
  <mergeCells count="3">
    <mergeCell ref="A9:K9"/>
    <mergeCell ref="A8:K8"/>
    <mergeCell ref="A7:K7"/>
  </mergeCells>
  <pageMargins left="1.1811023622047245" right="0.39370078740157483" top="0.78740157480314965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9"/>
  <sheetViews>
    <sheetView view="pageBreakPreview" topLeftCell="A943" zoomScaleNormal="100" zoomScaleSheetLayoutView="100" workbookViewId="0">
      <selection activeCell="L947" sqref="L947"/>
    </sheetView>
  </sheetViews>
  <sheetFormatPr defaultRowHeight="1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1.7109375" hidden="1" customWidth="1"/>
    <col min="7" max="7" width="12" hidden="1" customWidth="1"/>
    <col min="8" max="8" width="10.85546875" hidden="1" customWidth="1"/>
    <col min="9" max="9" width="12.28515625" hidden="1" customWidth="1"/>
    <col min="10" max="10" width="11.7109375" hidden="1" customWidth="1"/>
    <col min="11" max="11" width="11.85546875" customWidth="1"/>
    <col min="12" max="13" width="14.28515625" customWidth="1"/>
  </cols>
  <sheetData>
    <row r="1" spans="1:13" ht="18.75">
      <c r="A1" s="58"/>
      <c r="B1" s="29"/>
      <c r="C1" s="29"/>
      <c r="F1" s="29"/>
      <c r="L1" s="277" t="s">
        <v>983</v>
      </c>
    </row>
    <row r="2" spans="1:13" ht="18.75">
      <c r="A2" s="58"/>
      <c r="B2" s="29"/>
      <c r="C2" s="29"/>
      <c r="F2" s="60"/>
      <c r="L2" s="277" t="s">
        <v>999</v>
      </c>
    </row>
    <row r="3" spans="1:13" ht="18.75">
      <c r="A3" s="58"/>
      <c r="B3" s="29"/>
      <c r="C3" s="29"/>
      <c r="F3" s="60"/>
      <c r="L3" s="277" t="s">
        <v>1000</v>
      </c>
    </row>
    <row r="4" spans="1:13" ht="18.75">
      <c r="A4" s="58"/>
      <c r="B4" s="29"/>
      <c r="C4" s="29"/>
      <c r="F4" s="60"/>
      <c r="L4" s="277" t="s">
        <v>1001</v>
      </c>
    </row>
    <row r="5" spans="1:13" ht="18.75">
      <c r="A5" s="58"/>
      <c r="B5" s="29"/>
      <c r="C5" s="29"/>
      <c r="E5" s="270"/>
      <c r="F5" s="60"/>
      <c r="L5" s="277" t="s">
        <v>1021</v>
      </c>
    </row>
    <row r="6" spans="1:13">
      <c r="A6" s="58"/>
      <c r="B6" s="29"/>
      <c r="C6" s="29"/>
      <c r="D6" s="29"/>
      <c r="E6" s="29"/>
      <c r="F6" s="58"/>
    </row>
    <row r="7" spans="1:13" ht="54" customHeight="1">
      <c r="A7" s="305" t="s">
        <v>1012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</row>
    <row r="8" spans="1:13" ht="15.75">
      <c r="A8" s="58"/>
      <c r="B8" s="29"/>
      <c r="C8" s="29"/>
      <c r="D8" s="29"/>
      <c r="E8" s="29"/>
      <c r="F8" s="61" t="s">
        <v>1</v>
      </c>
      <c r="K8" s="260"/>
      <c r="L8" s="260"/>
      <c r="M8" s="260"/>
    </row>
    <row r="9" spans="1:13" ht="30" customHeight="1">
      <c r="A9" s="306" t="s">
        <v>647</v>
      </c>
      <c r="B9" s="308" t="s">
        <v>165</v>
      </c>
      <c r="C9" s="308" t="s">
        <v>166</v>
      </c>
      <c r="D9" s="308" t="s">
        <v>167</v>
      </c>
      <c r="E9" s="308" t="s">
        <v>168</v>
      </c>
      <c r="F9" s="303" t="s">
        <v>4</v>
      </c>
      <c r="G9" s="303" t="s">
        <v>886</v>
      </c>
      <c r="H9" s="303" t="s">
        <v>890</v>
      </c>
      <c r="I9" s="303" t="s">
        <v>887</v>
      </c>
      <c r="J9" s="303" t="s">
        <v>888</v>
      </c>
      <c r="K9" s="303" t="s">
        <v>1004</v>
      </c>
      <c r="L9" s="303" t="s">
        <v>1005</v>
      </c>
      <c r="M9" s="303" t="s">
        <v>1006</v>
      </c>
    </row>
    <row r="10" spans="1:13" ht="36" customHeight="1">
      <c r="A10" s="307"/>
      <c r="B10" s="309"/>
      <c r="C10" s="309"/>
      <c r="D10" s="309"/>
      <c r="E10" s="309"/>
      <c r="F10" s="304"/>
      <c r="G10" s="304"/>
      <c r="H10" s="304"/>
      <c r="I10" s="304"/>
      <c r="J10" s="304"/>
      <c r="K10" s="304"/>
      <c r="L10" s="304"/>
      <c r="M10" s="304"/>
    </row>
    <row r="11" spans="1:13" ht="15.75">
      <c r="A11" s="6">
        <v>1</v>
      </c>
      <c r="B11" s="2">
        <v>2</v>
      </c>
      <c r="C11" s="2">
        <v>3</v>
      </c>
      <c r="D11" s="2">
        <v>4</v>
      </c>
      <c r="E11" s="2">
        <v>5</v>
      </c>
      <c r="F11" s="62">
        <v>6</v>
      </c>
      <c r="G11" s="62">
        <v>7</v>
      </c>
      <c r="H11" s="62">
        <v>6</v>
      </c>
      <c r="I11" s="62">
        <v>9</v>
      </c>
      <c r="J11" s="62">
        <v>10</v>
      </c>
      <c r="K11" s="62">
        <v>6</v>
      </c>
      <c r="L11" s="62">
        <v>7</v>
      </c>
      <c r="M11" s="62">
        <v>8</v>
      </c>
    </row>
    <row r="12" spans="1:13" ht="15.75">
      <c r="A12" s="43" t="s">
        <v>170</v>
      </c>
      <c r="B12" s="8" t="s">
        <v>171</v>
      </c>
      <c r="C12" s="8"/>
      <c r="D12" s="8"/>
      <c r="E12" s="8"/>
      <c r="F12" s="4">
        <f t="shared" ref="F12:K12" si="0">F13+F21+F31+F56+F74</f>
        <v>118780.09999999998</v>
      </c>
      <c r="G12" s="4">
        <f t="shared" si="0"/>
        <v>108948.27960784313</v>
      </c>
      <c r="H12" s="4">
        <f t="shared" si="0"/>
        <v>137733.79999999999</v>
      </c>
      <c r="I12" s="4">
        <f t="shared" si="0"/>
        <v>138680.9</v>
      </c>
      <c r="J12" s="4">
        <f t="shared" si="0"/>
        <v>139391.69999999998</v>
      </c>
      <c r="K12" s="4">
        <f t="shared" si="0"/>
        <v>135107.29999999999</v>
      </c>
      <c r="L12" s="4">
        <f t="shared" ref="L12" si="1">L13+L21+L31+L56+L74</f>
        <v>27975.499999999996</v>
      </c>
      <c r="M12" s="4">
        <f>L12/K12*100</f>
        <v>20.706135049697536</v>
      </c>
    </row>
    <row r="13" spans="1:13" ht="47.25">
      <c r="A13" s="43" t="s">
        <v>629</v>
      </c>
      <c r="B13" s="8" t="s">
        <v>171</v>
      </c>
      <c r="C13" s="8" t="s">
        <v>266</v>
      </c>
      <c r="D13" s="8"/>
      <c r="E13" s="8"/>
      <c r="F13" s="4">
        <f>F14</f>
        <v>4133.6000000000004</v>
      </c>
      <c r="G13" s="4">
        <f t="shared" ref="G13:L15" si="2">G14</f>
        <v>4411.6000000000004</v>
      </c>
      <c r="H13" s="4">
        <f t="shared" si="2"/>
        <v>4342.8</v>
      </c>
      <c r="I13" s="4">
        <f t="shared" si="2"/>
        <v>4342.8</v>
      </c>
      <c r="J13" s="4">
        <f t="shared" si="2"/>
        <v>4342.8</v>
      </c>
      <c r="K13" s="4">
        <f t="shared" si="2"/>
        <v>4342.8</v>
      </c>
      <c r="L13" s="4">
        <f t="shared" si="2"/>
        <v>980.5</v>
      </c>
      <c r="M13" s="4">
        <f t="shared" ref="M13:M76" si="3">L13/K13*100</f>
        <v>22.577599705259281</v>
      </c>
    </row>
    <row r="14" spans="1:13" ht="15.75">
      <c r="A14" s="31" t="s">
        <v>174</v>
      </c>
      <c r="B14" s="42" t="s">
        <v>171</v>
      </c>
      <c r="C14" s="42" t="s">
        <v>266</v>
      </c>
      <c r="D14" s="42" t="s">
        <v>175</v>
      </c>
      <c r="E14" s="42"/>
      <c r="F14" s="7">
        <f>F15</f>
        <v>4133.6000000000004</v>
      </c>
      <c r="G14" s="7">
        <f t="shared" si="2"/>
        <v>4411.6000000000004</v>
      </c>
      <c r="H14" s="7">
        <f t="shared" si="2"/>
        <v>4342.8</v>
      </c>
      <c r="I14" s="7">
        <f t="shared" si="2"/>
        <v>4342.8</v>
      </c>
      <c r="J14" s="7">
        <f t="shared" si="2"/>
        <v>4342.8</v>
      </c>
      <c r="K14" s="7">
        <f t="shared" si="2"/>
        <v>4342.8</v>
      </c>
      <c r="L14" s="7">
        <f t="shared" si="2"/>
        <v>980.5</v>
      </c>
      <c r="M14" s="7">
        <f t="shared" si="3"/>
        <v>22.577599705259281</v>
      </c>
    </row>
    <row r="15" spans="1:13" ht="31.5">
      <c r="A15" s="31" t="s">
        <v>176</v>
      </c>
      <c r="B15" s="42" t="s">
        <v>171</v>
      </c>
      <c r="C15" s="42" t="s">
        <v>266</v>
      </c>
      <c r="D15" s="42" t="s">
        <v>177</v>
      </c>
      <c r="E15" s="42"/>
      <c r="F15" s="7">
        <f>F16</f>
        <v>4133.6000000000004</v>
      </c>
      <c r="G15" s="7">
        <f t="shared" si="2"/>
        <v>4411.6000000000004</v>
      </c>
      <c r="H15" s="7">
        <f t="shared" si="2"/>
        <v>4342.8</v>
      </c>
      <c r="I15" s="7">
        <f t="shared" si="2"/>
        <v>4342.8</v>
      </c>
      <c r="J15" s="7">
        <f t="shared" si="2"/>
        <v>4342.8</v>
      </c>
      <c r="K15" s="7">
        <f t="shared" si="2"/>
        <v>4342.8</v>
      </c>
      <c r="L15" s="7">
        <f t="shared" si="2"/>
        <v>980.5</v>
      </c>
      <c r="M15" s="7">
        <f t="shared" si="3"/>
        <v>22.577599705259281</v>
      </c>
    </row>
    <row r="16" spans="1:13" ht="31.5">
      <c r="A16" s="31" t="s">
        <v>630</v>
      </c>
      <c r="B16" s="42" t="s">
        <v>171</v>
      </c>
      <c r="C16" s="42" t="s">
        <v>266</v>
      </c>
      <c r="D16" s="42" t="s">
        <v>631</v>
      </c>
      <c r="E16" s="42"/>
      <c r="F16" s="7">
        <f>F17+F19</f>
        <v>4133.6000000000004</v>
      </c>
      <c r="G16" s="7">
        <f>G17+G19</f>
        <v>4411.6000000000004</v>
      </c>
      <c r="H16" s="7">
        <f t="shared" ref="H16:K16" si="4">H17+H19</f>
        <v>4342.8</v>
      </c>
      <c r="I16" s="7">
        <f t="shared" si="4"/>
        <v>4342.8</v>
      </c>
      <c r="J16" s="7">
        <f t="shared" si="4"/>
        <v>4342.8</v>
      </c>
      <c r="K16" s="7">
        <f t="shared" si="4"/>
        <v>4342.8</v>
      </c>
      <c r="L16" s="7">
        <f t="shared" ref="L16" si="5">L17+L19</f>
        <v>980.5</v>
      </c>
      <c r="M16" s="7">
        <f t="shared" si="3"/>
        <v>22.577599705259281</v>
      </c>
    </row>
    <row r="17" spans="1:13" ht="78.75">
      <c r="A17" s="31" t="s">
        <v>180</v>
      </c>
      <c r="B17" s="42" t="s">
        <v>171</v>
      </c>
      <c r="C17" s="42" t="s">
        <v>266</v>
      </c>
      <c r="D17" s="42" t="s">
        <v>631</v>
      </c>
      <c r="E17" s="42" t="s">
        <v>181</v>
      </c>
      <c r="F17" s="63">
        <f>F18</f>
        <v>4100.6000000000004</v>
      </c>
      <c r="G17" s="63">
        <f t="shared" ref="G17:L17" si="6">G18</f>
        <v>4378.6000000000004</v>
      </c>
      <c r="H17" s="63">
        <f t="shared" si="6"/>
        <v>3873.8</v>
      </c>
      <c r="I17" s="63">
        <f t="shared" si="6"/>
        <v>3873.8</v>
      </c>
      <c r="J17" s="63">
        <f t="shared" si="6"/>
        <v>3873.8</v>
      </c>
      <c r="K17" s="63">
        <f t="shared" si="6"/>
        <v>4342.8</v>
      </c>
      <c r="L17" s="63">
        <f t="shared" si="6"/>
        <v>980.5</v>
      </c>
      <c r="M17" s="7">
        <f t="shared" si="3"/>
        <v>22.577599705259281</v>
      </c>
    </row>
    <row r="18" spans="1:13" ht="31.5">
      <c r="A18" s="31" t="s">
        <v>182</v>
      </c>
      <c r="B18" s="42" t="s">
        <v>171</v>
      </c>
      <c r="C18" s="42" t="s">
        <v>266</v>
      </c>
      <c r="D18" s="42" t="s">
        <v>631</v>
      </c>
      <c r="E18" s="42" t="s">
        <v>183</v>
      </c>
      <c r="F18" s="63">
        <f>'Прил.№4 ведомств.'!G1055</f>
        <v>4100.6000000000004</v>
      </c>
      <c r="G18" s="63">
        <f>'Прил.№4 ведомств.'!I1055</f>
        <v>4378.6000000000004</v>
      </c>
      <c r="H18" s="63">
        <f>'Прил.№4 ведомств.'!J1055</f>
        <v>3873.8</v>
      </c>
      <c r="I18" s="63">
        <f>'Прил.№4 ведомств.'!K1055</f>
        <v>3873.8</v>
      </c>
      <c r="J18" s="63">
        <f>'Прил.№4 ведомств.'!L1055</f>
        <v>3873.8</v>
      </c>
      <c r="K18" s="63">
        <f>'Прил.№4 ведомств.'!M1055</f>
        <v>4342.8</v>
      </c>
      <c r="L18" s="63">
        <f>'Прил.№4 ведомств.'!N1055</f>
        <v>980.5</v>
      </c>
      <c r="M18" s="7">
        <f t="shared" si="3"/>
        <v>22.577599705259281</v>
      </c>
    </row>
    <row r="19" spans="1:13" ht="31.5" hidden="1">
      <c r="A19" s="31" t="s">
        <v>184</v>
      </c>
      <c r="B19" s="42" t="s">
        <v>171</v>
      </c>
      <c r="C19" s="42" t="s">
        <v>266</v>
      </c>
      <c r="D19" s="42" t="s">
        <v>631</v>
      </c>
      <c r="E19" s="42" t="s">
        <v>185</v>
      </c>
      <c r="F19" s="30">
        <f>F20</f>
        <v>33</v>
      </c>
      <c r="G19" s="30">
        <f t="shared" ref="G19:L19" si="7">G20</f>
        <v>33</v>
      </c>
      <c r="H19" s="30">
        <f t="shared" si="7"/>
        <v>469</v>
      </c>
      <c r="I19" s="30">
        <f t="shared" si="7"/>
        <v>469</v>
      </c>
      <c r="J19" s="30">
        <f t="shared" si="7"/>
        <v>469</v>
      </c>
      <c r="K19" s="30">
        <f t="shared" si="7"/>
        <v>0</v>
      </c>
      <c r="L19" s="30">
        <f t="shared" si="7"/>
        <v>0</v>
      </c>
      <c r="M19" s="4" t="e">
        <f t="shared" si="3"/>
        <v>#DIV/0!</v>
      </c>
    </row>
    <row r="20" spans="1:13" ht="47.25" hidden="1">
      <c r="A20" s="31" t="s">
        <v>186</v>
      </c>
      <c r="B20" s="42" t="s">
        <v>171</v>
      </c>
      <c r="C20" s="42" t="s">
        <v>266</v>
      </c>
      <c r="D20" s="42" t="s">
        <v>631</v>
      </c>
      <c r="E20" s="42" t="s">
        <v>187</v>
      </c>
      <c r="F20" s="30">
        <f>'Прил.№4 ведомств.'!G1057</f>
        <v>33</v>
      </c>
      <c r="G20" s="30">
        <f>'Прил.№4 ведомств.'!I1057</f>
        <v>33</v>
      </c>
      <c r="H20" s="30">
        <f>'Прил.№4 ведомств.'!J1057</f>
        <v>469</v>
      </c>
      <c r="I20" s="30">
        <f>'Прил.№4 ведомств.'!K1057</f>
        <v>469</v>
      </c>
      <c r="J20" s="30">
        <f>'Прил.№4 ведомств.'!L1057</f>
        <v>469</v>
      </c>
      <c r="K20" s="30">
        <f>'Прил.№4 ведомств.'!M1057</f>
        <v>0</v>
      </c>
      <c r="L20" s="30">
        <f>'Прил.№4 ведомств.'!N1057</f>
        <v>0</v>
      </c>
      <c r="M20" s="4" t="e">
        <f t="shared" si="3"/>
        <v>#DIV/0!</v>
      </c>
    </row>
    <row r="21" spans="1:13" ht="63">
      <c r="A21" s="43" t="s">
        <v>632</v>
      </c>
      <c r="B21" s="8" t="s">
        <v>171</v>
      </c>
      <c r="C21" s="8" t="s">
        <v>268</v>
      </c>
      <c r="D21" s="8"/>
      <c r="E21" s="8"/>
      <c r="F21" s="4">
        <f>F22</f>
        <v>1138.7</v>
      </c>
      <c r="G21" s="4">
        <f t="shared" ref="G21:L23" si="8">G22</f>
        <v>1302.7</v>
      </c>
      <c r="H21" s="4">
        <f t="shared" si="8"/>
        <v>1049.5</v>
      </c>
      <c r="I21" s="4">
        <f t="shared" si="8"/>
        <v>1049.5</v>
      </c>
      <c r="J21" s="4">
        <f t="shared" si="8"/>
        <v>1049.5</v>
      </c>
      <c r="K21" s="4">
        <f t="shared" si="8"/>
        <v>1049.5</v>
      </c>
      <c r="L21" s="4">
        <f t="shared" si="8"/>
        <v>196.4</v>
      </c>
      <c r="M21" s="4">
        <f t="shared" si="3"/>
        <v>18.713673177703669</v>
      </c>
    </row>
    <row r="22" spans="1:13" ht="15.75">
      <c r="A22" s="31" t="s">
        <v>174</v>
      </c>
      <c r="B22" s="42" t="s">
        <v>171</v>
      </c>
      <c r="C22" s="42" t="s">
        <v>268</v>
      </c>
      <c r="D22" s="42" t="s">
        <v>175</v>
      </c>
      <c r="E22" s="8"/>
      <c r="F22" s="7">
        <f>F23</f>
        <v>1138.7</v>
      </c>
      <c r="G22" s="7">
        <f t="shared" si="8"/>
        <v>1302.7</v>
      </c>
      <c r="H22" s="7">
        <f t="shared" si="8"/>
        <v>1049.5</v>
      </c>
      <c r="I22" s="7">
        <f t="shared" si="8"/>
        <v>1049.5</v>
      </c>
      <c r="J22" s="7">
        <f t="shared" si="8"/>
        <v>1049.5</v>
      </c>
      <c r="K22" s="7">
        <f t="shared" si="8"/>
        <v>1049.5</v>
      </c>
      <c r="L22" s="7">
        <f t="shared" si="8"/>
        <v>196.4</v>
      </c>
      <c r="M22" s="7">
        <f t="shared" si="3"/>
        <v>18.713673177703669</v>
      </c>
    </row>
    <row r="23" spans="1:13" ht="31.5">
      <c r="A23" s="31" t="s">
        <v>176</v>
      </c>
      <c r="B23" s="42" t="s">
        <v>171</v>
      </c>
      <c r="C23" s="42" t="s">
        <v>268</v>
      </c>
      <c r="D23" s="42" t="s">
        <v>177</v>
      </c>
      <c r="E23" s="8"/>
      <c r="F23" s="7">
        <f>F24</f>
        <v>1138.7</v>
      </c>
      <c r="G23" s="7">
        <f t="shared" si="8"/>
        <v>1302.7</v>
      </c>
      <c r="H23" s="7">
        <f t="shared" si="8"/>
        <v>1049.5</v>
      </c>
      <c r="I23" s="7">
        <f t="shared" si="8"/>
        <v>1049.5</v>
      </c>
      <c r="J23" s="7">
        <f t="shared" si="8"/>
        <v>1049.5</v>
      </c>
      <c r="K23" s="7">
        <f t="shared" si="8"/>
        <v>1049.5</v>
      </c>
      <c r="L23" s="7">
        <f t="shared" si="8"/>
        <v>196.4</v>
      </c>
      <c r="M23" s="7">
        <f t="shared" si="3"/>
        <v>18.713673177703669</v>
      </c>
    </row>
    <row r="24" spans="1:13" ht="47.25">
      <c r="A24" s="31" t="s">
        <v>633</v>
      </c>
      <c r="B24" s="42" t="s">
        <v>171</v>
      </c>
      <c r="C24" s="42" t="s">
        <v>268</v>
      </c>
      <c r="D24" s="42" t="s">
        <v>634</v>
      </c>
      <c r="E24" s="42"/>
      <c r="F24" s="7">
        <f>F25+F27</f>
        <v>1138.7</v>
      </c>
      <c r="G24" s="7">
        <f t="shared" ref="G24:K24" si="9">G25+G27</f>
        <v>1302.7</v>
      </c>
      <c r="H24" s="7">
        <f t="shared" si="9"/>
        <v>1049.5</v>
      </c>
      <c r="I24" s="7">
        <f t="shared" si="9"/>
        <v>1049.5</v>
      </c>
      <c r="J24" s="7">
        <f t="shared" si="9"/>
        <v>1049.5</v>
      </c>
      <c r="K24" s="7">
        <f t="shared" si="9"/>
        <v>1049.5</v>
      </c>
      <c r="L24" s="7">
        <f t="shared" ref="L24" si="10">L25+L27</f>
        <v>196.4</v>
      </c>
      <c r="M24" s="7">
        <f t="shared" si="3"/>
        <v>18.713673177703669</v>
      </c>
    </row>
    <row r="25" spans="1:13" ht="78.75">
      <c r="A25" s="31" t="s">
        <v>180</v>
      </c>
      <c r="B25" s="42" t="s">
        <v>171</v>
      </c>
      <c r="C25" s="42" t="s">
        <v>268</v>
      </c>
      <c r="D25" s="42" t="s">
        <v>634</v>
      </c>
      <c r="E25" s="42" t="s">
        <v>181</v>
      </c>
      <c r="F25" s="63">
        <f>F26</f>
        <v>1003.7</v>
      </c>
      <c r="G25" s="63">
        <f t="shared" ref="G25:L25" si="11">G26</f>
        <v>1164.7</v>
      </c>
      <c r="H25" s="63">
        <f t="shared" si="11"/>
        <v>956.5</v>
      </c>
      <c r="I25" s="63">
        <f t="shared" si="11"/>
        <v>956.5</v>
      </c>
      <c r="J25" s="63">
        <f t="shared" si="11"/>
        <v>956.5</v>
      </c>
      <c r="K25" s="63">
        <f t="shared" si="11"/>
        <v>956.5</v>
      </c>
      <c r="L25" s="63">
        <f t="shared" si="11"/>
        <v>185.4</v>
      </c>
      <c r="M25" s="7">
        <f t="shared" si="3"/>
        <v>19.383167799268168</v>
      </c>
    </row>
    <row r="26" spans="1:13" ht="31.5">
      <c r="A26" s="31" t="s">
        <v>182</v>
      </c>
      <c r="B26" s="42" t="s">
        <v>171</v>
      </c>
      <c r="C26" s="42" t="s">
        <v>268</v>
      </c>
      <c r="D26" s="42" t="s">
        <v>634</v>
      </c>
      <c r="E26" s="42" t="s">
        <v>183</v>
      </c>
      <c r="F26" s="63">
        <f>'Прил.№4 ведомств.'!G1063</f>
        <v>1003.7</v>
      </c>
      <c r="G26" s="63">
        <f>'Прил.№4 ведомств.'!I1063</f>
        <v>1164.7</v>
      </c>
      <c r="H26" s="63">
        <f>'Прил.№4 ведомств.'!J1063</f>
        <v>956.5</v>
      </c>
      <c r="I26" s="63">
        <f>'Прил.№4 ведомств.'!K1063</f>
        <v>956.5</v>
      </c>
      <c r="J26" s="63">
        <f>'Прил.№4 ведомств.'!L1063</f>
        <v>956.5</v>
      </c>
      <c r="K26" s="63">
        <f>'Прил.№4 ведомств.'!M1063</f>
        <v>956.5</v>
      </c>
      <c r="L26" s="63">
        <f>'Прил.№4 ведомств.'!N1063</f>
        <v>185.4</v>
      </c>
      <c r="M26" s="7">
        <f t="shared" si="3"/>
        <v>19.383167799268168</v>
      </c>
    </row>
    <row r="27" spans="1:13" ht="31.5">
      <c r="A27" s="31" t="s">
        <v>184</v>
      </c>
      <c r="B27" s="42" t="s">
        <v>171</v>
      </c>
      <c r="C27" s="42" t="s">
        <v>268</v>
      </c>
      <c r="D27" s="42" t="s">
        <v>634</v>
      </c>
      <c r="E27" s="42" t="s">
        <v>185</v>
      </c>
      <c r="F27" s="7">
        <f>F28</f>
        <v>135</v>
      </c>
      <c r="G27" s="7">
        <f t="shared" ref="G27:L27" si="12">G28</f>
        <v>138</v>
      </c>
      <c r="H27" s="7">
        <f t="shared" si="12"/>
        <v>93</v>
      </c>
      <c r="I27" s="7">
        <f t="shared" si="12"/>
        <v>93</v>
      </c>
      <c r="J27" s="7">
        <f t="shared" si="12"/>
        <v>93</v>
      </c>
      <c r="K27" s="7">
        <f t="shared" si="12"/>
        <v>93</v>
      </c>
      <c r="L27" s="7">
        <f t="shared" si="12"/>
        <v>11</v>
      </c>
      <c r="M27" s="7">
        <f t="shared" si="3"/>
        <v>11.827956989247312</v>
      </c>
    </row>
    <row r="28" spans="1:13" ht="47.25">
      <c r="A28" s="31" t="s">
        <v>186</v>
      </c>
      <c r="B28" s="42" t="s">
        <v>171</v>
      </c>
      <c r="C28" s="42" t="s">
        <v>268</v>
      </c>
      <c r="D28" s="42" t="s">
        <v>634</v>
      </c>
      <c r="E28" s="42" t="s">
        <v>187</v>
      </c>
      <c r="F28" s="7">
        <f>'Прил.№4 ведомств.'!G1065</f>
        <v>135</v>
      </c>
      <c r="G28" s="7">
        <f>'Прил.№4 ведомств.'!I1065</f>
        <v>138</v>
      </c>
      <c r="H28" s="7">
        <f>'Прил.№4 ведомств.'!J1065</f>
        <v>93</v>
      </c>
      <c r="I28" s="7">
        <f>'Прил.№4 ведомств.'!K1065</f>
        <v>93</v>
      </c>
      <c r="J28" s="7">
        <f>'Прил.№4 ведомств.'!L1065</f>
        <v>93</v>
      </c>
      <c r="K28" s="7">
        <f>'Прил.№4 ведомств.'!M1065</f>
        <v>93</v>
      </c>
      <c r="L28" s="7">
        <f>'Прил.№4 ведомств.'!N1065</f>
        <v>11</v>
      </c>
      <c r="M28" s="7">
        <f t="shared" si="3"/>
        <v>11.827956989247312</v>
      </c>
    </row>
    <row r="29" spans="1:13" ht="15.75" hidden="1" customHeight="1">
      <c r="A29" s="31" t="s">
        <v>188</v>
      </c>
      <c r="B29" s="42" t="s">
        <v>171</v>
      </c>
      <c r="C29" s="42" t="s">
        <v>268</v>
      </c>
      <c r="D29" s="42" t="s">
        <v>634</v>
      </c>
      <c r="E29" s="42" t="s">
        <v>198</v>
      </c>
      <c r="F29" s="7">
        <f>F30</f>
        <v>0</v>
      </c>
      <c r="G29" s="7">
        <f t="shared" ref="G29:L29" si="13">G30</f>
        <v>0</v>
      </c>
      <c r="H29" s="7">
        <f t="shared" si="13"/>
        <v>0</v>
      </c>
      <c r="I29" s="7">
        <f t="shared" si="13"/>
        <v>0</v>
      </c>
      <c r="J29" s="7">
        <f t="shared" si="13"/>
        <v>0</v>
      </c>
      <c r="K29" s="7">
        <f t="shared" si="13"/>
        <v>0</v>
      </c>
      <c r="L29" s="7">
        <f t="shared" si="13"/>
        <v>0</v>
      </c>
      <c r="M29" s="4" t="e">
        <f t="shared" si="3"/>
        <v>#DIV/0!</v>
      </c>
    </row>
    <row r="30" spans="1:13" ht="15.75" hidden="1" customHeight="1">
      <c r="A30" s="31" t="s">
        <v>190</v>
      </c>
      <c r="B30" s="42" t="s">
        <v>171</v>
      </c>
      <c r="C30" s="42" t="s">
        <v>268</v>
      </c>
      <c r="D30" s="42" t="s">
        <v>634</v>
      </c>
      <c r="E30" s="42" t="s">
        <v>191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4" t="e">
        <f t="shared" si="3"/>
        <v>#DIV/0!</v>
      </c>
    </row>
    <row r="31" spans="1:13" ht="62.25" customHeight="1">
      <c r="A31" s="43" t="s">
        <v>202</v>
      </c>
      <c r="B31" s="8" t="s">
        <v>171</v>
      </c>
      <c r="C31" s="8" t="s">
        <v>203</v>
      </c>
      <c r="D31" s="8"/>
      <c r="E31" s="8"/>
      <c r="F31" s="4">
        <f>F32</f>
        <v>62597.19999999999</v>
      </c>
      <c r="G31" s="4">
        <f t="shared" ref="G31:L31" si="14">G32</f>
        <v>59087.519607843133</v>
      </c>
      <c r="H31" s="4">
        <f t="shared" si="14"/>
        <v>60573.200000000004</v>
      </c>
      <c r="I31" s="4">
        <f t="shared" si="14"/>
        <v>60922.1</v>
      </c>
      <c r="J31" s="4">
        <f t="shared" si="14"/>
        <v>61133.4</v>
      </c>
      <c r="K31" s="4">
        <f t="shared" si="14"/>
        <v>62620.4</v>
      </c>
      <c r="L31" s="4">
        <f t="shared" si="14"/>
        <v>12542.099999999999</v>
      </c>
      <c r="M31" s="4">
        <f t="shared" si="3"/>
        <v>20.028776564825517</v>
      </c>
    </row>
    <row r="32" spans="1:13" ht="15.75">
      <c r="A32" s="31" t="s">
        <v>174</v>
      </c>
      <c r="B32" s="42" t="s">
        <v>171</v>
      </c>
      <c r="C32" s="42" t="s">
        <v>203</v>
      </c>
      <c r="D32" s="42" t="s">
        <v>175</v>
      </c>
      <c r="E32" s="42"/>
      <c r="F32" s="7">
        <f t="shared" ref="F32:K32" si="15">F33+F50</f>
        <v>62597.19999999999</v>
      </c>
      <c r="G32" s="7">
        <f t="shared" si="15"/>
        <v>59087.519607843133</v>
      </c>
      <c r="H32" s="7">
        <f t="shared" si="15"/>
        <v>60573.200000000004</v>
      </c>
      <c r="I32" s="7">
        <f t="shared" si="15"/>
        <v>60922.1</v>
      </c>
      <c r="J32" s="7">
        <f t="shared" si="15"/>
        <v>61133.4</v>
      </c>
      <c r="K32" s="7">
        <f t="shared" si="15"/>
        <v>62620.4</v>
      </c>
      <c r="L32" s="7">
        <f t="shared" ref="L32" si="16">L33+L50</f>
        <v>12542.099999999999</v>
      </c>
      <c r="M32" s="7">
        <f t="shared" si="3"/>
        <v>20.028776564825517</v>
      </c>
    </row>
    <row r="33" spans="1:13" ht="31.5">
      <c r="A33" s="31" t="s">
        <v>176</v>
      </c>
      <c r="B33" s="42" t="s">
        <v>171</v>
      </c>
      <c r="C33" s="42" t="s">
        <v>203</v>
      </c>
      <c r="D33" s="42" t="s">
        <v>177</v>
      </c>
      <c r="E33" s="42"/>
      <c r="F33" s="7">
        <f>F34+F42</f>
        <v>54518.19999999999</v>
      </c>
      <c r="G33" s="7">
        <f t="shared" ref="G33:J33" si="17">G34+G42</f>
        <v>51051.919607843134</v>
      </c>
      <c r="H33" s="7">
        <f t="shared" si="17"/>
        <v>58233.3</v>
      </c>
      <c r="I33" s="7">
        <f t="shared" si="17"/>
        <v>58582.2</v>
      </c>
      <c r="J33" s="7">
        <f t="shared" si="17"/>
        <v>58793.5</v>
      </c>
      <c r="K33" s="7">
        <f>K34+K42+K45</f>
        <v>60066.9</v>
      </c>
      <c r="L33" s="7">
        <f t="shared" ref="L33" si="18">L34+L42+L45</f>
        <v>12079.699999999999</v>
      </c>
      <c r="M33" s="7">
        <f t="shared" si="3"/>
        <v>20.110410225931417</v>
      </c>
    </row>
    <row r="34" spans="1:13" ht="47.25">
      <c r="A34" s="31" t="s">
        <v>178</v>
      </c>
      <c r="B34" s="42" t="s">
        <v>171</v>
      </c>
      <c r="C34" s="42" t="s">
        <v>203</v>
      </c>
      <c r="D34" s="42" t="s">
        <v>179</v>
      </c>
      <c r="E34" s="42"/>
      <c r="F34" s="7">
        <f>F35+F37+F39</f>
        <v>50972.599999999991</v>
      </c>
      <c r="G34" s="7">
        <f t="shared" ref="G34:K34" si="19">G35+G37+G39</f>
        <v>47506.319607843136</v>
      </c>
      <c r="H34" s="7">
        <f t="shared" si="19"/>
        <v>55000.5</v>
      </c>
      <c r="I34" s="7">
        <f t="shared" si="19"/>
        <v>55349.399999999994</v>
      </c>
      <c r="J34" s="7">
        <f t="shared" si="19"/>
        <v>55560.7</v>
      </c>
      <c r="K34" s="7">
        <f t="shared" si="19"/>
        <v>54023.5</v>
      </c>
      <c r="L34" s="7">
        <f t="shared" ref="L34" si="20">L35+L37+L39</f>
        <v>11130.8</v>
      </c>
      <c r="M34" s="7">
        <f t="shared" si="3"/>
        <v>20.603626199709385</v>
      </c>
    </row>
    <row r="35" spans="1:13" ht="78.75">
      <c r="A35" s="31" t="s">
        <v>180</v>
      </c>
      <c r="B35" s="42" t="s">
        <v>171</v>
      </c>
      <c r="C35" s="42" t="s">
        <v>203</v>
      </c>
      <c r="D35" s="42" t="s">
        <v>179</v>
      </c>
      <c r="E35" s="42" t="s">
        <v>181</v>
      </c>
      <c r="F35" s="63">
        <f>F36</f>
        <v>44371.199999999997</v>
      </c>
      <c r="G35" s="63">
        <f t="shared" ref="G35:L35" si="21">G36</f>
        <v>42661.552941176473</v>
      </c>
      <c r="H35" s="63">
        <f t="shared" si="21"/>
        <v>46277.4</v>
      </c>
      <c r="I35" s="63">
        <f t="shared" si="21"/>
        <v>46277.4</v>
      </c>
      <c r="J35" s="63">
        <f t="shared" si="21"/>
        <v>46277.4</v>
      </c>
      <c r="K35" s="63">
        <f t="shared" si="21"/>
        <v>46023.9</v>
      </c>
      <c r="L35" s="63">
        <f t="shared" si="21"/>
        <v>10389.799999999999</v>
      </c>
      <c r="M35" s="7">
        <f t="shared" si="3"/>
        <v>22.574792662073399</v>
      </c>
    </row>
    <row r="36" spans="1:13" ht="31.5">
      <c r="A36" s="31" t="s">
        <v>182</v>
      </c>
      <c r="B36" s="42" t="s">
        <v>171</v>
      </c>
      <c r="C36" s="42" t="s">
        <v>203</v>
      </c>
      <c r="D36" s="42" t="s">
        <v>179</v>
      </c>
      <c r="E36" s="42" t="s">
        <v>183</v>
      </c>
      <c r="F36" s="63">
        <f>'Прил.№4 ведомств.'!G535+'Прил.№4 ведомств.'!G36</f>
        <v>44371.199999999997</v>
      </c>
      <c r="G36" s="63">
        <f>'Прил.№4 ведомств.'!I535+'Прил.№4 ведомств.'!I36</f>
        <v>42661.552941176473</v>
      </c>
      <c r="H36" s="63">
        <f>'Прил.№4 ведомств.'!J535+'Прил.№4 ведомств.'!J36</f>
        <v>46277.4</v>
      </c>
      <c r="I36" s="63">
        <f>'Прил.№4 ведомств.'!K535+'Прил.№4 ведомств.'!K36</f>
        <v>46277.4</v>
      </c>
      <c r="J36" s="63">
        <f>'Прил.№4 ведомств.'!L535+'Прил.№4 ведомств.'!L36</f>
        <v>46277.4</v>
      </c>
      <c r="K36" s="63">
        <f>'Прил.№4 ведомств.'!M535+'Прил.№4 ведомств.'!M36</f>
        <v>46023.9</v>
      </c>
      <c r="L36" s="63">
        <f>'Прил.№4 ведомств.'!N535+'Прил.№4 ведомств.'!N36</f>
        <v>10389.799999999999</v>
      </c>
      <c r="M36" s="7">
        <f t="shared" si="3"/>
        <v>22.574792662073399</v>
      </c>
    </row>
    <row r="37" spans="1:13" ht="31.5">
      <c r="A37" s="31" t="s">
        <v>184</v>
      </c>
      <c r="B37" s="42" t="s">
        <v>171</v>
      </c>
      <c r="C37" s="42" t="s">
        <v>203</v>
      </c>
      <c r="D37" s="42" t="s">
        <v>179</v>
      </c>
      <c r="E37" s="42" t="s">
        <v>185</v>
      </c>
      <c r="F37" s="7">
        <f>F38</f>
        <v>6404.2</v>
      </c>
      <c r="G37" s="7">
        <f t="shared" ref="G37:L37" si="22">G38</f>
        <v>4499.2666666666664</v>
      </c>
      <c r="H37" s="7">
        <f t="shared" si="22"/>
        <v>8525.9000000000015</v>
      </c>
      <c r="I37" s="7">
        <f t="shared" si="22"/>
        <v>8874.7999999999993</v>
      </c>
      <c r="J37" s="7">
        <f t="shared" si="22"/>
        <v>9086.1</v>
      </c>
      <c r="K37" s="7">
        <f t="shared" si="22"/>
        <v>7765.2999999999993</v>
      </c>
      <c r="L37" s="7">
        <f t="shared" si="22"/>
        <v>684.8</v>
      </c>
      <c r="M37" s="7">
        <f t="shared" si="3"/>
        <v>8.81871917376019</v>
      </c>
    </row>
    <row r="38" spans="1:13" ht="47.25">
      <c r="A38" s="31" t="s">
        <v>186</v>
      </c>
      <c r="B38" s="42" t="s">
        <v>171</v>
      </c>
      <c r="C38" s="42" t="s">
        <v>203</v>
      </c>
      <c r="D38" s="42" t="s">
        <v>179</v>
      </c>
      <c r="E38" s="42" t="s">
        <v>187</v>
      </c>
      <c r="F38" s="7">
        <f>'Прил.№4 ведомств.'!G38+'Прил.№4 ведомств.'!G537</f>
        <v>6404.2</v>
      </c>
      <c r="G38" s="7">
        <f>'Прил.№4 ведомств.'!I38+'Прил.№4 ведомств.'!I537</f>
        <v>4499.2666666666664</v>
      </c>
      <c r="H38" s="7">
        <f>'Прил.№4 ведомств.'!J38+'Прил.№4 ведомств.'!J537</f>
        <v>8525.9000000000015</v>
      </c>
      <c r="I38" s="7">
        <f>'Прил.№4 ведомств.'!K38+'Прил.№4 ведомств.'!K537</f>
        <v>8874.7999999999993</v>
      </c>
      <c r="J38" s="7">
        <f>'Прил.№4 ведомств.'!L38+'Прил.№4 ведомств.'!L537</f>
        <v>9086.1</v>
      </c>
      <c r="K38" s="7">
        <f>'Прил.№4 ведомств.'!M38+'Прил.№4 ведомств.'!M537</f>
        <v>7765.2999999999993</v>
      </c>
      <c r="L38" s="7">
        <f>'Прил.№4 ведомств.'!N38+'Прил.№4 ведомств.'!N537</f>
        <v>684.8</v>
      </c>
      <c r="M38" s="7">
        <f t="shared" si="3"/>
        <v>8.81871917376019</v>
      </c>
    </row>
    <row r="39" spans="1:13" ht="15.75">
      <c r="A39" s="31" t="s">
        <v>188</v>
      </c>
      <c r="B39" s="42" t="s">
        <v>171</v>
      </c>
      <c r="C39" s="42" t="s">
        <v>203</v>
      </c>
      <c r="D39" s="42" t="s">
        <v>179</v>
      </c>
      <c r="E39" s="42" t="s">
        <v>198</v>
      </c>
      <c r="F39" s="7">
        <f>F40</f>
        <v>197.2</v>
      </c>
      <c r="G39" s="7">
        <f t="shared" ref="G39:L39" si="23">G40</f>
        <v>345.5</v>
      </c>
      <c r="H39" s="7">
        <f t="shared" si="23"/>
        <v>197.2</v>
      </c>
      <c r="I39" s="7">
        <f t="shared" si="23"/>
        <v>197.2</v>
      </c>
      <c r="J39" s="7">
        <f t="shared" si="23"/>
        <v>197.2</v>
      </c>
      <c r="K39" s="7">
        <f t="shared" si="23"/>
        <v>234.3</v>
      </c>
      <c r="L39" s="7">
        <f t="shared" si="23"/>
        <v>56.2</v>
      </c>
      <c r="M39" s="7">
        <f t="shared" si="3"/>
        <v>23.986342296201453</v>
      </c>
    </row>
    <row r="40" spans="1:13" ht="15.75">
      <c r="A40" s="31" t="s">
        <v>622</v>
      </c>
      <c r="B40" s="42" t="s">
        <v>171</v>
      </c>
      <c r="C40" s="42" t="s">
        <v>203</v>
      </c>
      <c r="D40" s="42" t="s">
        <v>179</v>
      </c>
      <c r="E40" s="42" t="s">
        <v>191</v>
      </c>
      <c r="F40" s="7">
        <f>'Прил.№4 ведомств.'!G539+'Прил.№4 ведомств.'!G40</f>
        <v>197.2</v>
      </c>
      <c r="G40" s="7">
        <f>'Прил.№4 ведомств.'!I539+'Прил.№4 ведомств.'!I40</f>
        <v>345.5</v>
      </c>
      <c r="H40" s="7">
        <f>'Прил.№4 ведомств.'!J539+'Прил.№4 ведомств.'!J40</f>
        <v>197.2</v>
      </c>
      <c r="I40" s="7">
        <f>'Прил.№4 ведомств.'!K539+'Прил.№4 ведомств.'!K40</f>
        <v>197.2</v>
      </c>
      <c r="J40" s="7">
        <f>'Прил.№4 ведомств.'!L539+'Прил.№4 ведомств.'!L40</f>
        <v>197.2</v>
      </c>
      <c r="K40" s="7">
        <f>'Прил.№4 ведомств.'!M539+'Прил.№4 ведомств.'!M40</f>
        <v>234.3</v>
      </c>
      <c r="L40" s="7">
        <f>'Прил.№4 ведомств.'!N539+'Прил.№4 ведомств.'!N40</f>
        <v>56.2</v>
      </c>
      <c r="M40" s="7">
        <f t="shared" si="3"/>
        <v>23.986342296201453</v>
      </c>
    </row>
    <row r="41" spans="1:13" ht="31.5">
      <c r="A41" s="26" t="s">
        <v>648</v>
      </c>
      <c r="B41" s="42" t="s">
        <v>171</v>
      </c>
      <c r="C41" s="42" t="s">
        <v>203</v>
      </c>
      <c r="D41" s="42" t="s">
        <v>205</v>
      </c>
      <c r="E41" s="42"/>
      <c r="F41" s="7">
        <f>F42</f>
        <v>3545.6</v>
      </c>
      <c r="G41" s="7">
        <f t="shared" ref="G41:L43" si="24">G42</f>
        <v>3545.6</v>
      </c>
      <c r="H41" s="7">
        <f t="shared" si="24"/>
        <v>3232.8</v>
      </c>
      <c r="I41" s="7">
        <f t="shared" si="24"/>
        <v>3232.8</v>
      </c>
      <c r="J41" s="7">
        <f t="shared" si="24"/>
        <v>3232.8</v>
      </c>
      <c r="K41" s="7">
        <f t="shared" si="24"/>
        <v>3545.6</v>
      </c>
      <c r="L41" s="7">
        <f t="shared" si="24"/>
        <v>159</v>
      </c>
      <c r="M41" s="7">
        <f t="shared" si="3"/>
        <v>4.484431407942238</v>
      </c>
    </row>
    <row r="42" spans="1:13" ht="31.5">
      <c r="A42" s="31" t="s">
        <v>204</v>
      </c>
      <c r="B42" s="42" t="s">
        <v>171</v>
      </c>
      <c r="C42" s="42" t="s">
        <v>203</v>
      </c>
      <c r="D42" s="42" t="s">
        <v>205</v>
      </c>
      <c r="E42" s="42"/>
      <c r="F42" s="7">
        <f>F43</f>
        <v>3545.6</v>
      </c>
      <c r="G42" s="7">
        <f t="shared" si="24"/>
        <v>3545.6</v>
      </c>
      <c r="H42" s="7">
        <f t="shared" si="24"/>
        <v>3232.8</v>
      </c>
      <c r="I42" s="7">
        <f t="shared" si="24"/>
        <v>3232.8</v>
      </c>
      <c r="J42" s="7">
        <f t="shared" si="24"/>
        <v>3232.8</v>
      </c>
      <c r="K42" s="7">
        <f t="shared" si="24"/>
        <v>3545.6</v>
      </c>
      <c r="L42" s="7">
        <f t="shared" si="24"/>
        <v>159</v>
      </c>
      <c r="M42" s="7">
        <f t="shared" si="3"/>
        <v>4.484431407942238</v>
      </c>
    </row>
    <row r="43" spans="1:13" ht="78.75">
      <c r="A43" s="31" t="s">
        <v>180</v>
      </c>
      <c r="B43" s="42" t="s">
        <v>171</v>
      </c>
      <c r="C43" s="42" t="s">
        <v>203</v>
      </c>
      <c r="D43" s="42" t="s">
        <v>205</v>
      </c>
      <c r="E43" s="42" t="s">
        <v>181</v>
      </c>
      <c r="F43" s="63">
        <f>F44</f>
        <v>3545.6</v>
      </c>
      <c r="G43" s="63">
        <f t="shared" si="24"/>
        <v>3545.6</v>
      </c>
      <c r="H43" s="63">
        <f t="shared" si="24"/>
        <v>3232.8</v>
      </c>
      <c r="I43" s="63">
        <f t="shared" si="24"/>
        <v>3232.8</v>
      </c>
      <c r="J43" s="63">
        <f t="shared" si="24"/>
        <v>3232.8</v>
      </c>
      <c r="K43" s="63">
        <f t="shared" si="24"/>
        <v>3545.6</v>
      </c>
      <c r="L43" s="63">
        <f t="shared" si="24"/>
        <v>159</v>
      </c>
      <c r="M43" s="7">
        <f t="shared" si="3"/>
        <v>4.484431407942238</v>
      </c>
    </row>
    <row r="44" spans="1:13" ht="31.5">
      <c r="A44" s="31" t="s">
        <v>182</v>
      </c>
      <c r="B44" s="42" t="s">
        <v>171</v>
      </c>
      <c r="C44" s="42" t="s">
        <v>203</v>
      </c>
      <c r="D44" s="42" t="s">
        <v>205</v>
      </c>
      <c r="E44" s="42" t="s">
        <v>183</v>
      </c>
      <c r="F44" s="63">
        <f>'Прил.№4 ведомств.'!G43</f>
        <v>3545.6</v>
      </c>
      <c r="G44" s="63">
        <f>'Прил.№4 ведомств.'!I43</f>
        <v>3545.6</v>
      </c>
      <c r="H44" s="63">
        <f>'Прил.№4 ведомств.'!J43</f>
        <v>3232.8</v>
      </c>
      <c r="I44" s="63">
        <f>'Прил.№4 ведомств.'!K43</f>
        <v>3232.8</v>
      </c>
      <c r="J44" s="63">
        <f>'Прил.№4 ведомств.'!L43</f>
        <v>3232.8</v>
      </c>
      <c r="K44" s="63">
        <f>'Прил.№4 ведомств.'!M43</f>
        <v>3545.6</v>
      </c>
      <c r="L44" s="63">
        <f>'Прил.№4 ведомств.'!N43</f>
        <v>159</v>
      </c>
      <c r="M44" s="7">
        <f t="shared" si="3"/>
        <v>4.484431407942238</v>
      </c>
    </row>
    <row r="45" spans="1:13" ht="47.25">
      <c r="A45" s="31" t="s">
        <v>263</v>
      </c>
      <c r="B45" s="42" t="s">
        <v>171</v>
      </c>
      <c r="C45" s="42" t="s">
        <v>203</v>
      </c>
      <c r="D45" s="42" t="s">
        <v>978</v>
      </c>
      <c r="E45" s="42"/>
      <c r="F45" s="63"/>
      <c r="G45" s="63"/>
      <c r="H45" s="63"/>
      <c r="I45" s="63"/>
      <c r="J45" s="63"/>
      <c r="K45" s="63">
        <f>K46+K48</f>
        <v>2497.8000000000002</v>
      </c>
      <c r="L45" s="63">
        <f t="shared" ref="L45" si="25">L46+L48</f>
        <v>789.9</v>
      </c>
      <c r="M45" s="7">
        <f t="shared" si="3"/>
        <v>31.62382896949315</v>
      </c>
    </row>
    <row r="46" spans="1:13" ht="78.75">
      <c r="A46" s="31" t="s">
        <v>180</v>
      </c>
      <c r="B46" s="42" t="s">
        <v>171</v>
      </c>
      <c r="C46" s="42" t="s">
        <v>203</v>
      </c>
      <c r="D46" s="42" t="s">
        <v>978</v>
      </c>
      <c r="E46" s="42" t="s">
        <v>181</v>
      </c>
      <c r="F46" s="63"/>
      <c r="G46" s="63"/>
      <c r="H46" s="63"/>
      <c r="I46" s="63"/>
      <c r="J46" s="63"/>
      <c r="K46" s="63">
        <f>K47</f>
        <v>1872.4</v>
      </c>
      <c r="L46" s="63">
        <f t="shared" ref="L46" si="26">L47</f>
        <v>734.5</v>
      </c>
      <c r="M46" s="7">
        <f t="shared" si="3"/>
        <v>39.227729117709892</v>
      </c>
    </row>
    <row r="47" spans="1:13" ht="31.5">
      <c r="A47" s="31" t="s">
        <v>182</v>
      </c>
      <c r="B47" s="42" t="s">
        <v>171</v>
      </c>
      <c r="C47" s="42" t="s">
        <v>203</v>
      </c>
      <c r="D47" s="42" t="s">
        <v>978</v>
      </c>
      <c r="E47" s="42" t="s">
        <v>183</v>
      </c>
      <c r="F47" s="63"/>
      <c r="G47" s="63"/>
      <c r="H47" s="63"/>
      <c r="I47" s="63"/>
      <c r="J47" s="63"/>
      <c r="K47" s="63">
        <f>'Прил.№4 ведомств.'!M46</f>
        <v>1872.4</v>
      </c>
      <c r="L47" s="63">
        <f>'Прил.№4 ведомств.'!N46</f>
        <v>734.5</v>
      </c>
      <c r="M47" s="7">
        <f t="shared" si="3"/>
        <v>39.227729117709892</v>
      </c>
    </row>
    <row r="48" spans="1:13" ht="31.5">
      <c r="A48" s="31" t="s">
        <v>184</v>
      </c>
      <c r="B48" s="42" t="s">
        <v>171</v>
      </c>
      <c r="C48" s="42" t="s">
        <v>203</v>
      </c>
      <c r="D48" s="42" t="s">
        <v>978</v>
      </c>
      <c r="E48" s="42" t="s">
        <v>185</v>
      </c>
      <c r="F48" s="63"/>
      <c r="G48" s="63"/>
      <c r="H48" s="63"/>
      <c r="I48" s="63"/>
      <c r="J48" s="63"/>
      <c r="K48" s="63">
        <f>K49</f>
        <v>625.4</v>
      </c>
      <c r="L48" s="63">
        <f t="shared" ref="L48" si="27">L49</f>
        <v>55.4</v>
      </c>
      <c r="M48" s="7">
        <f t="shared" si="3"/>
        <v>8.8583306683722416</v>
      </c>
    </row>
    <row r="49" spans="1:13" ht="48" customHeight="1">
      <c r="A49" s="31" t="s">
        <v>186</v>
      </c>
      <c r="B49" s="42" t="s">
        <v>171</v>
      </c>
      <c r="C49" s="42" t="s">
        <v>203</v>
      </c>
      <c r="D49" s="42" t="s">
        <v>978</v>
      </c>
      <c r="E49" s="42" t="s">
        <v>187</v>
      </c>
      <c r="F49" s="63"/>
      <c r="G49" s="63"/>
      <c r="H49" s="63"/>
      <c r="I49" s="63"/>
      <c r="J49" s="63"/>
      <c r="K49" s="63">
        <f>'Прил.№4 ведомств.'!M48</f>
        <v>625.4</v>
      </c>
      <c r="L49" s="63">
        <f>'Прил.№4 ведомств.'!N48</f>
        <v>55.4</v>
      </c>
      <c r="M49" s="7">
        <f t="shared" si="3"/>
        <v>8.8583306683722416</v>
      </c>
    </row>
    <row r="50" spans="1:13" ht="15.75">
      <c r="A50" s="26" t="s">
        <v>194</v>
      </c>
      <c r="B50" s="21" t="s">
        <v>171</v>
      </c>
      <c r="C50" s="21" t="s">
        <v>203</v>
      </c>
      <c r="D50" s="21" t="s">
        <v>195</v>
      </c>
      <c r="E50" s="21"/>
      <c r="F50" s="30">
        <f>F51</f>
        <v>8079</v>
      </c>
      <c r="G50" s="30">
        <f t="shared" ref="G50:L50" si="28">G51</f>
        <v>8035.6</v>
      </c>
      <c r="H50" s="30">
        <f t="shared" si="28"/>
        <v>2339.9</v>
      </c>
      <c r="I50" s="30">
        <f t="shared" si="28"/>
        <v>2339.9</v>
      </c>
      <c r="J50" s="30">
        <f t="shared" si="28"/>
        <v>2339.9</v>
      </c>
      <c r="K50" s="30">
        <f t="shared" si="28"/>
        <v>2553.5</v>
      </c>
      <c r="L50" s="30">
        <f t="shared" si="28"/>
        <v>462.4</v>
      </c>
      <c r="M50" s="7">
        <f t="shared" si="3"/>
        <v>18.108478558840808</v>
      </c>
    </row>
    <row r="51" spans="1:13" ht="36.75" customHeight="1">
      <c r="A51" s="26" t="s">
        <v>206</v>
      </c>
      <c r="B51" s="21" t="s">
        <v>171</v>
      </c>
      <c r="C51" s="21" t="s">
        <v>203</v>
      </c>
      <c r="D51" s="21" t="s">
        <v>207</v>
      </c>
      <c r="E51" s="21"/>
      <c r="F51" s="27">
        <f>F52+F54</f>
        <v>8079</v>
      </c>
      <c r="G51" s="27">
        <f t="shared" ref="G51:K51" si="29">G52+G54</f>
        <v>8035.6</v>
      </c>
      <c r="H51" s="27">
        <f t="shared" si="29"/>
        <v>2339.9</v>
      </c>
      <c r="I51" s="27">
        <f t="shared" si="29"/>
        <v>2339.9</v>
      </c>
      <c r="J51" s="27">
        <f t="shared" si="29"/>
        <v>2339.9</v>
      </c>
      <c r="K51" s="27">
        <f t="shared" si="29"/>
        <v>2553.5</v>
      </c>
      <c r="L51" s="27">
        <f t="shared" ref="L51" si="30">L52+L54</f>
        <v>462.4</v>
      </c>
      <c r="M51" s="7">
        <f t="shared" si="3"/>
        <v>18.108478558840808</v>
      </c>
    </row>
    <row r="52" spans="1:13" ht="84" customHeight="1">
      <c r="A52" s="26" t="s">
        <v>180</v>
      </c>
      <c r="B52" s="21" t="s">
        <v>171</v>
      </c>
      <c r="C52" s="21" t="s">
        <v>203</v>
      </c>
      <c r="D52" s="21" t="s">
        <v>207</v>
      </c>
      <c r="E52" s="21" t="s">
        <v>181</v>
      </c>
      <c r="F52" s="27">
        <f>F53</f>
        <v>5821.2</v>
      </c>
      <c r="G52" s="27">
        <f t="shared" ref="G52:L52" si="31">G53</f>
        <v>5817.2</v>
      </c>
      <c r="H52" s="27">
        <f t="shared" si="31"/>
        <v>2339.9</v>
      </c>
      <c r="I52" s="27">
        <f t="shared" si="31"/>
        <v>2339.9</v>
      </c>
      <c r="J52" s="27">
        <f t="shared" si="31"/>
        <v>2339.9</v>
      </c>
      <c r="K52" s="27">
        <f t="shared" si="31"/>
        <v>2553.5</v>
      </c>
      <c r="L52" s="27">
        <f t="shared" si="31"/>
        <v>462.4</v>
      </c>
      <c r="M52" s="7">
        <f t="shared" si="3"/>
        <v>18.108478558840808</v>
      </c>
    </row>
    <row r="53" spans="1:13" ht="31.5">
      <c r="A53" s="26" t="s">
        <v>182</v>
      </c>
      <c r="B53" s="21" t="s">
        <v>171</v>
      </c>
      <c r="C53" s="21" t="s">
        <v>203</v>
      </c>
      <c r="D53" s="21" t="s">
        <v>207</v>
      </c>
      <c r="E53" s="21" t="s">
        <v>183</v>
      </c>
      <c r="F53" s="28">
        <f>'Прил.№4 ведомств.'!G52</f>
        <v>5821.2</v>
      </c>
      <c r="G53" s="28">
        <f>'Прил.№4 ведомств.'!I52</f>
        <v>5817.2</v>
      </c>
      <c r="H53" s="28">
        <f>'Прил.№4 ведомств.'!J52</f>
        <v>2339.9</v>
      </c>
      <c r="I53" s="28">
        <f>'Прил.№4 ведомств.'!K52</f>
        <v>2339.9</v>
      </c>
      <c r="J53" s="28">
        <f>'Прил.№4 ведомств.'!L52</f>
        <v>2339.9</v>
      </c>
      <c r="K53" s="28">
        <f>'Прил.№4 ведомств.'!M52</f>
        <v>2553.5</v>
      </c>
      <c r="L53" s="28">
        <f>'Прил.№4 ведомств.'!N52</f>
        <v>462.4</v>
      </c>
      <c r="M53" s="7">
        <f t="shared" si="3"/>
        <v>18.108478558840808</v>
      </c>
    </row>
    <row r="54" spans="1:13" ht="31.5" hidden="1">
      <c r="A54" s="26" t="s">
        <v>184</v>
      </c>
      <c r="B54" s="21" t="s">
        <v>171</v>
      </c>
      <c r="C54" s="21" t="s">
        <v>203</v>
      </c>
      <c r="D54" s="21" t="s">
        <v>207</v>
      </c>
      <c r="E54" s="21" t="s">
        <v>185</v>
      </c>
      <c r="F54" s="27">
        <f>F55</f>
        <v>2257.8000000000002</v>
      </c>
      <c r="G54" s="27">
        <f t="shared" ref="G54:L54" si="32">G55</f>
        <v>2218.4</v>
      </c>
      <c r="H54" s="27">
        <f t="shared" si="32"/>
        <v>0</v>
      </c>
      <c r="I54" s="27">
        <f t="shared" si="32"/>
        <v>0</v>
      </c>
      <c r="J54" s="27">
        <f t="shared" si="32"/>
        <v>0</v>
      </c>
      <c r="K54" s="27">
        <f t="shared" si="32"/>
        <v>0</v>
      </c>
      <c r="L54" s="27">
        <f t="shared" si="32"/>
        <v>0</v>
      </c>
      <c r="M54" s="4" t="e">
        <f t="shared" si="3"/>
        <v>#DIV/0!</v>
      </c>
    </row>
    <row r="55" spans="1:13" ht="47.25" hidden="1">
      <c r="A55" s="26" t="s">
        <v>186</v>
      </c>
      <c r="B55" s="21" t="s">
        <v>171</v>
      </c>
      <c r="C55" s="21" t="s">
        <v>203</v>
      </c>
      <c r="D55" s="21" t="s">
        <v>207</v>
      </c>
      <c r="E55" s="21" t="s">
        <v>187</v>
      </c>
      <c r="F55" s="28">
        <f>'Прил.№4 ведомств.'!G54</f>
        <v>2257.8000000000002</v>
      </c>
      <c r="G55" s="28">
        <f>'Прил.№4 ведомств.'!I54</f>
        <v>2218.4</v>
      </c>
      <c r="H55" s="28">
        <f>'Прил.№4 ведомств.'!J54</f>
        <v>0</v>
      </c>
      <c r="I55" s="28">
        <f>'Прил.№4 ведомств.'!K54</f>
        <v>0</v>
      </c>
      <c r="J55" s="28">
        <f>'Прил.№4 ведомств.'!L54</f>
        <v>0</v>
      </c>
      <c r="K55" s="28">
        <f>'Прил.№4 ведомств.'!M54</f>
        <v>0</v>
      </c>
      <c r="L55" s="28">
        <f>'Прил.№4 ведомств.'!N54</f>
        <v>0</v>
      </c>
      <c r="M55" s="4" t="e">
        <f t="shared" si="3"/>
        <v>#DIV/0!</v>
      </c>
    </row>
    <row r="56" spans="1:13" ht="47.25">
      <c r="A56" s="43" t="s">
        <v>172</v>
      </c>
      <c r="B56" s="8" t="s">
        <v>171</v>
      </c>
      <c r="C56" s="8" t="s">
        <v>173</v>
      </c>
      <c r="D56" s="8"/>
      <c r="E56" s="8"/>
      <c r="F56" s="4">
        <f>F57</f>
        <v>16933.86</v>
      </c>
      <c r="G56" s="4">
        <f t="shared" ref="G56:L58" si="33">G57</f>
        <v>16560.599999999999</v>
      </c>
      <c r="H56" s="4">
        <f t="shared" si="33"/>
        <v>20031.599999999999</v>
      </c>
      <c r="I56" s="4">
        <f t="shared" si="33"/>
        <v>20031.599999999999</v>
      </c>
      <c r="J56" s="4">
        <f t="shared" si="33"/>
        <v>20031.599999999999</v>
      </c>
      <c r="K56" s="4">
        <f t="shared" si="33"/>
        <v>17015.400000000001</v>
      </c>
      <c r="L56" s="4">
        <f t="shared" si="33"/>
        <v>2851.8999999999996</v>
      </c>
      <c r="M56" s="4">
        <f t="shared" si="3"/>
        <v>16.760699131375105</v>
      </c>
    </row>
    <row r="57" spans="1:13" ht="15.75">
      <c r="A57" s="31" t="s">
        <v>174</v>
      </c>
      <c r="B57" s="42" t="s">
        <v>171</v>
      </c>
      <c r="C57" s="42" t="s">
        <v>173</v>
      </c>
      <c r="D57" s="42" t="s">
        <v>175</v>
      </c>
      <c r="E57" s="42"/>
      <c r="F57" s="7">
        <f>F58</f>
        <v>16933.86</v>
      </c>
      <c r="G57" s="7">
        <f t="shared" si="33"/>
        <v>16560.599999999999</v>
      </c>
      <c r="H57" s="7">
        <f t="shared" si="33"/>
        <v>20031.599999999999</v>
      </c>
      <c r="I57" s="7">
        <f t="shared" si="33"/>
        <v>20031.599999999999</v>
      </c>
      <c r="J57" s="7">
        <f t="shared" si="33"/>
        <v>20031.599999999999</v>
      </c>
      <c r="K57" s="7">
        <f t="shared" si="33"/>
        <v>17015.400000000001</v>
      </c>
      <c r="L57" s="7">
        <f t="shared" si="33"/>
        <v>2851.8999999999996</v>
      </c>
      <c r="M57" s="7">
        <f t="shared" si="3"/>
        <v>16.760699131375105</v>
      </c>
    </row>
    <row r="58" spans="1:13" ht="31.5">
      <c r="A58" s="31" t="s">
        <v>176</v>
      </c>
      <c r="B58" s="42" t="s">
        <v>171</v>
      </c>
      <c r="C58" s="42" t="s">
        <v>173</v>
      </c>
      <c r="D58" s="42" t="s">
        <v>177</v>
      </c>
      <c r="E58" s="42"/>
      <c r="F58" s="7">
        <f>F59</f>
        <v>16933.86</v>
      </c>
      <c r="G58" s="7">
        <f t="shared" si="33"/>
        <v>16560.599999999999</v>
      </c>
      <c r="H58" s="7">
        <f t="shared" si="33"/>
        <v>20031.599999999999</v>
      </c>
      <c r="I58" s="7">
        <f t="shared" si="33"/>
        <v>20031.599999999999</v>
      </c>
      <c r="J58" s="7">
        <f t="shared" si="33"/>
        <v>20031.599999999999</v>
      </c>
      <c r="K58" s="7">
        <f t="shared" si="33"/>
        <v>17015.400000000001</v>
      </c>
      <c r="L58" s="7">
        <f t="shared" si="33"/>
        <v>2851.8999999999996</v>
      </c>
      <c r="M58" s="7">
        <f t="shared" si="3"/>
        <v>16.760699131375105</v>
      </c>
    </row>
    <row r="59" spans="1:13" ht="47.25">
      <c r="A59" s="31" t="s">
        <v>178</v>
      </c>
      <c r="B59" s="42" t="s">
        <v>171</v>
      </c>
      <c r="C59" s="42" t="s">
        <v>173</v>
      </c>
      <c r="D59" s="42" t="s">
        <v>179</v>
      </c>
      <c r="E59" s="42"/>
      <c r="F59" s="7">
        <f>F60+F62+F64</f>
        <v>16933.86</v>
      </c>
      <c r="G59" s="7">
        <f t="shared" ref="G59:K59" si="34">G60+G62+G64</f>
        <v>16560.599999999999</v>
      </c>
      <c r="H59" s="7">
        <f t="shared" si="34"/>
        <v>20031.599999999999</v>
      </c>
      <c r="I59" s="7">
        <f t="shared" si="34"/>
        <v>20031.599999999999</v>
      </c>
      <c r="J59" s="7">
        <f t="shared" si="34"/>
        <v>20031.599999999999</v>
      </c>
      <c r="K59" s="7">
        <f t="shared" si="34"/>
        <v>17015.400000000001</v>
      </c>
      <c r="L59" s="7">
        <f t="shared" ref="L59" si="35">L60+L62+L64</f>
        <v>2851.8999999999996</v>
      </c>
      <c r="M59" s="7">
        <f t="shared" si="3"/>
        <v>16.760699131375105</v>
      </c>
    </row>
    <row r="60" spans="1:13" ht="78.75">
      <c r="A60" s="31" t="s">
        <v>180</v>
      </c>
      <c r="B60" s="42" t="s">
        <v>171</v>
      </c>
      <c r="C60" s="42" t="s">
        <v>173</v>
      </c>
      <c r="D60" s="42" t="s">
        <v>179</v>
      </c>
      <c r="E60" s="42" t="s">
        <v>181</v>
      </c>
      <c r="F60" s="7">
        <f>F61</f>
        <v>15585.2</v>
      </c>
      <c r="G60" s="7">
        <f t="shared" ref="G60:L60" si="36">G61</f>
        <v>15200.9</v>
      </c>
      <c r="H60" s="7">
        <f t="shared" si="36"/>
        <v>17912.3</v>
      </c>
      <c r="I60" s="7">
        <f t="shared" si="36"/>
        <v>17912.3</v>
      </c>
      <c r="J60" s="7">
        <f t="shared" si="36"/>
        <v>17912.3</v>
      </c>
      <c r="K60" s="7">
        <f t="shared" si="36"/>
        <v>15436.7</v>
      </c>
      <c r="L60" s="7">
        <f t="shared" si="36"/>
        <v>2735.2</v>
      </c>
      <c r="M60" s="7">
        <f t="shared" si="3"/>
        <v>17.718812958728222</v>
      </c>
    </row>
    <row r="61" spans="1:13" ht="31.5">
      <c r="A61" s="31" t="s">
        <v>182</v>
      </c>
      <c r="B61" s="42" t="s">
        <v>171</v>
      </c>
      <c r="C61" s="42" t="s">
        <v>173</v>
      </c>
      <c r="D61" s="42" t="s">
        <v>179</v>
      </c>
      <c r="E61" s="42" t="s">
        <v>183</v>
      </c>
      <c r="F61" s="63">
        <f>'Прил.№4 ведомств.'!G19+'Прил.№4 ведомств.'!G60+'Прил.№4 ведомств.'!G1073</f>
        <v>15585.2</v>
      </c>
      <c r="G61" s="63">
        <f>'Прил.№4 ведомств.'!I19+'Прил.№4 ведомств.'!I60+'Прил.№4 ведомств.'!I1073</f>
        <v>15200.9</v>
      </c>
      <c r="H61" s="63">
        <f>'Прил.№4 ведомств.'!J19+'Прил.№4 ведомств.'!J60+'Прил.№4 ведомств.'!J1073</f>
        <v>17912.3</v>
      </c>
      <c r="I61" s="63">
        <f>'Прил.№4 ведомств.'!K19+'Прил.№4 ведомств.'!K60+'Прил.№4 ведомств.'!K1073</f>
        <v>17912.3</v>
      </c>
      <c r="J61" s="63">
        <f>'Прил.№4 ведомств.'!L19+'Прил.№4 ведомств.'!L60+'Прил.№4 ведомств.'!L1073</f>
        <v>17912.3</v>
      </c>
      <c r="K61" s="63">
        <f>'Прил.№4 ведомств.'!M19+'Прил.№4 ведомств.'!M60+'Прил.№4 ведомств.'!M1073</f>
        <v>15436.7</v>
      </c>
      <c r="L61" s="63">
        <f>'Прил.№4 ведомств.'!N19+'Прил.№4 ведомств.'!N60+'Прил.№4 ведомств.'!N1073</f>
        <v>2735.2</v>
      </c>
      <c r="M61" s="7">
        <f t="shared" si="3"/>
        <v>17.718812958728222</v>
      </c>
    </row>
    <row r="62" spans="1:13" ht="31.5">
      <c r="A62" s="31" t="s">
        <v>184</v>
      </c>
      <c r="B62" s="42" t="s">
        <v>171</v>
      </c>
      <c r="C62" s="42" t="s">
        <v>173</v>
      </c>
      <c r="D62" s="42" t="s">
        <v>179</v>
      </c>
      <c r="E62" s="42" t="s">
        <v>185</v>
      </c>
      <c r="F62" s="7">
        <f>F63</f>
        <v>1320.6599999999999</v>
      </c>
      <c r="G62" s="7">
        <f t="shared" ref="G62:L62" si="37">G63</f>
        <v>1320.7</v>
      </c>
      <c r="H62" s="7">
        <f t="shared" si="37"/>
        <v>2091.3000000000002</v>
      </c>
      <c r="I62" s="7">
        <f t="shared" si="37"/>
        <v>2091.3000000000002</v>
      </c>
      <c r="J62" s="7">
        <f t="shared" si="37"/>
        <v>2091.3000000000002</v>
      </c>
      <c r="K62" s="7">
        <f t="shared" si="37"/>
        <v>1550.7</v>
      </c>
      <c r="L62" s="7">
        <f t="shared" si="37"/>
        <v>116.5</v>
      </c>
      <c r="M62" s="7">
        <f t="shared" si="3"/>
        <v>7.5127361836589923</v>
      </c>
    </row>
    <row r="63" spans="1:13" ht="47.25">
      <c r="A63" s="31" t="s">
        <v>186</v>
      </c>
      <c r="B63" s="42" t="s">
        <v>171</v>
      </c>
      <c r="C63" s="42" t="s">
        <v>173</v>
      </c>
      <c r="D63" s="42" t="s">
        <v>179</v>
      </c>
      <c r="E63" s="42" t="s">
        <v>187</v>
      </c>
      <c r="F63" s="7">
        <f>'Прил.№4 ведомств.'!G1075+'Прил.№4 ведомств.'!G21</f>
        <v>1320.6599999999999</v>
      </c>
      <c r="G63" s="7">
        <f>'Прил.№4 ведомств.'!I1075+'Прил.№4 ведомств.'!I21</f>
        <v>1320.7</v>
      </c>
      <c r="H63" s="7">
        <f>'Прил.№4 ведомств.'!J1075+'Прил.№4 ведомств.'!J21</f>
        <v>2091.3000000000002</v>
      </c>
      <c r="I63" s="7">
        <f>'Прил.№4 ведомств.'!K1075+'Прил.№4 ведомств.'!K21</f>
        <v>2091.3000000000002</v>
      </c>
      <c r="J63" s="7">
        <f>'Прил.№4 ведомств.'!L1075+'Прил.№4 ведомств.'!L21</f>
        <v>2091.3000000000002</v>
      </c>
      <c r="K63" s="7">
        <f>'Прил.№4 ведомств.'!M1075+'Прил.№4 ведомств.'!M21</f>
        <v>1550.7</v>
      </c>
      <c r="L63" s="7">
        <f>'Прил.№4 ведомств.'!N1075+'Прил.№4 ведомств.'!N21</f>
        <v>116.5</v>
      </c>
      <c r="M63" s="7">
        <f t="shared" si="3"/>
        <v>7.5127361836589923</v>
      </c>
    </row>
    <row r="64" spans="1:13" ht="15.75">
      <c r="A64" s="31" t="s">
        <v>188</v>
      </c>
      <c r="B64" s="42" t="s">
        <v>171</v>
      </c>
      <c r="C64" s="42" t="s">
        <v>173</v>
      </c>
      <c r="D64" s="42" t="s">
        <v>179</v>
      </c>
      <c r="E64" s="42" t="s">
        <v>198</v>
      </c>
      <c r="F64" s="7">
        <f>F65</f>
        <v>28</v>
      </c>
      <c r="G64" s="7">
        <f t="shared" ref="G64:L64" si="38">G65</f>
        <v>39</v>
      </c>
      <c r="H64" s="7">
        <f t="shared" si="38"/>
        <v>28</v>
      </c>
      <c r="I64" s="7">
        <f t="shared" si="38"/>
        <v>28</v>
      </c>
      <c r="J64" s="7">
        <f t="shared" si="38"/>
        <v>28</v>
      </c>
      <c r="K64" s="7">
        <f t="shared" si="38"/>
        <v>28</v>
      </c>
      <c r="L64" s="7">
        <f t="shared" si="38"/>
        <v>0.2</v>
      </c>
      <c r="M64" s="7">
        <f t="shared" si="3"/>
        <v>0.7142857142857143</v>
      </c>
    </row>
    <row r="65" spans="1:15" ht="15.75">
      <c r="A65" s="31" t="s">
        <v>622</v>
      </c>
      <c r="B65" s="42" t="s">
        <v>171</v>
      </c>
      <c r="C65" s="42" t="s">
        <v>173</v>
      </c>
      <c r="D65" s="42" t="s">
        <v>179</v>
      </c>
      <c r="E65" s="42" t="s">
        <v>191</v>
      </c>
      <c r="F65" s="7">
        <f>'Прил.№4 ведомств.'!G23</f>
        <v>28</v>
      </c>
      <c r="G65" s="7">
        <f>'Прил.№4 ведомств.'!I23</f>
        <v>39</v>
      </c>
      <c r="H65" s="7">
        <f>'Прил.№4 ведомств.'!J23</f>
        <v>28</v>
      </c>
      <c r="I65" s="7">
        <f>'Прил.№4 ведомств.'!K23</f>
        <v>28</v>
      </c>
      <c r="J65" s="7">
        <f>'Прил.№4 ведомств.'!L23</f>
        <v>28</v>
      </c>
      <c r="K65" s="7">
        <f>'Прил.№4 ведомств.'!M23</f>
        <v>28</v>
      </c>
      <c r="L65" s="7">
        <f>'Прил.№4 ведомств.'!N23</f>
        <v>0.2</v>
      </c>
      <c r="M65" s="7">
        <f t="shared" si="3"/>
        <v>0.7142857142857143</v>
      </c>
    </row>
    <row r="66" spans="1:15" ht="31.5" hidden="1" customHeight="1">
      <c r="A66" s="64" t="s">
        <v>649</v>
      </c>
      <c r="B66" s="9" t="s">
        <v>171</v>
      </c>
      <c r="C66" s="9" t="s">
        <v>317</v>
      </c>
      <c r="D66" s="9"/>
      <c r="E66" s="9"/>
      <c r="F66" s="7">
        <f t="shared" ref="F66:L70" si="39">F67</f>
        <v>0</v>
      </c>
      <c r="G66" s="7">
        <f t="shared" si="39"/>
        <v>0</v>
      </c>
      <c r="H66" s="7">
        <f t="shared" si="39"/>
        <v>0</v>
      </c>
      <c r="I66" s="7">
        <f t="shared" si="39"/>
        <v>0</v>
      </c>
      <c r="J66" s="7">
        <f t="shared" si="39"/>
        <v>0</v>
      </c>
      <c r="K66" s="7">
        <f t="shared" si="39"/>
        <v>0</v>
      </c>
      <c r="L66" s="7">
        <f t="shared" si="39"/>
        <v>0</v>
      </c>
      <c r="M66" s="4" t="e">
        <f t="shared" si="3"/>
        <v>#DIV/0!</v>
      </c>
    </row>
    <row r="67" spans="1:15" ht="15.75" hidden="1" customHeight="1">
      <c r="A67" s="47" t="s">
        <v>174</v>
      </c>
      <c r="B67" s="10" t="s">
        <v>171</v>
      </c>
      <c r="C67" s="10" t="s">
        <v>317</v>
      </c>
      <c r="D67" s="10" t="s">
        <v>650</v>
      </c>
      <c r="E67" s="10"/>
      <c r="F67" s="7">
        <f t="shared" si="39"/>
        <v>0</v>
      </c>
      <c r="G67" s="7">
        <f t="shared" si="39"/>
        <v>0</v>
      </c>
      <c r="H67" s="7">
        <f t="shared" si="39"/>
        <v>0</v>
      </c>
      <c r="I67" s="7">
        <f t="shared" si="39"/>
        <v>0</v>
      </c>
      <c r="J67" s="7">
        <f t="shared" si="39"/>
        <v>0</v>
      </c>
      <c r="K67" s="7">
        <f t="shared" si="39"/>
        <v>0</v>
      </c>
      <c r="L67" s="7">
        <f t="shared" si="39"/>
        <v>0</v>
      </c>
      <c r="M67" s="4" t="e">
        <f t="shared" si="3"/>
        <v>#DIV/0!</v>
      </c>
    </row>
    <row r="68" spans="1:15" ht="15.75" hidden="1" customHeight="1">
      <c r="A68" s="47" t="s">
        <v>194</v>
      </c>
      <c r="B68" s="10" t="s">
        <v>171</v>
      </c>
      <c r="C68" s="10" t="s">
        <v>317</v>
      </c>
      <c r="D68" s="10" t="s">
        <v>651</v>
      </c>
      <c r="E68" s="10"/>
      <c r="F68" s="7">
        <f t="shared" si="39"/>
        <v>0</v>
      </c>
      <c r="G68" s="7">
        <f t="shared" si="39"/>
        <v>0</v>
      </c>
      <c r="H68" s="7">
        <f t="shared" si="39"/>
        <v>0</v>
      </c>
      <c r="I68" s="7">
        <f t="shared" si="39"/>
        <v>0</v>
      </c>
      <c r="J68" s="7">
        <f t="shared" si="39"/>
        <v>0</v>
      </c>
      <c r="K68" s="7">
        <f t="shared" si="39"/>
        <v>0</v>
      </c>
      <c r="L68" s="7">
        <f t="shared" si="39"/>
        <v>0</v>
      </c>
      <c r="M68" s="4" t="e">
        <f t="shared" si="3"/>
        <v>#DIV/0!</v>
      </c>
    </row>
    <row r="69" spans="1:15" ht="15.75" hidden="1" customHeight="1">
      <c r="A69" s="65" t="s">
        <v>652</v>
      </c>
      <c r="B69" s="10" t="s">
        <v>171</v>
      </c>
      <c r="C69" s="10" t="s">
        <v>317</v>
      </c>
      <c r="D69" s="6" t="s">
        <v>653</v>
      </c>
      <c r="E69" s="6"/>
      <c r="F69" s="7">
        <f>F70+F72</f>
        <v>0</v>
      </c>
      <c r="G69" s="7">
        <f t="shared" ref="G69:K69" si="40">G70+G72</f>
        <v>0</v>
      </c>
      <c r="H69" s="7">
        <f t="shared" si="40"/>
        <v>0</v>
      </c>
      <c r="I69" s="7">
        <f t="shared" si="40"/>
        <v>0</v>
      </c>
      <c r="J69" s="7">
        <f t="shared" si="40"/>
        <v>0</v>
      </c>
      <c r="K69" s="7">
        <f t="shared" si="40"/>
        <v>0</v>
      </c>
      <c r="L69" s="7">
        <f t="shared" ref="L69" si="41">L70+L72</f>
        <v>0</v>
      </c>
      <c r="M69" s="4" t="e">
        <f t="shared" si="3"/>
        <v>#DIV/0!</v>
      </c>
    </row>
    <row r="70" spans="1:15" ht="31.5" hidden="1" customHeight="1">
      <c r="A70" s="47" t="s">
        <v>184</v>
      </c>
      <c r="B70" s="10" t="s">
        <v>171</v>
      </c>
      <c r="C70" s="10" t="s">
        <v>317</v>
      </c>
      <c r="D70" s="6" t="s">
        <v>653</v>
      </c>
      <c r="E70" s="10" t="s">
        <v>185</v>
      </c>
      <c r="F70" s="7">
        <f t="shared" si="39"/>
        <v>0</v>
      </c>
      <c r="G70" s="7">
        <f t="shared" si="39"/>
        <v>0</v>
      </c>
      <c r="H70" s="7">
        <f t="shared" si="39"/>
        <v>0</v>
      </c>
      <c r="I70" s="7">
        <f t="shared" si="39"/>
        <v>0</v>
      </c>
      <c r="J70" s="7">
        <f t="shared" si="39"/>
        <v>0</v>
      </c>
      <c r="K70" s="7">
        <f t="shared" si="39"/>
        <v>0</v>
      </c>
      <c r="L70" s="7">
        <f t="shared" si="39"/>
        <v>0</v>
      </c>
      <c r="M70" s="4" t="e">
        <f t="shared" si="3"/>
        <v>#DIV/0!</v>
      </c>
    </row>
    <row r="71" spans="1:15" ht="47.25" hidden="1" customHeight="1">
      <c r="A71" s="47" t="s">
        <v>186</v>
      </c>
      <c r="B71" s="10" t="s">
        <v>171</v>
      </c>
      <c r="C71" s="10" t="s">
        <v>317</v>
      </c>
      <c r="D71" s="6" t="s">
        <v>653</v>
      </c>
      <c r="E71" s="10" t="s">
        <v>187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4" t="e">
        <f t="shared" si="3"/>
        <v>#DIV/0!</v>
      </c>
    </row>
    <row r="72" spans="1:15" ht="15.75" hidden="1" customHeight="1">
      <c r="A72" s="31" t="s">
        <v>188</v>
      </c>
      <c r="B72" s="10" t="s">
        <v>171</v>
      </c>
      <c r="C72" s="10" t="s">
        <v>317</v>
      </c>
      <c r="D72" s="6" t="s">
        <v>653</v>
      </c>
      <c r="E72" s="10" t="s">
        <v>198</v>
      </c>
      <c r="F72" s="7">
        <f>F73</f>
        <v>0</v>
      </c>
      <c r="G72" s="7">
        <f t="shared" ref="G72:L72" si="42">G73</f>
        <v>0</v>
      </c>
      <c r="H72" s="7">
        <f t="shared" si="42"/>
        <v>0</v>
      </c>
      <c r="I72" s="7">
        <f t="shared" si="42"/>
        <v>0</v>
      </c>
      <c r="J72" s="7">
        <f t="shared" si="42"/>
        <v>0</v>
      </c>
      <c r="K72" s="7">
        <f t="shared" si="42"/>
        <v>0</v>
      </c>
      <c r="L72" s="7">
        <f t="shared" si="42"/>
        <v>0</v>
      </c>
      <c r="M72" s="4" t="e">
        <f t="shared" si="3"/>
        <v>#DIV/0!</v>
      </c>
    </row>
    <row r="73" spans="1:15" ht="15.75" hidden="1" customHeight="1">
      <c r="A73" s="31" t="s">
        <v>190</v>
      </c>
      <c r="B73" s="10" t="s">
        <v>171</v>
      </c>
      <c r="C73" s="10" t="s">
        <v>317</v>
      </c>
      <c r="D73" s="6" t="s">
        <v>653</v>
      </c>
      <c r="E73" s="10" t="s">
        <v>191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4" t="e">
        <f t="shared" si="3"/>
        <v>#DIV/0!</v>
      </c>
    </row>
    <row r="74" spans="1:15" ht="15.75">
      <c r="A74" s="43" t="s">
        <v>192</v>
      </c>
      <c r="B74" s="8" t="s">
        <v>171</v>
      </c>
      <c r="C74" s="8" t="s">
        <v>193</v>
      </c>
      <c r="D74" s="8"/>
      <c r="E74" s="8"/>
      <c r="F74" s="4">
        <f>F75+F79+F94+F107+F144+F127+F111</f>
        <v>33976.74</v>
      </c>
      <c r="G74" s="4">
        <f>G75+G79+G94+G107+G144+G127+G111</f>
        <v>27585.86</v>
      </c>
      <c r="H74" s="4">
        <f>H75+H79+H94+H107+H144+H127+H111</f>
        <v>51736.7</v>
      </c>
      <c r="I74" s="4">
        <f>I75+I79+I94+I107+I144+I127+I111</f>
        <v>52334.9</v>
      </c>
      <c r="J74" s="4">
        <f>J75+J79+J94+J107+J144+J127+J111</f>
        <v>52834.400000000001</v>
      </c>
      <c r="K74" s="4">
        <f>K75+K79+K94+K107+K144+K127+K111+K140</f>
        <v>50079.199999999997</v>
      </c>
      <c r="L74" s="4">
        <f t="shared" ref="L74" si="43">L75+L79+L94+L107+L144+L127+L111+L140</f>
        <v>11404.599999999999</v>
      </c>
      <c r="M74" s="4">
        <f t="shared" si="3"/>
        <v>22.773127366251856</v>
      </c>
      <c r="N74">
        <v>3593.5</v>
      </c>
      <c r="O74" s="23">
        <f>K74-N74</f>
        <v>46485.7</v>
      </c>
    </row>
    <row r="75" spans="1:15" ht="47.25" hidden="1">
      <c r="A75" s="31" t="s">
        <v>208</v>
      </c>
      <c r="B75" s="42" t="s">
        <v>171</v>
      </c>
      <c r="C75" s="42" t="s">
        <v>193</v>
      </c>
      <c r="D75" s="42" t="s">
        <v>209</v>
      </c>
      <c r="E75" s="42"/>
      <c r="F75" s="7">
        <f>F77</f>
        <v>250</v>
      </c>
      <c r="G75" s="7">
        <f t="shared" ref="G75:K75" si="44">G77</f>
        <v>250</v>
      </c>
      <c r="H75" s="7">
        <f t="shared" si="44"/>
        <v>0</v>
      </c>
      <c r="I75" s="7">
        <f t="shared" si="44"/>
        <v>0</v>
      </c>
      <c r="J75" s="7">
        <f t="shared" si="44"/>
        <v>0</v>
      </c>
      <c r="K75" s="7">
        <f t="shared" si="44"/>
        <v>0</v>
      </c>
      <c r="L75" s="7">
        <f t="shared" ref="L75" si="45">L77</f>
        <v>0</v>
      </c>
      <c r="M75" s="4" t="e">
        <f t="shared" si="3"/>
        <v>#DIV/0!</v>
      </c>
    </row>
    <row r="76" spans="1:15" ht="31.5" hidden="1">
      <c r="A76" s="31" t="s">
        <v>210</v>
      </c>
      <c r="B76" s="42" t="s">
        <v>171</v>
      </c>
      <c r="C76" s="42" t="s">
        <v>193</v>
      </c>
      <c r="D76" s="42" t="s">
        <v>211</v>
      </c>
      <c r="E76" s="42"/>
      <c r="F76" s="7">
        <f>F77</f>
        <v>250</v>
      </c>
      <c r="G76" s="7">
        <f t="shared" ref="G76:L77" si="46">G77</f>
        <v>250</v>
      </c>
      <c r="H76" s="7">
        <f t="shared" si="46"/>
        <v>0</v>
      </c>
      <c r="I76" s="7">
        <f t="shared" si="46"/>
        <v>0</v>
      </c>
      <c r="J76" s="7">
        <f t="shared" si="46"/>
        <v>0</v>
      </c>
      <c r="K76" s="7">
        <f t="shared" si="46"/>
        <v>0</v>
      </c>
      <c r="L76" s="7">
        <f t="shared" si="46"/>
        <v>0</v>
      </c>
      <c r="M76" s="4" t="e">
        <f t="shared" si="3"/>
        <v>#DIV/0!</v>
      </c>
    </row>
    <row r="77" spans="1:15" ht="15.75" hidden="1">
      <c r="A77" s="31" t="s">
        <v>188</v>
      </c>
      <c r="B77" s="42" t="s">
        <v>171</v>
      </c>
      <c r="C77" s="42" t="s">
        <v>193</v>
      </c>
      <c r="D77" s="42" t="s">
        <v>211</v>
      </c>
      <c r="E77" s="42" t="s">
        <v>198</v>
      </c>
      <c r="F77" s="7">
        <f>F78</f>
        <v>250</v>
      </c>
      <c r="G77" s="7">
        <f t="shared" si="46"/>
        <v>250</v>
      </c>
      <c r="H77" s="7">
        <f t="shared" si="46"/>
        <v>0</v>
      </c>
      <c r="I77" s="7">
        <f t="shared" si="46"/>
        <v>0</v>
      </c>
      <c r="J77" s="7">
        <f t="shared" si="46"/>
        <v>0</v>
      </c>
      <c r="K77" s="7">
        <f t="shared" si="46"/>
        <v>0</v>
      </c>
      <c r="L77" s="7">
        <f t="shared" si="46"/>
        <v>0</v>
      </c>
      <c r="M77" s="4" t="e">
        <f t="shared" ref="M77:M140" si="47">L77/K77*100</f>
        <v>#DIV/0!</v>
      </c>
    </row>
    <row r="78" spans="1:15" ht="47.25" hidden="1">
      <c r="A78" s="31" t="s">
        <v>237</v>
      </c>
      <c r="B78" s="42" t="s">
        <v>171</v>
      </c>
      <c r="C78" s="42" t="s">
        <v>193</v>
      </c>
      <c r="D78" s="42" t="s">
        <v>211</v>
      </c>
      <c r="E78" s="42" t="s">
        <v>213</v>
      </c>
      <c r="F78" s="7">
        <f>'Прил.№4 ведомств.'!G67</f>
        <v>250</v>
      </c>
      <c r="G78" s="7">
        <f>'Прил.№4 ведомств.'!I67</f>
        <v>250</v>
      </c>
      <c r="H78" s="7">
        <f>'Прил.№4 ведомств.'!J67</f>
        <v>0</v>
      </c>
      <c r="I78" s="7">
        <f>'Прил.№4 ведомств.'!K67</f>
        <v>0</v>
      </c>
      <c r="J78" s="7">
        <f>'Прил.№4 ведомств.'!L67</f>
        <v>0</v>
      </c>
      <c r="K78" s="7">
        <f>'Прил.№4 ведомств.'!M67</f>
        <v>0</v>
      </c>
      <c r="L78" s="7">
        <f>'Прил.№4 ведомств.'!N67</f>
        <v>0</v>
      </c>
      <c r="M78" s="4" t="e">
        <f t="shared" si="47"/>
        <v>#DIV/0!</v>
      </c>
    </row>
    <row r="79" spans="1:15" ht="47.25">
      <c r="A79" s="31" t="s">
        <v>214</v>
      </c>
      <c r="B79" s="42" t="s">
        <v>171</v>
      </c>
      <c r="C79" s="42" t="s">
        <v>193</v>
      </c>
      <c r="D79" s="42" t="s">
        <v>215</v>
      </c>
      <c r="E79" s="42"/>
      <c r="F79" s="7">
        <f>F80+F83+F88+F91</f>
        <v>654</v>
      </c>
      <c r="G79" s="7">
        <f t="shared" ref="G79:K79" si="48">G80+G83+G88+G91</f>
        <v>654</v>
      </c>
      <c r="H79" s="7">
        <f t="shared" si="48"/>
        <v>669</v>
      </c>
      <c r="I79" s="7">
        <f t="shared" si="48"/>
        <v>669</v>
      </c>
      <c r="J79" s="7">
        <f t="shared" si="48"/>
        <v>669</v>
      </c>
      <c r="K79" s="7">
        <f t="shared" si="48"/>
        <v>741</v>
      </c>
      <c r="L79" s="7">
        <f t="shared" ref="L79" si="49">L80+L83+L88+L91</f>
        <v>102.80000000000001</v>
      </c>
      <c r="M79" s="7">
        <f t="shared" si="47"/>
        <v>13.873144399460191</v>
      </c>
      <c r="O79">
        <v>30255.1</v>
      </c>
    </row>
    <row r="80" spans="1:15" ht="31.5">
      <c r="A80" s="31" t="s">
        <v>216</v>
      </c>
      <c r="B80" s="42" t="s">
        <v>171</v>
      </c>
      <c r="C80" s="42" t="s">
        <v>193</v>
      </c>
      <c r="D80" s="42" t="s">
        <v>217</v>
      </c>
      <c r="E80" s="42"/>
      <c r="F80" s="7">
        <f>F81</f>
        <v>428.1</v>
      </c>
      <c r="G80" s="7">
        <f t="shared" ref="G80:L81" si="50">G81</f>
        <v>428.1</v>
      </c>
      <c r="H80" s="7">
        <f t="shared" si="50"/>
        <v>428.1</v>
      </c>
      <c r="I80" s="7">
        <f t="shared" si="50"/>
        <v>428.1</v>
      </c>
      <c r="J80" s="7">
        <f t="shared" si="50"/>
        <v>428.1</v>
      </c>
      <c r="K80" s="7">
        <f t="shared" si="50"/>
        <v>491</v>
      </c>
      <c r="L80" s="7">
        <f t="shared" si="50"/>
        <v>80.2</v>
      </c>
      <c r="M80" s="7">
        <f t="shared" si="47"/>
        <v>16.334012219959266</v>
      </c>
      <c r="O80" s="23">
        <f>O74-O79</f>
        <v>16230.599999999999</v>
      </c>
    </row>
    <row r="81" spans="1:15" ht="31.5">
      <c r="A81" s="31" t="s">
        <v>184</v>
      </c>
      <c r="B81" s="42" t="s">
        <v>171</v>
      </c>
      <c r="C81" s="42" t="s">
        <v>193</v>
      </c>
      <c r="D81" s="42" t="s">
        <v>217</v>
      </c>
      <c r="E81" s="42" t="s">
        <v>185</v>
      </c>
      <c r="F81" s="7">
        <f>F82</f>
        <v>428.1</v>
      </c>
      <c r="G81" s="7">
        <f t="shared" si="50"/>
        <v>428.1</v>
      </c>
      <c r="H81" s="7">
        <f t="shared" si="50"/>
        <v>428.1</v>
      </c>
      <c r="I81" s="7">
        <f t="shared" si="50"/>
        <v>428.1</v>
      </c>
      <c r="J81" s="7">
        <f t="shared" si="50"/>
        <v>428.1</v>
      </c>
      <c r="K81" s="7">
        <f t="shared" si="50"/>
        <v>491</v>
      </c>
      <c r="L81" s="7">
        <f t="shared" si="50"/>
        <v>80.2</v>
      </c>
      <c r="M81" s="7">
        <f t="shared" si="47"/>
        <v>16.334012219959266</v>
      </c>
      <c r="O81">
        <f>3624.1-29</f>
        <v>3595.1</v>
      </c>
    </row>
    <row r="82" spans="1:15" ht="47.25">
      <c r="A82" s="31" t="s">
        <v>186</v>
      </c>
      <c r="B82" s="42" t="s">
        <v>171</v>
      </c>
      <c r="C82" s="42" t="s">
        <v>193</v>
      </c>
      <c r="D82" s="42" t="s">
        <v>217</v>
      </c>
      <c r="E82" s="42" t="s">
        <v>187</v>
      </c>
      <c r="F82" s="7">
        <f>'Прил.№4 ведомств.'!G71</f>
        <v>428.1</v>
      </c>
      <c r="G82" s="7">
        <f>'Прил.№4 ведомств.'!I71</f>
        <v>428.1</v>
      </c>
      <c r="H82" s="7">
        <f>'Прил.№4 ведомств.'!J71</f>
        <v>428.1</v>
      </c>
      <c r="I82" s="7">
        <f>'Прил.№4 ведомств.'!K71</f>
        <v>428.1</v>
      </c>
      <c r="J82" s="7">
        <f>'Прил.№4 ведомств.'!L71</f>
        <v>428.1</v>
      </c>
      <c r="K82" s="7">
        <f>'Прил.№4 ведомств.'!M71</f>
        <v>491</v>
      </c>
      <c r="L82" s="7">
        <f>'Прил.№4 ведомств.'!N71</f>
        <v>80.2</v>
      </c>
      <c r="M82" s="7">
        <f t="shared" si="47"/>
        <v>16.334012219959266</v>
      </c>
      <c r="O82">
        <f>3624.1+175</f>
        <v>3799.1</v>
      </c>
    </row>
    <row r="83" spans="1:15" ht="63">
      <c r="A83" s="121" t="s">
        <v>218</v>
      </c>
      <c r="B83" s="42" t="s">
        <v>171</v>
      </c>
      <c r="C83" s="42" t="s">
        <v>193</v>
      </c>
      <c r="D83" s="42" t="s">
        <v>219</v>
      </c>
      <c r="E83" s="42"/>
      <c r="F83" s="7">
        <f>F84+F86</f>
        <v>224.89999999999998</v>
      </c>
      <c r="G83" s="7">
        <f t="shared" ref="G83:K83" si="51">G84+G86</f>
        <v>224.89999999999998</v>
      </c>
      <c r="H83" s="7">
        <f t="shared" si="51"/>
        <v>239.89999999999998</v>
      </c>
      <c r="I83" s="7">
        <f t="shared" si="51"/>
        <v>239.89999999999998</v>
      </c>
      <c r="J83" s="7">
        <f t="shared" si="51"/>
        <v>239.89999999999998</v>
      </c>
      <c r="K83" s="7">
        <f t="shared" si="51"/>
        <v>249.5</v>
      </c>
      <c r="L83" s="7">
        <f t="shared" ref="L83" si="52">L84+L86</f>
        <v>22.6</v>
      </c>
      <c r="M83" s="7">
        <f t="shared" si="47"/>
        <v>9.0581162324649291</v>
      </c>
    </row>
    <row r="84" spans="1:15" ht="78.75">
      <c r="A84" s="31" t="s">
        <v>180</v>
      </c>
      <c r="B84" s="42" t="s">
        <v>171</v>
      </c>
      <c r="C84" s="42" t="s">
        <v>193</v>
      </c>
      <c r="D84" s="42" t="s">
        <v>219</v>
      </c>
      <c r="E84" s="42" t="s">
        <v>181</v>
      </c>
      <c r="F84" s="7">
        <f>F85</f>
        <v>159.69999999999999</v>
      </c>
      <c r="G84" s="7">
        <f t="shared" ref="G84:L84" si="53">G85</f>
        <v>159.69999999999999</v>
      </c>
      <c r="H84" s="7">
        <f t="shared" si="53"/>
        <v>159.69999999999999</v>
      </c>
      <c r="I84" s="7">
        <f t="shared" si="53"/>
        <v>159.69999999999999</v>
      </c>
      <c r="J84" s="7">
        <f t="shared" si="53"/>
        <v>159.69999999999999</v>
      </c>
      <c r="K84" s="7">
        <f t="shared" si="53"/>
        <v>159.69999999999999</v>
      </c>
      <c r="L84" s="7">
        <f t="shared" si="53"/>
        <v>22.6</v>
      </c>
      <c r="M84" s="7">
        <f t="shared" si="47"/>
        <v>14.151534126487164</v>
      </c>
    </row>
    <row r="85" spans="1:15" ht="31.5">
      <c r="A85" s="31" t="s">
        <v>182</v>
      </c>
      <c r="B85" s="42" t="s">
        <v>171</v>
      </c>
      <c r="C85" s="42" t="s">
        <v>193</v>
      </c>
      <c r="D85" s="42" t="s">
        <v>219</v>
      </c>
      <c r="E85" s="42" t="s">
        <v>183</v>
      </c>
      <c r="F85" s="7">
        <f>'Прил.№4 ведомств.'!G74</f>
        <v>159.69999999999999</v>
      </c>
      <c r="G85" s="7">
        <f>'Прил.№4 ведомств.'!I74</f>
        <v>159.69999999999999</v>
      </c>
      <c r="H85" s="7">
        <f>'Прил.№4 ведомств.'!J74</f>
        <v>159.69999999999999</v>
      </c>
      <c r="I85" s="7">
        <f>'Прил.№4 ведомств.'!K74</f>
        <v>159.69999999999999</v>
      </c>
      <c r="J85" s="7">
        <f>'Прил.№4 ведомств.'!L74</f>
        <v>159.69999999999999</v>
      </c>
      <c r="K85" s="7">
        <f>'Прил.№4 ведомств.'!M74</f>
        <v>159.69999999999999</v>
      </c>
      <c r="L85" s="7">
        <f>'Прил.№4 ведомств.'!N74</f>
        <v>22.6</v>
      </c>
      <c r="M85" s="7">
        <f t="shared" si="47"/>
        <v>14.151534126487164</v>
      </c>
    </row>
    <row r="86" spans="1:15" ht="31.5">
      <c r="A86" s="26" t="s">
        <v>184</v>
      </c>
      <c r="B86" s="42" t="s">
        <v>171</v>
      </c>
      <c r="C86" s="42" t="s">
        <v>193</v>
      </c>
      <c r="D86" s="42" t="s">
        <v>219</v>
      </c>
      <c r="E86" s="42" t="s">
        <v>185</v>
      </c>
      <c r="F86" s="7">
        <f>F87</f>
        <v>65.2</v>
      </c>
      <c r="G86" s="7">
        <f t="shared" ref="G86:L86" si="54">G87</f>
        <v>65.2</v>
      </c>
      <c r="H86" s="7">
        <f t="shared" si="54"/>
        <v>80.199999999999989</v>
      </c>
      <c r="I86" s="7">
        <f t="shared" si="54"/>
        <v>80.199999999999989</v>
      </c>
      <c r="J86" s="7">
        <f t="shared" si="54"/>
        <v>80.199999999999989</v>
      </c>
      <c r="K86" s="7">
        <f t="shared" si="54"/>
        <v>89.800000000000011</v>
      </c>
      <c r="L86" s="7">
        <f t="shared" si="54"/>
        <v>0</v>
      </c>
      <c r="M86" s="7">
        <f t="shared" si="47"/>
        <v>0</v>
      </c>
    </row>
    <row r="87" spans="1:15" ht="47.25">
      <c r="A87" s="26" t="s">
        <v>186</v>
      </c>
      <c r="B87" s="42" t="s">
        <v>171</v>
      </c>
      <c r="C87" s="42" t="s">
        <v>193</v>
      </c>
      <c r="D87" s="42" t="s">
        <v>219</v>
      </c>
      <c r="E87" s="42" t="s">
        <v>187</v>
      </c>
      <c r="F87" s="7">
        <f>'Прил.№4 ведомств.'!G76</f>
        <v>65.2</v>
      </c>
      <c r="G87" s="7">
        <f>'Прил.№4 ведомств.'!I76</f>
        <v>65.2</v>
      </c>
      <c r="H87" s="7">
        <f>'Прил.№4 ведомств.'!J76</f>
        <v>80.199999999999989</v>
      </c>
      <c r="I87" s="7">
        <f>'Прил.№4 ведомств.'!K76</f>
        <v>80.199999999999989</v>
      </c>
      <c r="J87" s="7">
        <f>'Прил.№4 ведомств.'!L76</f>
        <v>80.199999999999989</v>
      </c>
      <c r="K87" s="7">
        <f>'Прил.№4 ведомств.'!M76</f>
        <v>89.800000000000011</v>
      </c>
      <c r="L87" s="7">
        <f>'Прил.№4 ведомств.'!N76</f>
        <v>0</v>
      </c>
      <c r="M87" s="7">
        <f t="shared" si="47"/>
        <v>0</v>
      </c>
    </row>
    <row r="88" spans="1:15" ht="63">
      <c r="A88" s="33" t="s">
        <v>779</v>
      </c>
      <c r="B88" s="42" t="s">
        <v>171</v>
      </c>
      <c r="C88" s="42" t="s">
        <v>193</v>
      </c>
      <c r="D88" s="42" t="s">
        <v>780</v>
      </c>
      <c r="E88" s="42"/>
      <c r="F88" s="7">
        <f>F89</f>
        <v>0.5</v>
      </c>
      <c r="G88" s="7">
        <f t="shared" ref="G88:L89" si="55">G89</f>
        <v>0.5</v>
      </c>
      <c r="H88" s="7">
        <f t="shared" si="55"/>
        <v>0.5</v>
      </c>
      <c r="I88" s="7">
        <f t="shared" si="55"/>
        <v>0.5</v>
      </c>
      <c r="J88" s="7">
        <f t="shared" si="55"/>
        <v>0.5</v>
      </c>
      <c r="K88" s="7">
        <f t="shared" si="55"/>
        <v>0.5</v>
      </c>
      <c r="L88" s="7">
        <f t="shared" si="55"/>
        <v>0</v>
      </c>
      <c r="M88" s="7">
        <f t="shared" si="47"/>
        <v>0</v>
      </c>
    </row>
    <row r="89" spans="1:15" ht="31.5">
      <c r="A89" s="26" t="s">
        <v>184</v>
      </c>
      <c r="B89" s="42" t="s">
        <v>171</v>
      </c>
      <c r="C89" s="42" t="s">
        <v>193</v>
      </c>
      <c r="D89" s="42" t="s">
        <v>780</v>
      </c>
      <c r="E89" s="42" t="s">
        <v>185</v>
      </c>
      <c r="F89" s="7">
        <f>F90</f>
        <v>0.5</v>
      </c>
      <c r="G89" s="7">
        <f t="shared" si="55"/>
        <v>0.5</v>
      </c>
      <c r="H89" s="7">
        <f t="shared" si="55"/>
        <v>0.5</v>
      </c>
      <c r="I89" s="7">
        <f t="shared" si="55"/>
        <v>0.5</v>
      </c>
      <c r="J89" s="7">
        <f t="shared" si="55"/>
        <v>0.5</v>
      </c>
      <c r="K89" s="7">
        <f t="shared" si="55"/>
        <v>0.5</v>
      </c>
      <c r="L89" s="7">
        <f t="shared" si="55"/>
        <v>0</v>
      </c>
      <c r="M89" s="7">
        <f t="shared" si="47"/>
        <v>0</v>
      </c>
    </row>
    <row r="90" spans="1:15" ht="47.25">
      <c r="A90" s="26" t="s">
        <v>186</v>
      </c>
      <c r="B90" s="42" t="s">
        <v>171</v>
      </c>
      <c r="C90" s="42" t="s">
        <v>193</v>
      </c>
      <c r="D90" s="42" t="s">
        <v>780</v>
      </c>
      <c r="E90" s="42" t="s">
        <v>187</v>
      </c>
      <c r="F90" s="7">
        <f>'Прил.№4 ведомств.'!G1080</f>
        <v>0.5</v>
      </c>
      <c r="G90" s="7">
        <f>'Прил.№4 ведомств.'!I1080</f>
        <v>0.5</v>
      </c>
      <c r="H90" s="7">
        <f>'Прил.№4 ведомств.'!J1080</f>
        <v>0.5</v>
      </c>
      <c r="I90" s="7">
        <f>'Прил.№4 ведомств.'!K1080</f>
        <v>0.5</v>
      </c>
      <c r="J90" s="7">
        <f>'Прил.№4 ведомств.'!L1080</f>
        <v>0.5</v>
      </c>
      <c r="K90" s="7">
        <f>'Прил.№4 ведомств.'!M1080</f>
        <v>0.5</v>
      </c>
      <c r="L90" s="7">
        <f>'Прил.№4 ведомств.'!N1080</f>
        <v>0</v>
      </c>
      <c r="M90" s="7">
        <f t="shared" si="47"/>
        <v>0</v>
      </c>
    </row>
    <row r="91" spans="1:15" ht="47.25" hidden="1">
      <c r="A91" s="35" t="s">
        <v>244</v>
      </c>
      <c r="B91" s="42" t="s">
        <v>171</v>
      </c>
      <c r="C91" s="42" t="s">
        <v>193</v>
      </c>
      <c r="D91" s="42" t="s">
        <v>766</v>
      </c>
      <c r="E91" s="42"/>
      <c r="F91" s="7">
        <f>F92</f>
        <v>0.5</v>
      </c>
      <c r="G91" s="7">
        <f t="shared" ref="G91:L92" si="56">G92</f>
        <v>0.5</v>
      </c>
      <c r="H91" s="7">
        <f t="shared" si="56"/>
        <v>0.5</v>
      </c>
      <c r="I91" s="7">
        <f t="shared" si="56"/>
        <v>0.5</v>
      </c>
      <c r="J91" s="7">
        <f t="shared" si="56"/>
        <v>0.5</v>
      </c>
      <c r="K91" s="7">
        <f t="shared" si="56"/>
        <v>0</v>
      </c>
      <c r="L91" s="7">
        <f t="shared" si="56"/>
        <v>0</v>
      </c>
      <c r="M91" s="7" t="e">
        <f t="shared" si="47"/>
        <v>#DIV/0!</v>
      </c>
    </row>
    <row r="92" spans="1:15" ht="31.5" hidden="1">
      <c r="A92" s="26" t="s">
        <v>184</v>
      </c>
      <c r="B92" s="42" t="s">
        <v>171</v>
      </c>
      <c r="C92" s="42" t="s">
        <v>193</v>
      </c>
      <c r="D92" s="42" t="s">
        <v>766</v>
      </c>
      <c r="E92" s="42" t="s">
        <v>185</v>
      </c>
      <c r="F92" s="7">
        <f>F93</f>
        <v>0.5</v>
      </c>
      <c r="G92" s="7">
        <f t="shared" si="56"/>
        <v>0.5</v>
      </c>
      <c r="H92" s="7">
        <f t="shared" si="56"/>
        <v>0.5</v>
      </c>
      <c r="I92" s="7">
        <f t="shared" si="56"/>
        <v>0.5</v>
      </c>
      <c r="J92" s="7">
        <f t="shared" si="56"/>
        <v>0.5</v>
      </c>
      <c r="K92" s="7">
        <f t="shared" si="56"/>
        <v>0</v>
      </c>
      <c r="L92" s="7">
        <f t="shared" si="56"/>
        <v>0</v>
      </c>
      <c r="M92" s="7" t="e">
        <f t="shared" si="47"/>
        <v>#DIV/0!</v>
      </c>
    </row>
    <row r="93" spans="1:15" ht="47.25" hidden="1">
      <c r="A93" s="26" t="s">
        <v>186</v>
      </c>
      <c r="B93" s="42" t="s">
        <v>171</v>
      </c>
      <c r="C93" s="42" t="s">
        <v>193</v>
      </c>
      <c r="D93" s="42" t="s">
        <v>766</v>
      </c>
      <c r="E93" s="42" t="s">
        <v>187</v>
      </c>
      <c r="F93" s="7">
        <f>'Прил.№4 ведомств.'!G79</f>
        <v>0.5</v>
      </c>
      <c r="G93" s="7">
        <f>'Прил.№4 ведомств.'!I79</f>
        <v>0.5</v>
      </c>
      <c r="H93" s="7">
        <f>'Прил.№4 ведомств.'!J79</f>
        <v>0.5</v>
      </c>
      <c r="I93" s="7">
        <f>'Прил.№4 ведомств.'!K79</f>
        <v>0.5</v>
      </c>
      <c r="J93" s="7">
        <f>'Прил.№4 ведомств.'!L79</f>
        <v>0.5</v>
      </c>
      <c r="K93" s="7">
        <f>'Прил.№4 ведомств.'!M79</f>
        <v>0</v>
      </c>
      <c r="L93" s="7">
        <f>'Прил.№4 ведомств.'!N79</f>
        <v>0</v>
      </c>
      <c r="M93" s="7" t="e">
        <f t="shared" si="47"/>
        <v>#DIV/0!</v>
      </c>
    </row>
    <row r="94" spans="1:15" ht="93.75" customHeight="1">
      <c r="A94" s="31" t="s">
        <v>654</v>
      </c>
      <c r="B94" s="10" t="s">
        <v>171</v>
      </c>
      <c r="C94" s="10" t="s">
        <v>193</v>
      </c>
      <c r="D94" s="6" t="s">
        <v>221</v>
      </c>
      <c r="E94" s="10"/>
      <c r="F94" s="11">
        <f>F99+F95+F103</f>
        <v>80</v>
      </c>
      <c r="G94" s="11">
        <f t="shared" ref="G94:K94" si="57">G99+G95+G103</f>
        <v>80</v>
      </c>
      <c r="H94" s="11">
        <f t="shared" si="57"/>
        <v>120</v>
      </c>
      <c r="I94" s="11">
        <f t="shared" si="57"/>
        <v>120</v>
      </c>
      <c r="J94" s="11">
        <f t="shared" si="57"/>
        <v>120</v>
      </c>
      <c r="K94" s="11">
        <f t="shared" si="57"/>
        <v>120</v>
      </c>
      <c r="L94" s="11">
        <f t="shared" ref="L94" si="58">L99+L95+L103</f>
        <v>0</v>
      </c>
      <c r="M94" s="7">
        <f t="shared" si="47"/>
        <v>0</v>
      </c>
    </row>
    <row r="95" spans="1:15" ht="78.75">
      <c r="A95" s="31" t="s">
        <v>222</v>
      </c>
      <c r="B95" s="10" t="s">
        <v>171</v>
      </c>
      <c r="C95" s="10" t="s">
        <v>193</v>
      </c>
      <c r="D95" s="32" t="s">
        <v>223</v>
      </c>
      <c r="E95" s="10"/>
      <c r="F95" s="11">
        <f>F96</f>
        <v>15</v>
      </c>
      <c r="G95" s="11">
        <f t="shared" ref="G95:L97" si="59">G96</f>
        <v>15</v>
      </c>
      <c r="H95" s="11">
        <f t="shared" si="59"/>
        <v>25</v>
      </c>
      <c r="I95" s="11">
        <f t="shared" si="59"/>
        <v>25</v>
      </c>
      <c r="J95" s="11">
        <f t="shared" si="59"/>
        <v>25</v>
      </c>
      <c r="K95" s="11">
        <f t="shared" si="59"/>
        <v>25</v>
      </c>
      <c r="L95" s="11">
        <f t="shared" si="59"/>
        <v>0</v>
      </c>
      <c r="M95" s="7">
        <f t="shared" si="47"/>
        <v>0</v>
      </c>
    </row>
    <row r="96" spans="1:15" ht="31.5">
      <c r="A96" s="121" t="s">
        <v>224</v>
      </c>
      <c r="B96" s="10" t="s">
        <v>171</v>
      </c>
      <c r="C96" s="10" t="s">
        <v>193</v>
      </c>
      <c r="D96" s="6" t="s">
        <v>225</v>
      </c>
      <c r="E96" s="10"/>
      <c r="F96" s="11">
        <f>F97</f>
        <v>15</v>
      </c>
      <c r="G96" s="11">
        <f t="shared" si="59"/>
        <v>15</v>
      </c>
      <c r="H96" s="11">
        <f t="shared" si="59"/>
        <v>25</v>
      </c>
      <c r="I96" s="11">
        <f t="shared" si="59"/>
        <v>25</v>
      </c>
      <c r="J96" s="11">
        <f t="shared" si="59"/>
        <v>25</v>
      </c>
      <c r="K96" s="11">
        <f t="shared" si="59"/>
        <v>25</v>
      </c>
      <c r="L96" s="11">
        <f t="shared" si="59"/>
        <v>0</v>
      </c>
      <c r="M96" s="7">
        <f t="shared" si="47"/>
        <v>0</v>
      </c>
    </row>
    <row r="97" spans="1:13" ht="31.5">
      <c r="A97" s="26" t="s">
        <v>184</v>
      </c>
      <c r="B97" s="10" t="s">
        <v>171</v>
      </c>
      <c r="C97" s="10" t="s">
        <v>193</v>
      </c>
      <c r="D97" s="6" t="s">
        <v>225</v>
      </c>
      <c r="E97" s="10" t="s">
        <v>185</v>
      </c>
      <c r="F97" s="11">
        <f>F98</f>
        <v>15</v>
      </c>
      <c r="G97" s="11">
        <f t="shared" si="59"/>
        <v>15</v>
      </c>
      <c r="H97" s="11">
        <f t="shared" si="59"/>
        <v>25</v>
      </c>
      <c r="I97" s="11">
        <f t="shared" si="59"/>
        <v>25</v>
      </c>
      <c r="J97" s="11">
        <f t="shared" si="59"/>
        <v>25</v>
      </c>
      <c r="K97" s="11">
        <f t="shared" si="59"/>
        <v>25</v>
      </c>
      <c r="L97" s="11">
        <f t="shared" si="59"/>
        <v>0</v>
      </c>
      <c r="M97" s="7">
        <f t="shared" si="47"/>
        <v>0</v>
      </c>
    </row>
    <row r="98" spans="1:13" ht="47.25">
      <c r="A98" s="26" t="s">
        <v>186</v>
      </c>
      <c r="B98" s="10" t="s">
        <v>171</v>
      </c>
      <c r="C98" s="10" t="s">
        <v>193</v>
      </c>
      <c r="D98" s="6" t="s">
        <v>225</v>
      </c>
      <c r="E98" s="10" t="s">
        <v>187</v>
      </c>
      <c r="F98" s="11">
        <f>'Прил.№4 ведомств.'!G84</f>
        <v>15</v>
      </c>
      <c r="G98" s="11">
        <f>'Прил.№4 ведомств.'!I84</f>
        <v>15</v>
      </c>
      <c r="H98" s="11">
        <f>'Прил.№4 ведомств.'!J84</f>
        <v>25</v>
      </c>
      <c r="I98" s="11">
        <f>'Прил.№4 ведомств.'!K84</f>
        <v>25</v>
      </c>
      <c r="J98" s="11">
        <f>'Прил.№4 ведомств.'!L84</f>
        <v>25</v>
      </c>
      <c r="K98" s="11">
        <f>'Прил.№4 ведомств.'!M250</f>
        <v>25</v>
      </c>
      <c r="L98" s="11">
        <f>'Прил.№4 ведомств.'!N250</f>
        <v>0</v>
      </c>
      <c r="M98" s="7">
        <f t="shared" si="47"/>
        <v>0</v>
      </c>
    </row>
    <row r="99" spans="1:13" ht="63">
      <c r="A99" s="31" t="s">
        <v>226</v>
      </c>
      <c r="B99" s="10" t="s">
        <v>171</v>
      </c>
      <c r="C99" s="10" t="s">
        <v>193</v>
      </c>
      <c r="D99" s="32" t="s">
        <v>227</v>
      </c>
      <c r="E99" s="10"/>
      <c r="F99" s="11">
        <f>F100</f>
        <v>50</v>
      </c>
      <c r="G99" s="11">
        <f t="shared" ref="G99:L101" si="60">G100</f>
        <v>50</v>
      </c>
      <c r="H99" s="11">
        <f t="shared" si="60"/>
        <v>70</v>
      </c>
      <c r="I99" s="11">
        <f t="shared" si="60"/>
        <v>70</v>
      </c>
      <c r="J99" s="11">
        <f t="shared" si="60"/>
        <v>70</v>
      </c>
      <c r="K99" s="11">
        <f t="shared" si="60"/>
        <v>70</v>
      </c>
      <c r="L99" s="11">
        <f t="shared" si="60"/>
        <v>0</v>
      </c>
      <c r="M99" s="7">
        <f t="shared" si="47"/>
        <v>0</v>
      </c>
    </row>
    <row r="100" spans="1:13" ht="15.75">
      <c r="A100" s="47" t="s">
        <v>228</v>
      </c>
      <c r="B100" s="10" t="s">
        <v>171</v>
      </c>
      <c r="C100" s="10" t="s">
        <v>193</v>
      </c>
      <c r="D100" s="6" t="s">
        <v>229</v>
      </c>
      <c r="E100" s="10"/>
      <c r="F100" s="11">
        <f>F101</f>
        <v>50</v>
      </c>
      <c r="G100" s="11">
        <f t="shared" si="60"/>
        <v>50</v>
      </c>
      <c r="H100" s="11">
        <f t="shared" si="60"/>
        <v>70</v>
      </c>
      <c r="I100" s="11">
        <f t="shared" si="60"/>
        <v>70</v>
      </c>
      <c r="J100" s="11">
        <f t="shared" si="60"/>
        <v>70</v>
      </c>
      <c r="K100" s="11">
        <f t="shared" si="60"/>
        <v>70</v>
      </c>
      <c r="L100" s="11">
        <f t="shared" si="60"/>
        <v>0</v>
      </c>
      <c r="M100" s="7">
        <f t="shared" si="47"/>
        <v>0</v>
      </c>
    </row>
    <row r="101" spans="1:13" ht="31.5">
      <c r="A101" s="26" t="s">
        <v>184</v>
      </c>
      <c r="B101" s="10" t="s">
        <v>171</v>
      </c>
      <c r="C101" s="10" t="s">
        <v>193</v>
      </c>
      <c r="D101" s="6" t="s">
        <v>229</v>
      </c>
      <c r="E101" s="10" t="s">
        <v>185</v>
      </c>
      <c r="F101" s="11">
        <f>F102</f>
        <v>50</v>
      </c>
      <c r="G101" s="11">
        <f t="shared" si="60"/>
        <v>50</v>
      </c>
      <c r="H101" s="11">
        <f t="shared" si="60"/>
        <v>70</v>
      </c>
      <c r="I101" s="11">
        <f t="shared" si="60"/>
        <v>70</v>
      </c>
      <c r="J101" s="11">
        <f t="shared" si="60"/>
        <v>70</v>
      </c>
      <c r="K101" s="11">
        <f t="shared" si="60"/>
        <v>70</v>
      </c>
      <c r="L101" s="11">
        <f t="shared" si="60"/>
        <v>0</v>
      </c>
      <c r="M101" s="7">
        <f t="shared" si="47"/>
        <v>0</v>
      </c>
    </row>
    <row r="102" spans="1:13" ht="47.25">
      <c r="A102" s="26" t="s">
        <v>186</v>
      </c>
      <c r="B102" s="10" t="s">
        <v>171</v>
      </c>
      <c r="C102" s="10" t="s">
        <v>193</v>
      </c>
      <c r="D102" s="6" t="s">
        <v>229</v>
      </c>
      <c r="E102" s="10" t="s">
        <v>187</v>
      </c>
      <c r="F102" s="11">
        <f>'Прил.№4 ведомств.'!G88</f>
        <v>50</v>
      </c>
      <c r="G102" s="11">
        <f>'Прил.№4 ведомств.'!I88</f>
        <v>50</v>
      </c>
      <c r="H102" s="11">
        <f>'Прил.№4 ведомств.'!J88</f>
        <v>70</v>
      </c>
      <c r="I102" s="11">
        <f>'Прил.№4 ведомств.'!K88</f>
        <v>70</v>
      </c>
      <c r="J102" s="11">
        <f>'Прил.№4 ведомств.'!L88</f>
        <v>70</v>
      </c>
      <c r="K102" s="11">
        <f>'Прил.№4 ведомств.'!M88</f>
        <v>70</v>
      </c>
      <c r="L102" s="11">
        <f>'Прил.№4 ведомств.'!N88</f>
        <v>0</v>
      </c>
      <c r="M102" s="7">
        <f t="shared" si="47"/>
        <v>0</v>
      </c>
    </row>
    <row r="103" spans="1:13" ht="47.25">
      <c r="A103" s="26" t="s">
        <v>230</v>
      </c>
      <c r="B103" s="10" t="s">
        <v>171</v>
      </c>
      <c r="C103" s="10" t="s">
        <v>193</v>
      </c>
      <c r="D103" s="6" t="s">
        <v>231</v>
      </c>
      <c r="E103" s="10"/>
      <c r="F103" s="11">
        <f>F104</f>
        <v>15</v>
      </c>
      <c r="G103" s="11">
        <f t="shared" ref="G103:L105" si="61">G104</f>
        <v>15</v>
      </c>
      <c r="H103" s="11">
        <f t="shared" si="61"/>
        <v>25</v>
      </c>
      <c r="I103" s="11">
        <f t="shared" si="61"/>
        <v>25</v>
      </c>
      <c r="J103" s="11">
        <f t="shared" si="61"/>
        <v>25</v>
      </c>
      <c r="K103" s="11">
        <f t="shared" si="61"/>
        <v>25</v>
      </c>
      <c r="L103" s="11">
        <f t="shared" si="61"/>
        <v>0</v>
      </c>
      <c r="M103" s="7">
        <f t="shared" si="47"/>
        <v>0</v>
      </c>
    </row>
    <row r="104" spans="1:13" ht="15.75">
      <c r="A104" s="47" t="s">
        <v>232</v>
      </c>
      <c r="B104" s="10" t="s">
        <v>171</v>
      </c>
      <c r="C104" s="10" t="s">
        <v>193</v>
      </c>
      <c r="D104" s="6" t="s">
        <v>233</v>
      </c>
      <c r="E104" s="10"/>
      <c r="F104" s="11">
        <f>F105</f>
        <v>15</v>
      </c>
      <c r="G104" s="11">
        <f t="shared" si="61"/>
        <v>15</v>
      </c>
      <c r="H104" s="11">
        <f t="shared" si="61"/>
        <v>25</v>
      </c>
      <c r="I104" s="11">
        <f t="shared" si="61"/>
        <v>25</v>
      </c>
      <c r="J104" s="11">
        <f t="shared" si="61"/>
        <v>25</v>
      </c>
      <c r="K104" s="11">
        <f t="shared" si="61"/>
        <v>25</v>
      </c>
      <c r="L104" s="11">
        <f t="shared" si="61"/>
        <v>0</v>
      </c>
      <c r="M104" s="7">
        <f t="shared" si="47"/>
        <v>0</v>
      </c>
    </row>
    <row r="105" spans="1:13" ht="31.5">
      <c r="A105" s="26" t="s">
        <v>184</v>
      </c>
      <c r="B105" s="10" t="s">
        <v>171</v>
      </c>
      <c r="C105" s="10" t="s">
        <v>193</v>
      </c>
      <c r="D105" s="6" t="s">
        <v>233</v>
      </c>
      <c r="E105" s="10" t="s">
        <v>185</v>
      </c>
      <c r="F105" s="11">
        <f>F106</f>
        <v>15</v>
      </c>
      <c r="G105" s="11">
        <f t="shared" si="61"/>
        <v>15</v>
      </c>
      <c r="H105" s="11">
        <f t="shared" si="61"/>
        <v>25</v>
      </c>
      <c r="I105" s="11">
        <f t="shared" si="61"/>
        <v>25</v>
      </c>
      <c r="J105" s="11">
        <f t="shared" si="61"/>
        <v>25</v>
      </c>
      <c r="K105" s="11">
        <f t="shared" si="61"/>
        <v>25</v>
      </c>
      <c r="L105" s="11">
        <f t="shared" si="61"/>
        <v>0</v>
      </c>
      <c r="M105" s="7">
        <f t="shared" si="47"/>
        <v>0</v>
      </c>
    </row>
    <row r="106" spans="1:13" ht="47.25">
      <c r="A106" s="26" t="s">
        <v>186</v>
      </c>
      <c r="B106" s="10" t="s">
        <v>171</v>
      </c>
      <c r="C106" s="10" t="s">
        <v>193</v>
      </c>
      <c r="D106" s="6" t="s">
        <v>233</v>
      </c>
      <c r="E106" s="10" t="s">
        <v>187</v>
      </c>
      <c r="F106" s="11">
        <f>'Прил.№4 ведомств.'!G92</f>
        <v>15</v>
      </c>
      <c r="G106" s="11">
        <f>'Прил.№4 ведомств.'!I92</f>
        <v>15</v>
      </c>
      <c r="H106" s="11">
        <f>'Прил.№4 ведомств.'!J92</f>
        <v>25</v>
      </c>
      <c r="I106" s="11">
        <f>'Прил.№4 ведомств.'!K92</f>
        <v>25</v>
      </c>
      <c r="J106" s="11">
        <f>'Прил.№4 ведомств.'!L92</f>
        <v>25</v>
      </c>
      <c r="K106" s="11">
        <f>'Прил.№4 ведомств.'!M92</f>
        <v>25</v>
      </c>
      <c r="L106" s="11">
        <f>'Прил.№4 ведомств.'!N92</f>
        <v>0</v>
      </c>
      <c r="M106" s="7">
        <f t="shared" si="47"/>
        <v>0</v>
      </c>
    </row>
    <row r="107" spans="1:13" ht="47.25" hidden="1">
      <c r="A107" s="33" t="s">
        <v>234</v>
      </c>
      <c r="B107" s="10" t="s">
        <v>171</v>
      </c>
      <c r="C107" s="10" t="s">
        <v>193</v>
      </c>
      <c r="D107" s="32" t="s">
        <v>235</v>
      </c>
      <c r="E107" s="34"/>
      <c r="F107" s="11">
        <f>F108</f>
        <v>120</v>
      </c>
      <c r="G107" s="11">
        <f t="shared" ref="G107:L109" si="62">G108</f>
        <v>120</v>
      </c>
      <c r="H107" s="11">
        <f t="shared" si="62"/>
        <v>0</v>
      </c>
      <c r="I107" s="11">
        <f t="shared" si="62"/>
        <v>0</v>
      </c>
      <c r="J107" s="11">
        <f t="shared" si="62"/>
        <v>0</v>
      </c>
      <c r="K107" s="11">
        <f t="shared" si="62"/>
        <v>0</v>
      </c>
      <c r="L107" s="11">
        <f t="shared" si="62"/>
        <v>0</v>
      </c>
      <c r="M107" s="7" t="e">
        <f t="shared" si="47"/>
        <v>#DIV/0!</v>
      </c>
    </row>
    <row r="108" spans="1:13" ht="31.5" hidden="1">
      <c r="A108" s="26" t="s">
        <v>210</v>
      </c>
      <c r="B108" s="10" t="s">
        <v>171</v>
      </c>
      <c r="C108" s="10" t="s">
        <v>193</v>
      </c>
      <c r="D108" s="21" t="s">
        <v>236</v>
      </c>
      <c r="E108" s="34"/>
      <c r="F108" s="11">
        <f>F109</f>
        <v>120</v>
      </c>
      <c r="G108" s="11">
        <f t="shared" si="62"/>
        <v>120</v>
      </c>
      <c r="H108" s="11">
        <f t="shared" si="62"/>
        <v>0</v>
      </c>
      <c r="I108" s="11">
        <f t="shared" si="62"/>
        <v>0</v>
      </c>
      <c r="J108" s="11">
        <f t="shared" si="62"/>
        <v>0</v>
      </c>
      <c r="K108" s="11">
        <f t="shared" si="62"/>
        <v>0</v>
      </c>
      <c r="L108" s="11">
        <f t="shared" si="62"/>
        <v>0</v>
      </c>
      <c r="M108" s="7" t="e">
        <f t="shared" si="47"/>
        <v>#DIV/0!</v>
      </c>
    </row>
    <row r="109" spans="1:13" ht="15.75" hidden="1">
      <c r="A109" s="31" t="s">
        <v>188</v>
      </c>
      <c r="B109" s="10" t="s">
        <v>171</v>
      </c>
      <c r="C109" s="10" t="s">
        <v>193</v>
      </c>
      <c r="D109" s="21" t="s">
        <v>236</v>
      </c>
      <c r="E109" s="34" t="s">
        <v>198</v>
      </c>
      <c r="F109" s="11">
        <f>F110</f>
        <v>120</v>
      </c>
      <c r="G109" s="11">
        <f t="shared" si="62"/>
        <v>120</v>
      </c>
      <c r="H109" s="11">
        <f t="shared" si="62"/>
        <v>0</v>
      </c>
      <c r="I109" s="11">
        <f t="shared" si="62"/>
        <v>0</v>
      </c>
      <c r="J109" s="11">
        <f t="shared" si="62"/>
        <v>0</v>
      </c>
      <c r="K109" s="11">
        <f t="shared" si="62"/>
        <v>0</v>
      </c>
      <c r="L109" s="11">
        <f t="shared" si="62"/>
        <v>0</v>
      </c>
      <c r="M109" s="7" t="e">
        <f t="shared" si="47"/>
        <v>#DIV/0!</v>
      </c>
    </row>
    <row r="110" spans="1:13" ht="47.25" hidden="1">
      <c r="A110" s="31" t="s">
        <v>237</v>
      </c>
      <c r="B110" s="10" t="s">
        <v>171</v>
      </c>
      <c r="C110" s="10" t="s">
        <v>193</v>
      </c>
      <c r="D110" s="21" t="s">
        <v>236</v>
      </c>
      <c r="E110" s="34" t="s">
        <v>213</v>
      </c>
      <c r="F110" s="11">
        <f>'Прил.№4 ведомств.'!G96</f>
        <v>120</v>
      </c>
      <c r="G110" s="11">
        <f>'Прил.№4 ведомств.'!I96</f>
        <v>120</v>
      </c>
      <c r="H110" s="11">
        <f>'Прил.№4 ведомств.'!J96</f>
        <v>0</v>
      </c>
      <c r="I110" s="11">
        <f>'Прил.№4 ведомств.'!K96</f>
        <v>0</v>
      </c>
      <c r="J110" s="11">
        <f>'Прил.№4 ведомств.'!L96</f>
        <v>0</v>
      </c>
      <c r="K110" s="11">
        <f>'Прил.№4 ведомств.'!M96</f>
        <v>0</v>
      </c>
      <c r="L110" s="11">
        <f>'Прил.№4 ведомств.'!N96</f>
        <v>0</v>
      </c>
      <c r="M110" s="7" t="e">
        <f t="shared" si="47"/>
        <v>#DIV/0!</v>
      </c>
    </row>
    <row r="111" spans="1:13" ht="47.25">
      <c r="A111" s="26" t="s">
        <v>387</v>
      </c>
      <c r="B111" s="21" t="s">
        <v>171</v>
      </c>
      <c r="C111" s="21" t="s">
        <v>193</v>
      </c>
      <c r="D111" s="21" t="s">
        <v>388</v>
      </c>
      <c r="E111" s="21"/>
      <c r="F111" s="11">
        <f t="shared" ref="F111:G111" si="63">F112+F115+F118+F121+F124</f>
        <v>0</v>
      </c>
      <c r="G111" s="11">
        <f t="shared" si="63"/>
        <v>0</v>
      </c>
      <c r="H111" s="11">
        <f>H112+H115+H118+H121+H124</f>
        <v>155</v>
      </c>
      <c r="I111" s="11">
        <f t="shared" ref="I111:K111" si="64">I112+I115+I118+I121+I124</f>
        <v>155</v>
      </c>
      <c r="J111" s="11">
        <f t="shared" si="64"/>
        <v>155</v>
      </c>
      <c r="K111" s="11">
        <f t="shared" si="64"/>
        <v>155</v>
      </c>
      <c r="L111" s="11">
        <f t="shared" ref="L111" si="65">L112+L115+L118+L121+L124</f>
        <v>0</v>
      </c>
      <c r="M111" s="7">
        <f t="shared" si="47"/>
        <v>0</v>
      </c>
    </row>
    <row r="112" spans="1:13" ht="47.25">
      <c r="A112" s="121" t="s">
        <v>931</v>
      </c>
      <c r="B112" s="21" t="s">
        <v>171</v>
      </c>
      <c r="C112" s="21" t="s">
        <v>193</v>
      </c>
      <c r="D112" s="21" t="s">
        <v>390</v>
      </c>
      <c r="E112" s="21"/>
      <c r="F112" s="11">
        <f t="shared" ref="F112:H113" si="66">F113</f>
        <v>0</v>
      </c>
      <c r="G112" s="11">
        <f t="shared" si="66"/>
        <v>0</v>
      </c>
      <c r="H112" s="11">
        <f t="shared" si="66"/>
        <v>100</v>
      </c>
      <c r="I112" s="11">
        <f t="shared" ref="I112:L113" si="67">I113</f>
        <v>100</v>
      </c>
      <c r="J112" s="11">
        <f t="shared" si="67"/>
        <v>100</v>
      </c>
      <c r="K112" s="11">
        <f t="shared" si="67"/>
        <v>100</v>
      </c>
      <c r="L112" s="11">
        <f t="shared" si="67"/>
        <v>0</v>
      </c>
      <c r="M112" s="7">
        <f t="shared" si="47"/>
        <v>0</v>
      </c>
    </row>
    <row r="113" spans="1:13" ht="31.5">
      <c r="A113" s="26" t="s">
        <v>184</v>
      </c>
      <c r="B113" s="21" t="s">
        <v>171</v>
      </c>
      <c r="C113" s="21" t="s">
        <v>193</v>
      </c>
      <c r="D113" s="21" t="s">
        <v>390</v>
      </c>
      <c r="E113" s="21" t="s">
        <v>185</v>
      </c>
      <c r="F113" s="11">
        <f t="shared" si="66"/>
        <v>0</v>
      </c>
      <c r="G113" s="11">
        <f t="shared" si="66"/>
        <v>0</v>
      </c>
      <c r="H113" s="11">
        <f t="shared" si="66"/>
        <v>100</v>
      </c>
      <c r="I113" s="11">
        <f t="shared" si="67"/>
        <v>100</v>
      </c>
      <c r="J113" s="11">
        <f t="shared" si="67"/>
        <v>100</v>
      </c>
      <c r="K113" s="11">
        <f t="shared" si="67"/>
        <v>100</v>
      </c>
      <c r="L113" s="11">
        <f t="shared" si="67"/>
        <v>0</v>
      </c>
      <c r="M113" s="7">
        <f t="shared" si="47"/>
        <v>0</v>
      </c>
    </row>
    <row r="114" spans="1:13" ht="47.25">
      <c r="A114" s="26" t="s">
        <v>186</v>
      </c>
      <c r="B114" s="21" t="s">
        <v>171</v>
      </c>
      <c r="C114" s="21" t="s">
        <v>193</v>
      </c>
      <c r="D114" s="21" t="s">
        <v>390</v>
      </c>
      <c r="E114" s="21" t="s">
        <v>187</v>
      </c>
      <c r="F114" s="11">
        <v>0</v>
      </c>
      <c r="G114" s="11">
        <v>0</v>
      </c>
      <c r="H114" s="11">
        <f>'Прил.№4 ведомств.'!J577+'Прил.№4 ведомств.'!J254</f>
        <v>100</v>
      </c>
      <c r="I114" s="11">
        <f>'Прил.№4 ведомств.'!K577+'Прил.№4 ведомств.'!K254</f>
        <v>100</v>
      </c>
      <c r="J114" s="11">
        <f>'Прил.№4 ведомств.'!L577+'Прил.№4 ведомств.'!L254</f>
        <v>100</v>
      </c>
      <c r="K114" s="11">
        <f>'Прил.№4 ведомств.'!M577+'Прил.№4 ведомств.'!M254</f>
        <v>100</v>
      </c>
      <c r="L114" s="11">
        <f>'Прил.№4 ведомств.'!N577+'Прил.№4 ведомств.'!N254</f>
        <v>0</v>
      </c>
      <c r="M114" s="7">
        <f t="shared" si="47"/>
        <v>0</v>
      </c>
    </row>
    <row r="115" spans="1:13" ht="31.5">
      <c r="A115" s="26" t="s">
        <v>391</v>
      </c>
      <c r="B115" s="21" t="s">
        <v>171</v>
      </c>
      <c r="C115" s="21" t="s">
        <v>193</v>
      </c>
      <c r="D115" s="21" t="s">
        <v>392</v>
      </c>
      <c r="E115" s="21"/>
      <c r="F115" s="11">
        <f t="shared" ref="F115:H116" si="68">F116</f>
        <v>0</v>
      </c>
      <c r="G115" s="11">
        <f t="shared" si="68"/>
        <v>0</v>
      </c>
      <c r="H115" s="11">
        <f t="shared" si="68"/>
        <v>20</v>
      </c>
      <c r="I115" s="11">
        <f t="shared" ref="I115:L116" si="69">I116</f>
        <v>20</v>
      </c>
      <c r="J115" s="11">
        <f t="shared" si="69"/>
        <v>20</v>
      </c>
      <c r="K115" s="11">
        <f t="shared" si="69"/>
        <v>20</v>
      </c>
      <c r="L115" s="11">
        <f t="shared" si="69"/>
        <v>0</v>
      </c>
      <c r="M115" s="7">
        <f t="shared" si="47"/>
        <v>0</v>
      </c>
    </row>
    <row r="116" spans="1:13" ht="31.5">
      <c r="A116" s="26" t="s">
        <v>184</v>
      </c>
      <c r="B116" s="21" t="s">
        <v>171</v>
      </c>
      <c r="C116" s="21" t="s">
        <v>193</v>
      </c>
      <c r="D116" s="21" t="s">
        <v>392</v>
      </c>
      <c r="E116" s="21" t="s">
        <v>185</v>
      </c>
      <c r="F116" s="11">
        <f t="shared" si="68"/>
        <v>0</v>
      </c>
      <c r="G116" s="11">
        <f t="shared" si="68"/>
        <v>0</v>
      </c>
      <c r="H116" s="11">
        <f t="shared" si="68"/>
        <v>20</v>
      </c>
      <c r="I116" s="11">
        <f t="shared" si="69"/>
        <v>20</v>
      </c>
      <c r="J116" s="11">
        <f t="shared" si="69"/>
        <v>20</v>
      </c>
      <c r="K116" s="11">
        <f t="shared" si="69"/>
        <v>20</v>
      </c>
      <c r="L116" s="11">
        <f t="shared" si="69"/>
        <v>0</v>
      </c>
      <c r="M116" s="7">
        <f t="shared" si="47"/>
        <v>0</v>
      </c>
    </row>
    <row r="117" spans="1:13" ht="47.25">
      <c r="A117" s="26" t="s">
        <v>186</v>
      </c>
      <c r="B117" s="21" t="s">
        <v>171</v>
      </c>
      <c r="C117" s="21" t="s">
        <v>193</v>
      </c>
      <c r="D117" s="21" t="s">
        <v>392</v>
      </c>
      <c r="E117" s="21" t="s">
        <v>187</v>
      </c>
      <c r="F117" s="11">
        <v>0</v>
      </c>
      <c r="G117" s="11">
        <v>0</v>
      </c>
      <c r="H117" s="11">
        <f>'Прил.№4 ведомств.'!J257</f>
        <v>20</v>
      </c>
      <c r="I117" s="11">
        <f>'Прил.№4 ведомств.'!K257</f>
        <v>20</v>
      </c>
      <c r="J117" s="11">
        <f>'Прил.№4 ведомств.'!L257</f>
        <v>20</v>
      </c>
      <c r="K117" s="11">
        <f>'Прил.№4 ведомств.'!M257</f>
        <v>20</v>
      </c>
      <c r="L117" s="11">
        <f>'Прил.№4 ведомств.'!N257</f>
        <v>0</v>
      </c>
      <c r="M117" s="7">
        <f t="shared" si="47"/>
        <v>0</v>
      </c>
    </row>
    <row r="118" spans="1:13" ht="47.25">
      <c r="A118" s="33" t="s">
        <v>932</v>
      </c>
      <c r="B118" s="21" t="s">
        <v>171</v>
      </c>
      <c r="C118" s="21" t="s">
        <v>193</v>
      </c>
      <c r="D118" s="21" t="s">
        <v>929</v>
      </c>
      <c r="E118" s="21"/>
      <c r="F118" s="11">
        <f t="shared" ref="F118:H119" si="70">F119</f>
        <v>0</v>
      </c>
      <c r="G118" s="11">
        <f t="shared" si="70"/>
        <v>0</v>
      </c>
      <c r="H118" s="11">
        <f t="shared" si="70"/>
        <v>5</v>
      </c>
      <c r="I118" s="11">
        <f t="shared" ref="I118:L119" si="71">I119</f>
        <v>5</v>
      </c>
      <c r="J118" s="11">
        <f t="shared" si="71"/>
        <v>5</v>
      </c>
      <c r="K118" s="11">
        <f t="shared" si="71"/>
        <v>5</v>
      </c>
      <c r="L118" s="11">
        <f t="shared" si="71"/>
        <v>0</v>
      </c>
      <c r="M118" s="7">
        <f t="shared" si="47"/>
        <v>0</v>
      </c>
    </row>
    <row r="119" spans="1:13" ht="31.5">
      <c r="A119" s="26" t="s">
        <v>184</v>
      </c>
      <c r="B119" s="21" t="s">
        <v>171</v>
      </c>
      <c r="C119" s="21" t="s">
        <v>193</v>
      </c>
      <c r="D119" s="21" t="s">
        <v>929</v>
      </c>
      <c r="E119" s="21" t="s">
        <v>185</v>
      </c>
      <c r="F119" s="11">
        <f t="shared" si="70"/>
        <v>0</v>
      </c>
      <c r="G119" s="11">
        <f t="shared" si="70"/>
        <v>0</v>
      </c>
      <c r="H119" s="11">
        <f t="shared" si="70"/>
        <v>5</v>
      </c>
      <c r="I119" s="11">
        <f t="shared" si="71"/>
        <v>5</v>
      </c>
      <c r="J119" s="11">
        <f t="shared" si="71"/>
        <v>5</v>
      </c>
      <c r="K119" s="11">
        <f t="shared" si="71"/>
        <v>5</v>
      </c>
      <c r="L119" s="11">
        <f t="shared" si="71"/>
        <v>0</v>
      </c>
      <c r="M119" s="7">
        <f t="shared" si="47"/>
        <v>0</v>
      </c>
    </row>
    <row r="120" spans="1:13" ht="47.25">
      <c r="A120" s="26" t="s">
        <v>186</v>
      </c>
      <c r="B120" s="21" t="s">
        <v>171</v>
      </c>
      <c r="C120" s="21" t="s">
        <v>193</v>
      </c>
      <c r="D120" s="21" t="s">
        <v>929</v>
      </c>
      <c r="E120" s="21" t="s">
        <v>187</v>
      </c>
      <c r="F120" s="11">
        <v>0</v>
      </c>
      <c r="G120" s="11">
        <v>0</v>
      </c>
      <c r="H120" s="11">
        <f>'Прил.№4 ведомств.'!J260</f>
        <v>5</v>
      </c>
      <c r="I120" s="11">
        <f>'Прил.№4 ведомств.'!K260</f>
        <v>5</v>
      </c>
      <c r="J120" s="11">
        <f>'Прил.№4 ведомств.'!L260</f>
        <v>5</v>
      </c>
      <c r="K120" s="11">
        <f>'Прил.№4 ведомств.'!M260</f>
        <v>5</v>
      </c>
      <c r="L120" s="11">
        <f>'Прил.№4 ведомств.'!N260</f>
        <v>0</v>
      </c>
      <c r="M120" s="7">
        <f t="shared" si="47"/>
        <v>0</v>
      </c>
    </row>
    <row r="121" spans="1:13" ht="31.5">
      <c r="A121" s="33" t="s">
        <v>936</v>
      </c>
      <c r="B121" s="21" t="s">
        <v>171</v>
      </c>
      <c r="C121" s="21" t="s">
        <v>193</v>
      </c>
      <c r="D121" s="21" t="s">
        <v>935</v>
      </c>
      <c r="E121" s="21"/>
      <c r="F121" s="11">
        <f t="shared" ref="F121:H122" si="72">F122</f>
        <v>0</v>
      </c>
      <c r="G121" s="11">
        <f t="shared" si="72"/>
        <v>0</v>
      </c>
      <c r="H121" s="11">
        <f t="shared" si="72"/>
        <v>10</v>
      </c>
      <c r="I121" s="11">
        <f t="shared" ref="I121:L122" si="73">I122</f>
        <v>10</v>
      </c>
      <c r="J121" s="11">
        <f t="shared" si="73"/>
        <v>10</v>
      </c>
      <c r="K121" s="11">
        <f t="shared" si="73"/>
        <v>10</v>
      </c>
      <c r="L121" s="11">
        <f t="shared" si="73"/>
        <v>0</v>
      </c>
      <c r="M121" s="7">
        <f t="shared" si="47"/>
        <v>0</v>
      </c>
    </row>
    <row r="122" spans="1:13" ht="31.5">
      <c r="A122" s="26" t="s">
        <v>184</v>
      </c>
      <c r="B122" s="21" t="s">
        <v>171</v>
      </c>
      <c r="C122" s="21" t="s">
        <v>193</v>
      </c>
      <c r="D122" s="21" t="s">
        <v>935</v>
      </c>
      <c r="E122" s="21" t="s">
        <v>185</v>
      </c>
      <c r="F122" s="11">
        <f t="shared" si="72"/>
        <v>0</v>
      </c>
      <c r="G122" s="11">
        <f t="shared" si="72"/>
        <v>0</v>
      </c>
      <c r="H122" s="11">
        <f t="shared" si="72"/>
        <v>10</v>
      </c>
      <c r="I122" s="11">
        <f t="shared" si="73"/>
        <v>10</v>
      </c>
      <c r="J122" s="11">
        <f t="shared" si="73"/>
        <v>10</v>
      </c>
      <c r="K122" s="11">
        <f t="shared" si="73"/>
        <v>10</v>
      </c>
      <c r="L122" s="11">
        <f t="shared" si="73"/>
        <v>0</v>
      </c>
      <c r="M122" s="7">
        <f t="shared" si="47"/>
        <v>0</v>
      </c>
    </row>
    <row r="123" spans="1:13" ht="47.25">
      <c r="A123" s="26" t="s">
        <v>186</v>
      </c>
      <c r="B123" s="21" t="s">
        <v>171</v>
      </c>
      <c r="C123" s="21" t="s">
        <v>193</v>
      </c>
      <c r="D123" s="21" t="s">
        <v>935</v>
      </c>
      <c r="E123" s="21" t="s">
        <v>187</v>
      </c>
      <c r="F123" s="11">
        <v>0</v>
      </c>
      <c r="G123" s="11">
        <v>0</v>
      </c>
      <c r="H123" s="11">
        <f>'Прил.№4 ведомств.'!J580</f>
        <v>10</v>
      </c>
      <c r="I123" s="11">
        <f>'Прил.№4 ведомств.'!K580</f>
        <v>10</v>
      </c>
      <c r="J123" s="11">
        <f>'Прил.№4 ведомств.'!L580</f>
        <v>10</v>
      </c>
      <c r="K123" s="11">
        <f>'Прил.№4 ведомств.'!M580</f>
        <v>10</v>
      </c>
      <c r="L123" s="11">
        <f>'Прил.№4 ведомств.'!N580</f>
        <v>0</v>
      </c>
      <c r="M123" s="7">
        <f t="shared" si="47"/>
        <v>0</v>
      </c>
    </row>
    <row r="124" spans="1:13" ht="31.5">
      <c r="A124" s="33" t="s">
        <v>933</v>
      </c>
      <c r="B124" s="21" t="s">
        <v>171</v>
      </c>
      <c r="C124" s="21" t="s">
        <v>193</v>
      </c>
      <c r="D124" s="21" t="s">
        <v>930</v>
      </c>
      <c r="E124" s="21"/>
      <c r="F124" s="11">
        <f t="shared" ref="F124:H125" si="74">F125</f>
        <v>0</v>
      </c>
      <c r="G124" s="11">
        <f t="shared" si="74"/>
        <v>0</v>
      </c>
      <c r="H124" s="11">
        <f t="shared" si="74"/>
        <v>20</v>
      </c>
      <c r="I124" s="11">
        <f t="shared" ref="I124:L125" si="75">I125</f>
        <v>20</v>
      </c>
      <c r="J124" s="11">
        <f t="shared" si="75"/>
        <v>20</v>
      </c>
      <c r="K124" s="11">
        <f t="shared" si="75"/>
        <v>20</v>
      </c>
      <c r="L124" s="11">
        <f t="shared" si="75"/>
        <v>0</v>
      </c>
      <c r="M124" s="7">
        <f t="shared" si="47"/>
        <v>0</v>
      </c>
    </row>
    <row r="125" spans="1:13" ht="31.5">
      <c r="A125" s="26" t="s">
        <v>184</v>
      </c>
      <c r="B125" s="21" t="s">
        <v>171</v>
      </c>
      <c r="C125" s="21" t="s">
        <v>193</v>
      </c>
      <c r="D125" s="21" t="s">
        <v>930</v>
      </c>
      <c r="E125" s="21" t="s">
        <v>185</v>
      </c>
      <c r="F125" s="11">
        <f t="shared" si="74"/>
        <v>0</v>
      </c>
      <c r="G125" s="11">
        <f t="shared" si="74"/>
        <v>0</v>
      </c>
      <c r="H125" s="11">
        <f t="shared" si="74"/>
        <v>20</v>
      </c>
      <c r="I125" s="11">
        <f t="shared" si="75"/>
        <v>20</v>
      </c>
      <c r="J125" s="11">
        <f t="shared" si="75"/>
        <v>20</v>
      </c>
      <c r="K125" s="11">
        <f t="shared" si="75"/>
        <v>20</v>
      </c>
      <c r="L125" s="11">
        <f t="shared" si="75"/>
        <v>0</v>
      </c>
      <c r="M125" s="7">
        <f t="shared" si="47"/>
        <v>0</v>
      </c>
    </row>
    <row r="126" spans="1:13" ht="47.25">
      <c r="A126" s="26" t="s">
        <v>186</v>
      </c>
      <c r="B126" s="21" t="s">
        <v>171</v>
      </c>
      <c r="C126" s="21" t="s">
        <v>193</v>
      </c>
      <c r="D126" s="21" t="s">
        <v>930</v>
      </c>
      <c r="E126" s="21" t="s">
        <v>187</v>
      </c>
      <c r="F126" s="11">
        <v>0</v>
      </c>
      <c r="G126" s="11">
        <v>0</v>
      </c>
      <c r="H126" s="11">
        <f>'Прил.№4 ведомств.'!J266</f>
        <v>20</v>
      </c>
      <c r="I126" s="11">
        <f>'Прил.№4 ведомств.'!K266</f>
        <v>20</v>
      </c>
      <c r="J126" s="11">
        <f>'Прил.№4 ведомств.'!L266</f>
        <v>20</v>
      </c>
      <c r="K126" s="11">
        <f>'Прил.№4 ведомств.'!M266</f>
        <v>20</v>
      </c>
      <c r="L126" s="11">
        <f>'Прил.№4 ведомств.'!N266</f>
        <v>0</v>
      </c>
      <c r="M126" s="7">
        <f t="shared" si="47"/>
        <v>0</v>
      </c>
    </row>
    <row r="127" spans="1:13" ht="63">
      <c r="A127" s="31" t="s">
        <v>804</v>
      </c>
      <c r="B127" s="10" t="s">
        <v>171</v>
      </c>
      <c r="C127" s="10" t="s">
        <v>193</v>
      </c>
      <c r="D127" s="21" t="s">
        <v>805</v>
      </c>
      <c r="E127" s="34"/>
      <c r="F127" s="11">
        <f>F128</f>
        <v>29</v>
      </c>
      <c r="G127" s="11">
        <f t="shared" ref="G127:L129" si="76">G128</f>
        <v>29</v>
      </c>
      <c r="H127" s="11">
        <f t="shared" si="76"/>
        <v>0</v>
      </c>
      <c r="I127" s="11">
        <f t="shared" si="76"/>
        <v>0</v>
      </c>
      <c r="J127" s="11">
        <f t="shared" si="76"/>
        <v>0</v>
      </c>
      <c r="K127" s="11">
        <f>K128+K131+K134+K137</f>
        <v>3957.2</v>
      </c>
      <c r="L127" s="11">
        <f t="shared" ref="L127" si="77">L128+L131+L134+L137</f>
        <v>913.5</v>
      </c>
      <c r="M127" s="7">
        <f t="shared" si="47"/>
        <v>23.084504194885273</v>
      </c>
    </row>
    <row r="128" spans="1:13" ht="47.25">
      <c r="A128" s="263" t="s">
        <v>940</v>
      </c>
      <c r="B128" s="10" t="s">
        <v>171</v>
      </c>
      <c r="C128" s="10" t="s">
        <v>193</v>
      </c>
      <c r="D128" s="21" t="s">
        <v>939</v>
      </c>
      <c r="E128" s="34"/>
      <c r="F128" s="11">
        <f>F129</f>
        <v>29</v>
      </c>
      <c r="G128" s="11">
        <f t="shared" si="76"/>
        <v>29</v>
      </c>
      <c r="H128" s="11">
        <f t="shared" si="76"/>
        <v>0</v>
      </c>
      <c r="I128" s="11">
        <f t="shared" si="76"/>
        <v>0</v>
      </c>
      <c r="J128" s="11">
        <f t="shared" si="76"/>
        <v>0</v>
      </c>
      <c r="K128" s="11">
        <f t="shared" si="76"/>
        <v>28</v>
      </c>
      <c r="L128" s="11">
        <f t="shared" si="76"/>
        <v>0</v>
      </c>
      <c r="M128" s="7">
        <f t="shared" si="47"/>
        <v>0</v>
      </c>
    </row>
    <row r="129" spans="1:13" ht="31.5">
      <c r="A129" s="26" t="s">
        <v>184</v>
      </c>
      <c r="B129" s="10" t="s">
        <v>171</v>
      </c>
      <c r="C129" s="10" t="s">
        <v>193</v>
      </c>
      <c r="D129" s="21" t="s">
        <v>939</v>
      </c>
      <c r="E129" s="34" t="s">
        <v>185</v>
      </c>
      <c r="F129" s="11">
        <f>F130</f>
        <v>29</v>
      </c>
      <c r="G129" s="11">
        <f t="shared" si="76"/>
        <v>29</v>
      </c>
      <c r="H129" s="11">
        <f t="shared" si="76"/>
        <v>0</v>
      </c>
      <c r="I129" s="11">
        <f t="shared" si="76"/>
        <v>0</v>
      </c>
      <c r="J129" s="11">
        <f t="shared" si="76"/>
        <v>0</v>
      </c>
      <c r="K129" s="11">
        <f t="shared" si="76"/>
        <v>28</v>
      </c>
      <c r="L129" s="11">
        <f t="shared" si="76"/>
        <v>0</v>
      </c>
      <c r="M129" s="7">
        <f t="shared" si="47"/>
        <v>0</v>
      </c>
    </row>
    <row r="130" spans="1:13" ht="47.25">
      <c r="A130" s="26" t="s">
        <v>186</v>
      </c>
      <c r="B130" s="10" t="s">
        <v>171</v>
      </c>
      <c r="C130" s="10" t="s">
        <v>193</v>
      </c>
      <c r="D130" s="21" t="s">
        <v>939</v>
      </c>
      <c r="E130" s="34" t="s">
        <v>187</v>
      </c>
      <c r="F130" s="11">
        <f>'Прил.№4 ведомств.'!G100</f>
        <v>29</v>
      </c>
      <c r="G130" s="11">
        <f>'Прил.№4 ведомств.'!I100</f>
        <v>29</v>
      </c>
      <c r="H130" s="11">
        <f>'Прил.№4 ведомств.'!J100</f>
        <v>0</v>
      </c>
      <c r="I130" s="11">
        <f>'Прил.№4 ведомств.'!K100</f>
        <v>0</v>
      </c>
      <c r="J130" s="11">
        <f>'Прил.№4 ведомств.'!L100</f>
        <v>0</v>
      </c>
      <c r="K130" s="11">
        <f>'Прил.№4 ведомств.'!M100+'Прил.№4 ведомств.'!M279</f>
        <v>28</v>
      </c>
      <c r="L130" s="11">
        <f>'Прил.№4 ведомств.'!N100+'Прил.№4 ведомств.'!N279</f>
        <v>0</v>
      </c>
      <c r="M130" s="7">
        <f t="shared" si="47"/>
        <v>0</v>
      </c>
    </row>
    <row r="131" spans="1:13" ht="31.5">
      <c r="A131" s="263" t="s">
        <v>943</v>
      </c>
      <c r="B131" s="21" t="s">
        <v>171</v>
      </c>
      <c r="C131" s="21" t="s">
        <v>193</v>
      </c>
      <c r="D131" s="21" t="s">
        <v>944</v>
      </c>
      <c r="E131" s="34"/>
      <c r="F131" s="11"/>
      <c r="G131" s="11"/>
      <c r="H131" s="11"/>
      <c r="I131" s="11"/>
      <c r="J131" s="11"/>
      <c r="K131" s="11">
        <f>K132</f>
        <v>63.6</v>
      </c>
      <c r="L131" s="11">
        <f t="shared" ref="L131:L132" si="78">L132</f>
        <v>0</v>
      </c>
      <c r="M131" s="7">
        <f t="shared" si="47"/>
        <v>0</v>
      </c>
    </row>
    <row r="132" spans="1:13" ht="31.5">
      <c r="A132" s="26" t="s">
        <v>184</v>
      </c>
      <c r="B132" s="21" t="s">
        <v>171</v>
      </c>
      <c r="C132" s="21" t="s">
        <v>193</v>
      </c>
      <c r="D132" s="21" t="s">
        <v>944</v>
      </c>
      <c r="E132" s="34" t="s">
        <v>185</v>
      </c>
      <c r="F132" s="11"/>
      <c r="G132" s="11"/>
      <c r="H132" s="11"/>
      <c r="I132" s="11"/>
      <c r="J132" s="11"/>
      <c r="K132" s="11">
        <f>K133</f>
        <v>63.6</v>
      </c>
      <c r="L132" s="11">
        <f t="shared" si="78"/>
        <v>0</v>
      </c>
      <c r="M132" s="7">
        <f t="shared" si="47"/>
        <v>0</v>
      </c>
    </row>
    <row r="133" spans="1:13" ht="47.25">
      <c r="A133" s="26" t="s">
        <v>186</v>
      </c>
      <c r="B133" s="21" t="s">
        <v>171</v>
      </c>
      <c r="C133" s="21" t="s">
        <v>193</v>
      </c>
      <c r="D133" s="21" t="s">
        <v>944</v>
      </c>
      <c r="E133" s="34" t="s">
        <v>187</v>
      </c>
      <c r="F133" s="11"/>
      <c r="G133" s="11"/>
      <c r="H133" s="11"/>
      <c r="I133" s="11"/>
      <c r="J133" s="11"/>
      <c r="K133" s="11">
        <f>'Прил.№4 ведомств.'!M1092</f>
        <v>63.6</v>
      </c>
      <c r="L133" s="11">
        <f>'Прил.№4 ведомств.'!N1092</f>
        <v>0</v>
      </c>
      <c r="M133" s="7">
        <f t="shared" si="47"/>
        <v>0</v>
      </c>
    </row>
    <row r="134" spans="1:13" ht="33.75" customHeight="1">
      <c r="A134" s="264" t="s">
        <v>942</v>
      </c>
      <c r="B134" s="21" t="s">
        <v>171</v>
      </c>
      <c r="C134" s="21" t="s">
        <v>193</v>
      </c>
      <c r="D134" s="21" t="s">
        <v>941</v>
      </c>
      <c r="E134" s="34"/>
      <c r="F134" s="11">
        <f>F135</f>
        <v>0</v>
      </c>
      <c r="G134" s="11">
        <f t="shared" ref="G134:L135" si="79">G135</f>
        <v>0</v>
      </c>
      <c r="H134" s="11">
        <f t="shared" si="79"/>
        <v>0</v>
      </c>
      <c r="I134" s="11">
        <f t="shared" si="79"/>
        <v>0</v>
      </c>
      <c r="J134" s="11">
        <f t="shared" si="79"/>
        <v>0</v>
      </c>
      <c r="K134" s="11">
        <f t="shared" si="79"/>
        <v>15</v>
      </c>
      <c r="L134" s="11">
        <f t="shared" si="79"/>
        <v>0</v>
      </c>
      <c r="M134" s="7">
        <f t="shared" si="47"/>
        <v>0</v>
      </c>
    </row>
    <row r="135" spans="1:13" ht="31.5" customHeight="1">
      <c r="A135" s="26" t="s">
        <v>184</v>
      </c>
      <c r="B135" s="21" t="s">
        <v>171</v>
      </c>
      <c r="C135" s="21" t="s">
        <v>193</v>
      </c>
      <c r="D135" s="21" t="s">
        <v>941</v>
      </c>
      <c r="E135" s="34" t="s">
        <v>185</v>
      </c>
      <c r="F135" s="11">
        <f>F136</f>
        <v>0</v>
      </c>
      <c r="G135" s="11">
        <f t="shared" si="79"/>
        <v>0</v>
      </c>
      <c r="H135" s="11">
        <f t="shared" si="79"/>
        <v>0</v>
      </c>
      <c r="I135" s="11">
        <f t="shared" si="79"/>
        <v>0</v>
      </c>
      <c r="J135" s="11">
        <f t="shared" si="79"/>
        <v>0</v>
      </c>
      <c r="K135" s="11">
        <f t="shared" si="79"/>
        <v>15</v>
      </c>
      <c r="L135" s="11">
        <f t="shared" si="79"/>
        <v>0</v>
      </c>
      <c r="M135" s="7">
        <f t="shared" si="47"/>
        <v>0</v>
      </c>
    </row>
    <row r="136" spans="1:13" ht="47.25" customHeight="1">
      <c r="A136" s="26" t="s">
        <v>186</v>
      </c>
      <c r="B136" s="21" t="s">
        <v>171</v>
      </c>
      <c r="C136" s="21" t="s">
        <v>193</v>
      </c>
      <c r="D136" s="21" t="s">
        <v>941</v>
      </c>
      <c r="E136" s="34" t="s">
        <v>187</v>
      </c>
      <c r="F136" s="11">
        <f>'Прил.№4 ведомств.'!G103</f>
        <v>0</v>
      </c>
      <c r="G136" s="11">
        <f>'Прил.№4 ведомств.'!I103</f>
        <v>0</v>
      </c>
      <c r="H136" s="11">
        <f>'Прил.№4 ведомств.'!J103</f>
        <v>0</v>
      </c>
      <c r="I136" s="11">
        <f>'Прил.№4 ведомств.'!K103</f>
        <v>0</v>
      </c>
      <c r="J136" s="11">
        <f>'Прил.№4 ведомств.'!L103</f>
        <v>0</v>
      </c>
      <c r="K136" s="11">
        <f>'Прил.№4 ведомств.'!M106</f>
        <v>15</v>
      </c>
      <c r="L136" s="11">
        <f>'Прил.№4 ведомств.'!N106</f>
        <v>0</v>
      </c>
      <c r="M136" s="7">
        <f t="shared" si="47"/>
        <v>0</v>
      </c>
    </row>
    <row r="137" spans="1:13" ht="47.25">
      <c r="A137" s="26" t="s">
        <v>957</v>
      </c>
      <c r="B137" s="21" t="s">
        <v>171</v>
      </c>
      <c r="C137" s="21" t="s">
        <v>193</v>
      </c>
      <c r="D137" s="21" t="s">
        <v>958</v>
      </c>
      <c r="E137" s="34"/>
      <c r="F137" s="11"/>
      <c r="G137" s="11"/>
      <c r="H137" s="11"/>
      <c r="I137" s="11"/>
      <c r="J137" s="11"/>
      <c r="K137" s="11">
        <f>K138</f>
        <v>3850.6</v>
      </c>
      <c r="L137" s="11">
        <f t="shared" ref="L137:L138" si="80">L138</f>
        <v>913.5</v>
      </c>
      <c r="M137" s="7">
        <f t="shared" si="47"/>
        <v>23.723575546668052</v>
      </c>
    </row>
    <row r="138" spans="1:13" ht="47.25">
      <c r="A138" s="110" t="s">
        <v>325</v>
      </c>
      <c r="B138" s="21" t="s">
        <v>171</v>
      </c>
      <c r="C138" s="21" t="s">
        <v>193</v>
      </c>
      <c r="D138" s="21" t="s">
        <v>958</v>
      </c>
      <c r="E138" s="34" t="s">
        <v>326</v>
      </c>
      <c r="F138" s="11"/>
      <c r="G138" s="11"/>
      <c r="H138" s="11"/>
      <c r="I138" s="11"/>
      <c r="J138" s="11"/>
      <c r="K138" s="11">
        <f>K139</f>
        <v>3850.6</v>
      </c>
      <c r="L138" s="11">
        <f t="shared" si="80"/>
        <v>913.5</v>
      </c>
      <c r="M138" s="7">
        <f t="shared" si="47"/>
        <v>23.723575546668052</v>
      </c>
    </row>
    <row r="139" spans="1:13" ht="15.75">
      <c r="A139" s="210" t="s">
        <v>327</v>
      </c>
      <c r="B139" s="21" t="s">
        <v>171</v>
      </c>
      <c r="C139" s="21" t="s">
        <v>193</v>
      </c>
      <c r="D139" s="21" t="s">
        <v>958</v>
      </c>
      <c r="E139" s="34" t="s">
        <v>328</v>
      </c>
      <c r="F139" s="11"/>
      <c r="G139" s="11"/>
      <c r="H139" s="11"/>
      <c r="I139" s="11"/>
      <c r="J139" s="11"/>
      <c r="K139" s="11">
        <f>'Прил.№4 ведомств.'!M282+'Прил.№4 ведомств.'!M589+'Прил.№4 ведомств.'!M775</f>
        <v>3850.6</v>
      </c>
      <c r="L139" s="11">
        <f>'Прил.№4 ведомств.'!N282+'Прил.№4 ведомств.'!N589+'Прил.№4 ведомств.'!N775</f>
        <v>913.5</v>
      </c>
      <c r="M139" s="7">
        <f t="shared" si="47"/>
        <v>23.723575546668052</v>
      </c>
    </row>
    <row r="140" spans="1:13" ht="63">
      <c r="A140" s="210" t="s">
        <v>961</v>
      </c>
      <c r="B140" s="21" t="s">
        <v>171</v>
      </c>
      <c r="C140" s="21" t="s">
        <v>193</v>
      </c>
      <c r="D140" s="21" t="s">
        <v>966</v>
      </c>
      <c r="E140" s="34"/>
      <c r="F140" s="11"/>
      <c r="G140" s="11"/>
      <c r="H140" s="11"/>
      <c r="I140" s="11"/>
      <c r="J140" s="11"/>
      <c r="K140" s="11">
        <f>K141</f>
        <v>200</v>
      </c>
      <c r="L140" s="11">
        <f t="shared" ref="L140:L142" si="81">L141</f>
        <v>0</v>
      </c>
      <c r="M140" s="7">
        <f t="shared" si="47"/>
        <v>0</v>
      </c>
    </row>
    <row r="141" spans="1:13" ht="31.5">
      <c r="A141" s="210" t="s">
        <v>810</v>
      </c>
      <c r="B141" s="21" t="s">
        <v>171</v>
      </c>
      <c r="C141" s="21" t="s">
        <v>193</v>
      </c>
      <c r="D141" s="21" t="s">
        <v>962</v>
      </c>
      <c r="E141" s="34"/>
      <c r="F141" s="11"/>
      <c r="G141" s="11"/>
      <c r="H141" s="11"/>
      <c r="I141" s="11"/>
      <c r="J141" s="11"/>
      <c r="K141" s="11">
        <f>K142</f>
        <v>200</v>
      </c>
      <c r="L141" s="11">
        <f t="shared" si="81"/>
        <v>0</v>
      </c>
      <c r="M141" s="7">
        <f t="shared" ref="M141:M204" si="82">L141/K141*100</f>
        <v>0</v>
      </c>
    </row>
    <row r="142" spans="1:13" ht="31.5">
      <c r="A142" s="210" t="s">
        <v>184</v>
      </c>
      <c r="B142" s="21" t="s">
        <v>171</v>
      </c>
      <c r="C142" s="21" t="s">
        <v>193</v>
      </c>
      <c r="D142" s="21" t="s">
        <v>962</v>
      </c>
      <c r="E142" s="34" t="s">
        <v>185</v>
      </c>
      <c r="F142" s="11"/>
      <c r="G142" s="11"/>
      <c r="H142" s="11"/>
      <c r="I142" s="11"/>
      <c r="J142" s="11"/>
      <c r="K142" s="11">
        <f>K143</f>
        <v>200</v>
      </c>
      <c r="L142" s="11">
        <f t="shared" si="81"/>
        <v>0</v>
      </c>
      <c r="M142" s="7">
        <f t="shared" si="82"/>
        <v>0</v>
      </c>
    </row>
    <row r="143" spans="1:13" ht="47.25">
      <c r="A143" s="210" t="s">
        <v>186</v>
      </c>
      <c r="B143" s="21" t="s">
        <v>171</v>
      </c>
      <c r="C143" s="21" t="s">
        <v>193</v>
      </c>
      <c r="D143" s="21" t="s">
        <v>962</v>
      </c>
      <c r="E143" s="34" t="s">
        <v>187</v>
      </c>
      <c r="F143" s="11"/>
      <c r="G143" s="11"/>
      <c r="H143" s="11"/>
      <c r="I143" s="11"/>
      <c r="J143" s="11"/>
      <c r="K143" s="11">
        <f>'Прил.№4 ведомств.'!M544</f>
        <v>200</v>
      </c>
      <c r="L143" s="11">
        <f>'Прил.№4 ведомств.'!N544</f>
        <v>0</v>
      </c>
      <c r="M143" s="7">
        <f t="shared" si="82"/>
        <v>0</v>
      </c>
    </row>
    <row r="144" spans="1:13" ht="15.75">
      <c r="A144" s="31" t="s">
        <v>174</v>
      </c>
      <c r="B144" s="42" t="s">
        <v>171</v>
      </c>
      <c r="C144" s="42" t="s">
        <v>193</v>
      </c>
      <c r="D144" s="42" t="s">
        <v>175</v>
      </c>
      <c r="E144" s="42"/>
      <c r="F144" s="7">
        <f t="shared" ref="F144:K144" si="83">F145+F175+F196</f>
        <v>32843.74</v>
      </c>
      <c r="G144" s="7">
        <f t="shared" si="83"/>
        <v>26452.86</v>
      </c>
      <c r="H144" s="7">
        <f t="shared" si="83"/>
        <v>50792.7</v>
      </c>
      <c r="I144" s="7">
        <f t="shared" si="83"/>
        <v>51390.9</v>
      </c>
      <c r="J144" s="7">
        <f t="shared" si="83"/>
        <v>51890.400000000001</v>
      </c>
      <c r="K144" s="7">
        <f t="shared" si="83"/>
        <v>44906</v>
      </c>
      <c r="L144" s="7">
        <f t="shared" ref="L144" si="84">L145+L175+L196</f>
        <v>10388.299999999999</v>
      </c>
      <c r="M144" s="7">
        <f t="shared" si="82"/>
        <v>23.133434284950784</v>
      </c>
    </row>
    <row r="145" spans="1:13" ht="31.5">
      <c r="A145" s="31" t="s">
        <v>238</v>
      </c>
      <c r="B145" s="42" t="s">
        <v>171</v>
      </c>
      <c r="C145" s="42" t="s">
        <v>193</v>
      </c>
      <c r="D145" s="42" t="s">
        <v>239</v>
      </c>
      <c r="E145" s="8"/>
      <c r="F145" s="11">
        <f t="shared" ref="F145:K145" si="85">F151+F162+F165+F170+F146+F159+F156</f>
        <v>3721.5999999999995</v>
      </c>
      <c r="G145" s="11">
        <f t="shared" si="85"/>
        <v>3721.5999999999995</v>
      </c>
      <c r="H145" s="11">
        <f t="shared" si="85"/>
        <v>3632.8999999999996</v>
      </c>
      <c r="I145" s="11">
        <f t="shared" si="85"/>
        <v>3632.8999999999996</v>
      </c>
      <c r="J145" s="11">
        <f t="shared" si="85"/>
        <v>3632.8999999999996</v>
      </c>
      <c r="K145" s="11">
        <f t="shared" si="85"/>
        <v>3678.7</v>
      </c>
      <c r="L145" s="11">
        <f t="shared" ref="L145" si="86">L151+L162+L165+L170+L146+L159+L156</f>
        <v>347.6</v>
      </c>
      <c r="M145" s="7">
        <f t="shared" si="82"/>
        <v>9.4489901323837238</v>
      </c>
    </row>
    <row r="146" spans="1:13" ht="47.25" customHeight="1">
      <c r="A146" s="26" t="s">
        <v>240</v>
      </c>
      <c r="B146" s="42" t="s">
        <v>171</v>
      </c>
      <c r="C146" s="42" t="s">
        <v>193</v>
      </c>
      <c r="D146" s="42" t="s">
        <v>241</v>
      </c>
      <c r="E146" s="8"/>
      <c r="F146" s="11">
        <f>F147+F149</f>
        <v>0</v>
      </c>
      <c r="G146" s="11">
        <f t="shared" ref="G146:K146" si="87">G147+G149</f>
        <v>0</v>
      </c>
      <c r="H146" s="11">
        <f t="shared" si="87"/>
        <v>0</v>
      </c>
      <c r="I146" s="11">
        <f t="shared" si="87"/>
        <v>0</v>
      </c>
      <c r="J146" s="11">
        <f t="shared" si="87"/>
        <v>0</v>
      </c>
      <c r="K146" s="11">
        <f t="shared" si="87"/>
        <v>96.2</v>
      </c>
      <c r="L146" s="11">
        <f t="shared" ref="L146" si="88">L147+L149</f>
        <v>0</v>
      </c>
      <c r="M146" s="7">
        <f t="shared" si="82"/>
        <v>0</v>
      </c>
    </row>
    <row r="147" spans="1:13" ht="78.75" customHeight="1">
      <c r="A147" s="26" t="s">
        <v>180</v>
      </c>
      <c r="B147" s="42" t="s">
        <v>171</v>
      </c>
      <c r="C147" s="42" t="s">
        <v>193</v>
      </c>
      <c r="D147" s="42" t="s">
        <v>241</v>
      </c>
      <c r="E147" s="42" t="s">
        <v>181</v>
      </c>
      <c r="F147" s="11">
        <f>F148</f>
        <v>0</v>
      </c>
      <c r="G147" s="11">
        <f t="shared" ref="G147:L147" si="89">G148</f>
        <v>0</v>
      </c>
      <c r="H147" s="11">
        <f t="shared" si="89"/>
        <v>0</v>
      </c>
      <c r="I147" s="11">
        <f t="shared" si="89"/>
        <v>0</v>
      </c>
      <c r="J147" s="11">
        <f t="shared" si="89"/>
        <v>0</v>
      </c>
      <c r="K147" s="11">
        <f t="shared" si="89"/>
        <v>96.2</v>
      </c>
      <c r="L147" s="11">
        <f t="shared" si="89"/>
        <v>0</v>
      </c>
      <c r="M147" s="7">
        <f t="shared" si="82"/>
        <v>0</v>
      </c>
    </row>
    <row r="148" spans="1:13" ht="31.5" customHeight="1">
      <c r="A148" s="26" t="s">
        <v>182</v>
      </c>
      <c r="B148" s="42" t="s">
        <v>171</v>
      </c>
      <c r="C148" s="42" t="s">
        <v>193</v>
      </c>
      <c r="D148" s="42" t="s">
        <v>241</v>
      </c>
      <c r="E148" s="42" t="s">
        <v>183</v>
      </c>
      <c r="F148" s="11"/>
      <c r="G148" s="11"/>
      <c r="H148" s="11"/>
      <c r="I148" s="11"/>
      <c r="J148" s="11"/>
      <c r="K148" s="11">
        <f>'Прил.№4 ведомств.'!M111</f>
        <v>96.2</v>
      </c>
      <c r="L148" s="11">
        <f>'Прил.№4 ведомств.'!N111</f>
        <v>0</v>
      </c>
      <c r="M148" s="7">
        <f t="shared" si="82"/>
        <v>0</v>
      </c>
    </row>
    <row r="149" spans="1:13" ht="31.5" hidden="1" customHeight="1">
      <c r="A149" s="26" t="s">
        <v>184</v>
      </c>
      <c r="B149" s="42" t="s">
        <v>171</v>
      </c>
      <c r="C149" s="42" t="s">
        <v>193</v>
      </c>
      <c r="D149" s="42" t="s">
        <v>241</v>
      </c>
      <c r="E149" s="42" t="s">
        <v>185</v>
      </c>
      <c r="F149" s="11">
        <f>F150</f>
        <v>0</v>
      </c>
      <c r="G149" s="11">
        <f t="shared" ref="G149:L149" si="90">G150</f>
        <v>0</v>
      </c>
      <c r="H149" s="11">
        <f t="shared" si="90"/>
        <v>0</v>
      </c>
      <c r="I149" s="11">
        <f t="shared" si="90"/>
        <v>0</v>
      </c>
      <c r="J149" s="11">
        <f t="shared" si="90"/>
        <v>0</v>
      </c>
      <c r="K149" s="11">
        <f t="shared" si="90"/>
        <v>0</v>
      </c>
      <c r="L149" s="11">
        <f t="shared" si="90"/>
        <v>0</v>
      </c>
      <c r="M149" s="7" t="e">
        <f t="shared" si="82"/>
        <v>#DIV/0!</v>
      </c>
    </row>
    <row r="150" spans="1:13" ht="47.25" hidden="1" customHeight="1">
      <c r="A150" s="26" t="s">
        <v>186</v>
      </c>
      <c r="B150" s="42" t="s">
        <v>171</v>
      </c>
      <c r="C150" s="42" t="s">
        <v>193</v>
      </c>
      <c r="D150" s="42" t="s">
        <v>241</v>
      </c>
      <c r="E150" s="42" t="s">
        <v>187</v>
      </c>
      <c r="F150" s="11"/>
      <c r="G150" s="11"/>
      <c r="H150" s="11"/>
      <c r="I150" s="11"/>
      <c r="J150" s="11"/>
      <c r="K150" s="11"/>
      <c r="L150" s="11"/>
      <c r="M150" s="7" t="e">
        <f t="shared" si="82"/>
        <v>#DIV/0!</v>
      </c>
    </row>
    <row r="151" spans="1:13" ht="47.25">
      <c r="A151" s="47" t="s">
        <v>242</v>
      </c>
      <c r="B151" s="42" t="s">
        <v>171</v>
      </c>
      <c r="C151" s="42" t="s">
        <v>193</v>
      </c>
      <c r="D151" s="42" t="s">
        <v>243</v>
      </c>
      <c r="E151" s="42"/>
      <c r="F151" s="7">
        <f>F152</f>
        <v>701.8</v>
      </c>
      <c r="G151" s="7">
        <f t="shared" ref="G151:L152" si="91">G152</f>
        <v>701.8</v>
      </c>
      <c r="H151" s="7">
        <f t="shared" si="91"/>
        <v>701.8</v>
      </c>
      <c r="I151" s="7">
        <f t="shared" si="91"/>
        <v>701.8</v>
      </c>
      <c r="J151" s="7">
        <f t="shared" si="91"/>
        <v>701.8</v>
      </c>
      <c r="K151" s="7">
        <f>K152+K154</f>
        <v>673.40000000000009</v>
      </c>
      <c r="L151" s="7">
        <f t="shared" ref="L151" si="92">L152+L154</f>
        <v>23.3</v>
      </c>
      <c r="M151" s="7">
        <f t="shared" si="82"/>
        <v>3.4600534600534596</v>
      </c>
    </row>
    <row r="152" spans="1:13" ht="78.75">
      <c r="A152" s="31" t="s">
        <v>180</v>
      </c>
      <c r="B152" s="42" t="s">
        <v>171</v>
      </c>
      <c r="C152" s="42" t="s">
        <v>193</v>
      </c>
      <c r="D152" s="42" t="s">
        <v>243</v>
      </c>
      <c r="E152" s="42" t="s">
        <v>181</v>
      </c>
      <c r="F152" s="7">
        <f>F153</f>
        <v>701.8</v>
      </c>
      <c r="G152" s="7">
        <f t="shared" si="91"/>
        <v>701.8</v>
      </c>
      <c r="H152" s="7">
        <f t="shared" si="91"/>
        <v>701.8</v>
      </c>
      <c r="I152" s="7">
        <f t="shared" si="91"/>
        <v>701.8</v>
      </c>
      <c r="J152" s="7">
        <f t="shared" si="91"/>
        <v>701.8</v>
      </c>
      <c r="K152" s="7">
        <f t="shared" si="91"/>
        <v>471.1</v>
      </c>
      <c r="L152" s="7">
        <f t="shared" si="91"/>
        <v>23.3</v>
      </c>
      <c r="M152" s="7">
        <f t="shared" si="82"/>
        <v>4.9458713648906816</v>
      </c>
    </row>
    <row r="153" spans="1:13" ht="31.5">
      <c r="A153" s="31" t="s">
        <v>182</v>
      </c>
      <c r="B153" s="42" t="s">
        <v>171</v>
      </c>
      <c r="C153" s="42" t="s">
        <v>193</v>
      </c>
      <c r="D153" s="42" t="s">
        <v>243</v>
      </c>
      <c r="E153" s="42" t="s">
        <v>183</v>
      </c>
      <c r="F153" s="7">
        <f>'Прил.№4 ведомств.'!G116</f>
        <v>701.8</v>
      </c>
      <c r="G153" s="7">
        <f>'Прил.№4 ведомств.'!I116</f>
        <v>701.8</v>
      </c>
      <c r="H153" s="7">
        <f>'Прил.№4 ведомств.'!J116</f>
        <v>701.8</v>
      </c>
      <c r="I153" s="7">
        <f>'Прил.№4 ведомств.'!K116</f>
        <v>701.8</v>
      </c>
      <c r="J153" s="7">
        <f>'Прил.№4 ведомств.'!L116</f>
        <v>701.8</v>
      </c>
      <c r="K153" s="7">
        <f>'Прил.№4 ведомств.'!M116</f>
        <v>471.1</v>
      </c>
      <c r="L153" s="7">
        <f>'Прил.№4 ведомств.'!N116</f>
        <v>23.3</v>
      </c>
      <c r="M153" s="7">
        <f t="shared" si="82"/>
        <v>4.9458713648906816</v>
      </c>
    </row>
    <row r="154" spans="1:13" ht="31.5">
      <c r="A154" s="26" t="s">
        <v>184</v>
      </c>
      <c r="B154" s="42" t="s">
        <v>171</v>
      </c>
      <c r="C154" s="42" t="s">
        <v>193</v>
      </c>
      <c r="D154" s="42" t="s">
        <v>243</v>
      </c>
      <c r="E154" s="42" t="s">
        <v>185</v>
      </c>
      <c r="F154" s="7"/>
      <c r="G154" s="7"/>
      <c r="H154" s="7"/>
      <c r="I154" s="7"/>
      <c r="J154" s="7"/>
      <c r="K154" s="7">
        <f>K155</f>
        <v>202.3</v>
      </c>
      <c r="L154" s="7">
        <f t="shared" ref="L154" si="93">L155</f>
        <v>0</v>
      </c>
      <c r="M154" s="7">
        <f t="shared" si="82"/>
        <v>0</v>
      </c>
    </row>
    <row r="155" spans="1:13" ht="47.25">
      <c r="A155" s="26" t="s">
        <v>186</v>
      </c>
      <c r="B155" s="42" t="s">
        <v>171</v>
      </c>
      <c r="C155" s="42" t="s">
        <v>193</v>
      </c>
      <c r="D155" s="42" t="s">
        <v>243</v>
      </c>
      <c r="E155" s="42" t="s">
        <v>187</v>
      </c>
      <c r="F155" s="7"/>
      <c r="G155" s="7"/>
      <c r="H155" s="7"/>
      <c r="I155" s="7"/>
      <c r="J155" s="7"/>
      <c r="K155" s="7">
        <f>'Прил.№4 ведомств.'!M118</f>
        <v>202.3</v>
      </c>
      <c r="L155" s="7">
        <f>'Прил.№4 ведомств.'!N118</f>
        <v>0</v>
      </c>
      <c r="M155" s="7">
        <f t="shared" si="82"/>
        <v>0</v>
      </c>
    </row>
    <row r="156" spans="1:13" ht="47.25" hidden="1">
      <c r="A156" s="37" t="s">
        <v>839</v>
      </c>
      <c r="B156" s="42" t="s">
        <v>171</v>
      </c>
      <c r="C156" s="42" t="s">
        <v>193</v>
      </c>
      <c r="D156" s="42" t="s">
        <v>838</v>
      </c>
      <c r="E156" s="42"/>
      <c r="F156" s="7">
        <f>F157</f>
        <v>88.7</v>
      </c>
      <c r="G156" s="7">
        <f t="shared" ref="G156:L157" si="94">G157</f>
        <v>88.7</v>
      </c>
      <c r="H156" s="7">
        <f t="shared" si="94"/>
        <v>0</v>
      </c>
      <c r="I156" s="7">
        <f t="shared" si="94"/>
        <v>0</v>
      </c>
      <c r="J156" s="7">
        <f t="shared" si="94"/>
        <v>0</v>
      </c>
      <c r="K156" s="7">
        <f t="shared" si="94"/>
        <v>0</v>
      </c>
      <c r="L156" s="7">
        <f t="shared" si="94"/>
        <v>0</v>
      </c>
      <c r="M156" s="7" t="e">
        <f t="shared" si="82"/>
        <v>#DIV/0!</v>
      </c>
    </row>
    <row r="157" spans="1:13" ht="31.5" hidden="1">
      <c r="A157" s="26" t="s">
        <v>184</v>
      </c>
      <c r="B157" s="42" t="s">
        <v>171</v>
      </c>
      <c r="C157" s="42" t="s">
        <v>193</v>
      </c>
      <c r="D157" s="42" t="s">
        <v>838</v>
      </c>
      <c r="E157" s="42" t="s">
        <v>185</v>
      </c>
      <c r="F157" s="7">
        <f>F158</f>
        <v>88.7</v>
      </c>
      <c r="G157" s="7">
        <f t="shared" si="94"/>
        <v>88.7</v>
      </c>
      <c r="H157" s="7">
        <f t="shared" si="94"/>
        <v>0</v>
      </c>
      <c r="I157" s="7">
        <f t="shared" si="94"/>
        <v>0</v>
      </c>
      <c r="J157" s="7">
        <f t="shared" si="94"/>
        <v>0</v>
      </c>
      <c r="K157" s="7">
        <f t="shared" si="94"/>
        <v>0</v>
      </c>
      <c r="L157" s="7">
        <f t="shared" si="94"/>
        <v>0</v>
      </c>
      <c r="M157" s="7" t="e">
        <f t="shared" si="82"/>
        <v>#DIV/0!</v>
      </c>
    </row>
    <row r="158" spans="1:13" ht="47.25" hidden="1">
      <c r="A158" s="26" t="s">
        <v>186</v>
      </c>
      <c r="B158" s="42" t="s">
        <v>171</v>
      </c>
      <c r="C158" s="42" t="s">
        <v>193</v>
      </c>
      <c r="D158" s="42" t="s">
        <v>838</v>
      </c>
      <c r="E158" s="42" t="s">
        <v>187</v>
      </c>
      <c r="F158" s="7">
        <f>'Прил.№4 ведомств.'!G275</f>
        <v>88.7</v>
      </c>
      <c r="G158" s="7">
        <f>'Прил.№4 ведомств.'!I275</f>
        <v>88.7</v>
      </c>
      <c r="H158" s="7">
        <f>'Прил.№4 ведомств.'!J275</f>
        <v>0</v>
      </c>
      <c r="I158" s="7">
        <f>'Прил.№4 ведомств.'!K275</f>
        <v>0</v>
      </c>
      <c r="J158" s="7">
        <f>'Прил.№4 ведомств.'!L275</f>
        <v>0</v>
      </c>
      <c r="K158" s="7">
        <f>'Прил.№4 ведомств.'!M275</f>
        <v>0</v>
      </c>
      <c r="L158" s="7">
        <f>'Прил.№4 ведомств.'!N275</f>
        <v>0</v>
      </c>
      <c r="M158" s="7" t="e">
        <f t="shared" si="82"/>
        <v>#DIV/0!</v>
      </c>
    </row>
    <row r="159" spans="1:13" ht="63">
      <c r="A159" s="33" t="s">
        <v>779</v>
      </c>
      <c r="B159" s="42" t="s">
        <v>171</v>
      </c>
      <c r="C159" s="42" t="s">
        <v>193</v>
      </c>
      <c r="D159" s="21" t="s">
        <v>781</v>
      </c>
      <c r="E159" s="42"/>
      <c r="F159" s="7">
        <f>F160</f>
        <v>32</v>
      </c>
      <c r="G159" s="7">
        <f t="shared" ref="G159:L160" si="95">G160</f>
        <v>32</v>
      </c>
      <c r="H159" s="7">
        <f t="shared" si="95"/>
        <v>32</v>
      </c>
      <c r="I159" s="7">
        <f t="shared" si="95"/>
        <v>32</v>
      </c>
      <c r="J159" s="7">
        <f t="shared" si="95"/>
        <v>32</v>
      </c>
      <c r="K159" s="7">
        <f t="shared" si="95"/>
        <v>50</v>
      </c>
      <c r="L159" s="7">
        <f t="shared" si="95"/>
        <v>0</v>
      </c>
      <c r="M159" s="7">
        <f t="shared" si="82"/>
        <v>0</v>
      </c>
    </row>
    <row r="160" spans="1:13" ht="31.5">
      <c r="A160" s="26" t="s">
        <v>184</v>
      </c>
      <c r="B160" s="42" t="s">
        <v>171</v>
      </c>
      <c r="C160" s="42" t="s">
        <v>193</v>
      </c>
      <c r="D160" s="21" t="s">
        <v>781</v>
      </c>
      <c r="E160" s="42" t="s">
        <v>185</v>
      </c>
      <c r="F160" s="7">
        <f>F161</f>
        <v>32</v>
      </c>
      <c r="G160" s="7">
        <f t="shared" si="95"/>
        <v>32</v>
      </c>
      <c r="H160" s="7">
        <f t="shared" si="95"/>
        <v>32</v>
      </c>
      <c r="I160" s="7">
        <f t="shared" si="95"/>
        <v>32</v>
      </c>
      <c r="J160" s="7">
        <f t="shared" si="95"/>
        <v>32</v>
      </c>
      <c r="K160" s="7">
        <f t="shared" si="95"/>
        <v>50</v>
      </c>
      <c r="L160" s="7">
        <f t="shared" si="95"/>
        <v>0</v>
      </c>
      <c r="M160" s="7">
        <f t="shared" si="82"/>
        <v>0</v>
      </c>
    </row>
    <row r="161" spans="1:13" ht="47.25">
      <c r="A161" s="26" t="s">
        <v>186</v>
      </c>
      <c r="B161" s="42" t="s">
        <v>171</v>
      </c>
      <c r="C161" s="42" t="s">
        <v>193</v>
      </c>
      <c r="D161" s="21" t="s">
        <v>781</v>
      </c>
      <c r="E161" s="42" t="s">
        <v>187</v>
      </c>
      <c r="F161" s="7">
        <f>'Прил.№4 ведомств.'!G1085</f>
        <v>32</v>
      </c>
      <c r="G161" s="7">
        <f>'Прил.№4 ведомств.'!I1085</f>
        <v>32</v>
      </c>
      <c r="H161" s="7">
        <f>'Прил.№4 ведомств.'!J1085</f>
        <v>32</v>
      </c>
      <c r="I161" s="7">
        <f>'Прил.№4 ведомств.'!K1085</f>
        <v>32</v>
      </c>
      <c r="J161" s="7">
        <f>'Прил.№4 ведомств.'!L1085</f>
        <v>32</v>
      </c>
      <c r="K161" s="7">
        <f>'Прил.№4 ведомств.'!M1085</f>
        <v>50</v>
      </c>
      <c r="L161" s="7">
        <f>'Прил.№4 ведомств.'!N1085</f>
        <v>0</v>
      </c>
      <c r="M161" s="7">
        <f t="shared" si="82"/>
        <v>0</v>
      </c>
    </row>
    <row r="162" spans="1:13" ht="47.25" hidden="1">
      <c r="A162" s="35" t="s">
        <v>244</v>
      </c>
      <c r="B162" s="21" t="s">
        <v>171</v>
      </c>
      <c r="C162" s="21" t="s">
        <v>193</v>
      </c>
      <c r="D162" s="21" t="s">
        <v>245</v>
      </c>
      <c r="E162" s="21"/>
      <c r="F162" s="11">
        <f>F163</f>
        <v>40</v>
      </c>
      <c r="G162" s="11">
        <f t="shared" ref="G162:L163" si="96">G163</f>
        <v>40</v>
      </c>
      <c r="H162" s="11">
        <f t="shared" si="96"/>
        <v>40</v>
      </c>
      <c r="I162" s="11">
        <f t="shared" si="96"/>
        <v>40</v>
      </c>
      <c r="J162" s="11">
        <f t="shared" si="96"/>
        <v>40</v>
      </c>
      <c r="K162" s="11">
        <f t="shared" si="96"/>
        <v>0</v>
      </c>
      <c r="L162" s="11">
        <f t="shared" si="96"/>
        <v>0</v>
      </c>
      <c r="M162" s="7" t="e">
        <f t="shared" si="82"/>
        <v>#DIV/0!</v>
      </c>
    </row>
    <row r="163" spans="1:13" ht="31.5" hidden="1">
      <c r="A163" s="26" t="s">
        <v>184</v>
      </c>
      <c r="B163" s="21" t="s">
        <v>171</v>
      </c>
      <c r="C163" s="21" t="s">
        <v>193</v>
      </c>
      <c r="D163" s="21" t="s">
        <v>245</v>
      </c>
      <c r="E163" s="21" t="s">
        <v>185</v>
      </c>
      <c r="F163" s="11">
        <f>F164</f>
        <v>40</v>
      </c>
      <c r="G163" s="11">
        <f t="shared" si="96"/>
        <v>40</v>
      </c>
      <c r="H163" s="11">
        <f t="shared" si="96"/>
        <v>40</v>
      </c>
      <c r="I163" s="11">
        <f t="shared" si="96"/>
        <v>40</v>
      </c>
      <c r="J163" s="11">
        <f t="shared" si="96"/>
        <v>40</v>
      </c>
      <c r="K163" s="11">
        <f t="shared" si="96"/>
        <v>0</v>
      </c>
      <c r="L163" s="11">
        <f t="shared" si="96"/>
        <v>0</v>
      </c>
      <c r="M163" s="7" t="e">
        <f t="shared" si="82"/>
        <v>#DIV/0!</v>
      </c>
    </row>
    <row r="164" spans="1:13" ht="47.25" hidden="1">
      <c r="A164" s="26" t="s">
        <v>186</v>
      </c>
      <c r="B164" s="21" t="s">
        <v>171</v>
      </c>
      <c r="C164" s="21" t="s">
        <v>193</v>
      </c>
      <c r="D164" s="21" t="s">
        <v>245</v>
      </c>
      <c r="E164" s="21" t="s">
        <v>187</v>
      </c>
      <c r="F164" s="11">
        <f>'Прил.№4 ведомств.'!G121</f>
        <v>40</v>
      </c>
      <c r="G164" s="11">
        <f>'Прил.№4 ведомств.'!I121</f>
        <v>40</v>
      </c>
      <c r="H164" s="11">
        <f>'Прил.№4 ведомств.'!J121</f>
        <v>40</v>
      </c>
      <c r="I164" s="11">
        <f>'Прил.№4 ведомств.'!K121</f>
        <v>40</v>
      </c>
      <c r="J164" s="11">
        <f>'Прил.№4 ведомств.'!L121</f>
        <v>40</v>
      </c>
      <c r="K164" s="11">
        <f>'Прил.№4 ведомств.'!M121</f>
        <v>0</v>
      </c>
      <c r="L164" s="11">
        <f>'Прил.№4 ведомств.'!N121</f>
        <v>0</v>
      </c>
      <c r="M164" s="7" t="e">
        <f t="shared" si="82"/>
        <v>#DIV/0!</v>
      </c>
    </row>
    <row r="165" spans="1:13" ht="47.25">
      <c r="A165" s="33" t="s">
        <v>247</v>
      </c>
      <c r="B165" s="42" t="s">
        <v>171</v>
      </c>
      <c r="C165" s="42" t="s">
        <v>193</v>
      </c>
      <c r="D165" s="42" t="s">
        <v>248</v>
      </c>
      <c r="E165" s="42"/>
      <c r="F165" s="7">
        <f>SUM(F166:F166)</f>
        <v>1752.9</v>
      </c>
      <c r="G165" s="7">
        <f t="shared" ref="G165:J165" si="97">SUM(G166:G166)</f>
        <v>1752.9</v>
      </c>
      <c r="H165" s="7">
        <f t="shared" si="97"/>
        <v>1752.9</v>
      </c>
      <c r="I165" s="7">
        <f t="shared" si="97"/>
        <v>1752.9</v>
      </c>
      <c r="J165" s="7">
        <f t="shared" si="97"/>
        <v>1752.9</v>
      </c>
      <c r="K165" s="7">
        <f>K166+K168</f>
        <v>1752.9</v>
      </c>
      <c r="L165" s="7">
        <f t="shared" ref="L165" si="98">L166+L168</f>
        <v>233</v>
      </c>
      <c r="M165" s="7">
        <f t="shared" si="82"/>
        <v>13.292258542985907</v>
      </c>
    </row>
    <row r="166" spans="1:13" ht="78.75">
      <c r="A166" s="31" t="s">
        <v>180</v>
      </c>
      <c r="B166" s="42" t="s">
        <v>171</v>
      </c>
      <c r="C166" s="42" t="s">
        <v>193</v>
      </c>
      <c r="D166" s="42" t="s">
        <v>248</v>
      </c>
      <c r="E166" s="42" t="s">
        <v>181</v>
      </c>
      <c r="F166" s="7">
        <f>F167</f>
        <v>1752.9</v>
      </c>
      <c r="G166" s="7">
        <f t="shared" ref="G166:L166" si="99">G167</f>
        <v>1752.9</v>
      </c>
      <c r="H166" s="7">
        <f t="shared" si="99"/>
        <v>1752.9</v>
      </c>
      <c r="I166" s="7">
        <f t="shared" si="99"/>
        <v>1752.9</v>
      </c>
      <c r="J166" s="7">
        <f t="shared" si="99"/>
        <v>1752.9</v>
      </c>
      <c r="K166" s="7">
        <f t="shared" si="99"/>
        <v>1712.5</v>
      </c>
      <c r="L166" s="7">
        <f t="shared" si="99"/>
        <v>233</v>
      </c>
      <c r="M166" s="7">
        <f t="shared" si="82"/>
        <v>13.605839416058393</v>
      </c>
    </row>
    <row r="167" spans="1:13" ht="31.5">
      <c r="A167" s="31" t="s">
        <v>182</v>
      </c>
      <c r="B167" s="42" t="s">
        <v>171</v>
      </c>
      <c r="C167" s="42" t="s">
        <v>193</v>
      </c>
      <c r="D167" s="42" t="s">
        <v>248</v>
      </c>
      <c r="E167" s="42" t="s">
        <v>183</v>
      </c>
      <c r="F167" s="7">
        <f>'Прил.№4 ведомств.'!G127</f>
        <v>1752.9</v>
      </c>
      <c r="G167" s="7">
        <f>'Прил.№4 ведомств.'!I127</f>
        <v>1752.9</v>
      </c>
      <c r="H167" s="7">
        <f>'Прил.№4 ведомств.'!J127</f>
        <v>1752.9</v>
      </c>
      <c r="I167" s="7">
        <f>'Прил.№4 ведомств.'!K127</f>
        <v>1752.9</v>
      </c>
      <c r="J167" s="7">
        <f>'Прил.№4 ведомств.'!L127</f>
        <v>1752.9</v>
      </c>
      <c r="K167" s="7">
        <f>'Прил.№4 ведомств.'!M127</f>
        <v>1712.5</v>
      </c>
      <c r="L167" s="7">
        <f>'Прил.№4 ведомств.'!N127</f>
        <v>233</v>
      </c>
      <c r="M167" s="7">
        <f t="shared" si="82"/>
        <v>13.605839416058393</v>
      </c>
    </row>
    <row r="168" spans="1:13" ht="31.5">
      <c r="A168" s="26" t="s">
        <v>184</v>
      </c>
      <c r="B168" s="42" t="s">
        <v>171</v>
      </c>
      <c r="C168" s="42" t="s">
        <v>193</v>
      </c>
      <c r="D168" s="42" t="s">
        <v>248</v>
      </c>
      <c r="E168" s="42" t="s">
        <v>185</v>
      </c>
      <c r="F168" s="7"/>
      <c r="G168" s="7"/>
      <c r="H168" s="7"/>
      <c r="I168" s="7"/>
      <c r="J168" s="7"/>
      <c r="K168" s="7">
        <f>K169</f>
        <v>40.400000000000006</v>
      </c>
      <c r="L168" s="7">
        <f t="shared" ref="L168" si="100">L169</f>
        <v>0</v>
      </c>
      <c r="M168" s="7">
        <f t="shared" si="82"/>
        <v>0</v>
      </c>
    </row>
    <row r="169" spans="1:13" ht="47.25">
      <c r="A169" s="26" t="s">
        <v>186</v>
      </c>
      <c r="B169" s="42" t="s">
        <v>171</v>
      </c>
      <c r="C169" s="42" t="s">
        <v>193</v>
      </c>
      <c r="D169" s="42" t="s">
        <v>248</v>
      </c>
      <c r="E169" s="42" t="s">
        <v>187</v>
      </c>
      <c r="F169" s="7"/>
      <c r="G169" s="7"/>
      <c r="H169" s="7"/>
      <c r="I169" s="7"/>
      <c r="J169" s="7"/>
      <c r="K169" s="7">
        <f>'Прил.№4 ведомств.'!M129</f>
        <v>40.400000000000006</v>
      </c>
      <c r="L169" s="7">
        <f>'Прил.№4 ведомств.'!N129</f>
        <v>0</v>
      </c>
      <c r="M169" s="7">
        <f t="shared" si="82"/>
        <v>0</v>
      </c>
    </row>
    <row r="170" spans="1:13" ht="47.25">
      <c r="A170" s="47" t="s">
        <v>249</v>
      </c>
      <c r="B170" s="42" t="s">
        <v>171</v>
      </c>
      <c r="C170" s="42" t="s">
        <v>193</v>
      </c>
      <c r="D170" s="42" t="s">
        <v>250</v>
      </c>
      <c r="E170" s="42"/>
      <c r="F170" s="7">
        <f>F171+F173</f>
        <v>1106.1999999999998</v>
      </c>
      <c r="G170" s="7">
        <f t="shared" ref="G170:K170" si="101">G171+G173</f>
        <v>1106.1999999999998</v>
      </c>
      <c r="H170" s="7">
        <f t="shared" si="101"/>
        <v>1106.1999999999998</v>
      </c>
      <c r="I170" s="7">
        <f t="shared" si="101"/>
        <v>1106.1999999999998</v>
      </c>
      <c r="J170" s="7">
        <f t="shared" si="101"/>
        <v>1106.1999999999998</v>
      </c>
      <c r="K170" s="7">
        <f t="shared" si="101"/>
        <v>1106.2</v>
      </c>
      <c r="L170" s="7">
        <f t="shared" ref="L170" si="102">L171+L173</f>
        <v>91.3</v>
      </c>
      <c r="M170" s="7">
        <f t="shared" si="82"/>
        <v>8.2534803832941588</v>
      </c>
    </row>
    <row r="171" spans="1:13" ht="78.75">
      <c r="A171" s="31" t="s">
        <v>180</v>
      </c>
      <c r="B171" s="42" t="s">
        <v>171</v>
      </c>
      <c r="C171" s="42" t="s">
        <v>193</v>
      </c>
      <c r="D171" s="42" t="s">
        <v>250</v>
      </c>
      <c r="E171" s="42" t="s">
        <v>181</v>
      </c>
      <c r="F171" s="7">
        <f>F172</f>
        <v>1073.0999999999999</v>
      </c>
      <c r="G171" s="7">
        <f t="shared" ref="G171:L171" si="103">G172</f>
        <v>1073.0999999999999</v>
      </c>
      <c r="H171" s="7">
        <f t="shared" si="103"/>
        <v>1073.0999999999999</v>
      </c>
      <c r="I171" s="7">
        <f t="shared" si="103"/>
        <v>1073.0999999999999</v>
      </c>
      <c r="J171" s="7">
        <f t="shared" si="103"/>
        <v>1073.0999999999999</v>
      </c>
      <c r="K171" s="7">
        <f t="shared" si="103"/>
        <v>1025.5</v>
      </c>
      <c r="L171" s="7">
        <f t="shared" si="103"/>
        <v>91.3</v>
      </c>
      <c r="M171" s="7">
        <f t="shared" si="82"/>
        <v>8.9029741589468561</v>
      </c>
    </row>
    <row r="172" spans="1:13" ht="31.5">
      <c r="A172" s="31" t="s">
        <v>182</v>
      </c>
      <c r="B172" s="42" t="s">
        <v>171</v>
      </c>
      <c r="C172" s="42" t="s">
        <v>193</v>
      </c>
      <c r="D172" s="42" t="s">
        <v>250</v>
      </c>
      <c r="E172" s="42" t="s">
        <v>183</v>
      </c>
      <c r="F172" s="7">
        <f>'Прил.№4 ведомств.'!G132</f>
        <v>1073.0999999999999</v>
      </c>
      <c r="G172" s="7">
        <f>'Прил.№4 ведомств.'!I132</f>
        <v>1073.0999999999999</v>
      </c>
      <c r="H172" s="7">
        <f>'Прил.№4 ведомств.'!J132</f>
        <v>1073.0999999999999</v>
      </c>
      <c r="I172" s="7">
        <f>'Прил.№4 ведомств.'!K132</f>
        <v>1073.0999999999999</v>
      </c>
      <c r="J172" s="7">
        <f>'Прил.№4 ведомств.'!L132</f>
        <v>1073.0999999999999</v>
      </c>
      <c r="K172" s="7">
        <f>'Прил.№4 ведомств.'!M132</f>
        <v>1025.5</v>
      </c>
      <c r="L172" s="7">
        <f>'Прил.№4 ведомств.'!N132</f>
        <v>91.3</v>
      </c>
      <c r="M172" s="7">
        <f t="shared" si="82"/>
        <v>8.9029741589468561</v>
      </c>
    </row>
    <row r="173" spans="1:13" ht="31.5">
      <c r="A173" s="31" t="s">
        <v>184</v>
      </c>
      <c r="B173" s="42" t="s">
        <v>171</v>
      </c>
      <c r="C173" s="42" t="s">
        <v>193</v>
      </c>
      <c r="D173" s="42" t="s">
        <v>250</v>
      </c>
      <c r="E173" s="42" t="s">
        <v>185</v>
      </c>
      <c r="F173" s="7">
        <f>F174</f>
        <v>33.1</v>
      </c>
      <c r="G173" s="7">
        <f t="shared" ref="G173:L173" si="104">G174</f>
        <v>33.1</v>
      </c>
      <c r="H173" s="7">
        <f t="shared" si="104"/>
        <v>33.1</v>
      </c>
      <c r="I173" s="7">
        <f t="shared" si="104"/>
        <v>33.1</v>
      </c>
      <c r="J173" s="7">
        <f t="shared" si="104"/>
        <v>33.1</v>
      </c>
      <c r="K173" s="7">
        <f t="shared" si="104"/>
        <v>80.7</v>
      </c>
      <c r="L173" s="7">
        <f t="shared" si="104"/>
        <v>0</v>
      </c>
      <c r="M173" s="7">
        <f t="shared" si="82"/>
        <v>0</v>
      </c>
    </row>
    <row r="174" spans="1:13" ht="47.25">
      <c r="A174" s="31" t="s">
        <v>186</v>
      </c>
      <c r="B174" s="42" t="s">
        <v>171</v>
      </c>
      <c r="C174" s="42" t="s">
        <v>193</v>
      </c>
      <c r="D174" s="42" t="s">
        <v>250</v>
      </c>
      <c r="E174" s="42" t="s">
        <v>187</v>
      </c>
      <c r="F174" s="7">
        <f>'Прил.№4 ведомств.'!G134</f>
        <v>33.1</v>
      </c>
      <c r="G174" s="7">
        <f>'Прил.№4 ведомств.'!I134</f>
        <v>33.1</v>
      </c>
      <c r="H174" s="7">
        <f>'Прил.№4 ведомств.'!J134</f>
        <v>33.1</v>
      </c>
      <c r="I174" s="7">
        <f>'Прил.№4 ведомств.'!K134</f>
        <v>33.1</v>
      </c>
      <c r="J174" s="7">
        <f>'Прил.№4 ведомств.'!L134</f>
        <v>33.1</v>
      </c>
      <c r="K174" s="7">
        <f>'Прил.№4 ведомств.'!M134</f>
        <v>80.7</v>
      </c>
      <c r="L174" s="7">
        <f>'Прил.№4 ведомств.'!N134</f>
        <v>0</v>
      </c>
      <c r="M174" s="7">
        <f t="shared" si="82"/>
        <v>0</v>
      </c>
    </row>
    <row r="175" spans="1:13" ht="15.75">
      <c r="A175" s="31" t="s">
        <v>194</v>
      </c>
      <c r="B175" s="42" t="s">
        <v>171</v>
      </c>
      <c r="C175" s="42" t="s">
        <v>193</v>
      </c>
      <c r="D175" s="42" t="s">
        <v>195</v>
      </c>
      <c r="E175" s="42"/>
      <c r="F175" s="7">
        <f>F176+F179+F182+F187+F192</f>
        <v>12669.839999999998</v>
      </c>
      <c r="G175" s="7">
        <f t="shared" ref="G175:K175" si="105">G176+G179+G182+G187+G192</f>
        <v>12595.74</v>
      </c>
      <c r="H175" s="7">
        <f t="shared" si="105"/>
        <v>13189.3</v>
      </c>
      <c r="I175" s="7">
        <f t="shared" si="105"/>
        <v>13516.099999999999</v>
      </c>
      <c r="J175" s="7">
        <f t="shared" si="105"/>
        <v>13741.5</v>
      </c>
      <c r="K175" s="7">
        <f t="shared" si="105"/>
        <v>10481.200000000001</v>
      </c>
      <c r="L175" s="7">
        <f t="shared" ref="L175" si="106">L176+L179+L182+L187+L192</f>
        <v>1035.1000000000001</v>
      </c>
      <c r="M175" s="7">
        <f t="shared" si="82"/>
        <v>9.875777582719536</v>
      </c>
    </row>
    <row r="176" spans="1:13" ht="47.25">
      <c r="A176" s="31" t="s">
        <v>442</v>
      </c>
      <c r="B176" s="42" t="s">
        <v>171</v>
      </c>
      <c r="C176" s="42" t="s">
        <v>193</v>
      </c>
      <c r="D176" s="42" t="s">
        <v>443</v>
      </c>
      <c r="E176" s="42"/>
      <c r="F176" s="7">
        <f>F177</f>
        <v>3612.94</v>
      </c>
      <c r="G176" s="7">
        <f t="shared" ref="G176:L177" si="107">G177</f>
        <v>3612.94</v>
      </c>
      <c r="H176" s="7">
        <f t="shared" si="107"/>
        <v>3123.5</v>
      </c>
      <c r="I176" s="7">
        <f t="shared" si="107"/>
        <v>3304.4</v>
      </c>
      <c r="J176" s="7">
        <f t="shared" si="107"/>
        <v>3403.5</v>
      </c>
      <c r="K176" s="7">
        <f t="shared" si="107"/>
        <v>4123.5</v>
      </c>
      <c r="L176" s="7">
        <f t="shared" si="107"/>
        <v>78.8</v>
      </c>
      <c r="M176" s="7">
        <f t="shared" si="82"/>
        <v>1.9109979386443554</v>
      </c>
    </row>
    <row r="177" spans="1:13" ht="31.5">
      <c r="A177" s="31" t="s">
        <v>184</v>
      </c>
      <c r="B177" s="42" t="s">
        <v>171</v>
      </c>
      <c r="C177" s="42" t="s">
        <v>193</v>
      </c>
      <c r="D177" s="42" t="s">
        <v>443</v>
      </c>
      <c r="E177" s="42" t="s">
        <v>185</v>
      </c>
      <c r="F177" s="63">
        <f>F178</f>
        <v>3612.94</v>
      </c>
      <c r="G177" s="63">
        <f t="shared" si="107"/>
        <v>3612.94</v>
      </c>
      <c r="H177" s="63">
        <f t="shared" si="107"/>
        <v>3123.5</v>
      </c>
      <c r="I177" s="63">
        <f t="shared" si="107"/>
        <v>3304.4</v>
      </c>
      <c r="J177" s="63">
        <f t="shared" si="107"/>
        <v>3403.5</v>
      </c>
      <c r="K177" s="63">
        <f t="shared" si="107"/>
        <v>4123.5</v>
      </c>
      <c r="L177" s="63">
        <f t="shared" si="107"/>
        <v>78.8</v>
      </c>
      <c r="M177" s="7">
        <f t="shared" si="82"/>
        <v>1.9109979386443554</v>
      </c>
    </row>
    <row r="178" spans="1:13" ht="47.25">
      <c r="A178" s="31" t="s">
        <v>186</v>
      </c>
      <c r="B178" s="42" t="s">
        <v>171</v>
      </c>
      <c r="C178" s="42" t="s">
        <v>193</v>
      </c>
      <c r="D178" s="42" t="s">
        <v>443</v>
      </c>
      <c r="E178" s="42" t="s">
        <v>187</v>
      </c>
      <c r="F178" s="63">
        <f>'Прил.№4 ведомств.'!G549</f>
        <v>3612.94</v>
      </c>
      <c r="G178" s="63">
        <f>'Прил.№4 ведомств.'!I549</f>
        <v>3612.94</v>
      </c>
      <c r="H178" s="63">
        <f>'Прил.№4 ведомств.'!J549</f>
        <v>3123.5</v>
      </c>
      <c r="I178" s="63">
        <f>'Прил.№4 ведомств.'!K549</f>
        <v>3304.4</v>
      </c>
      <c r="J178" s="63">
        <f>'Прил.№4 ведомств.'!L549</f>
        <v>3403.5</v>
      </c>
      <c r="K178" s="63">
        <f>'Прил.№4 ведомств.'!M549</f>
        <v>4123.5</v>
      </c>
      <c r="L178" s="63">
        <f>'Прил.№4 ведомств.'!N549</f>
        <v>78.8</v>
      </c>
      <c r="M178" s="7">
        <f t="shared" si="82"/>
        <v>1.9109979386443554</v>
      </c>
    </row>
    <row r="179" spans="1:13" ht="15.75" hidden="1">
      <c r="A179" s="31" t="s">
        <v>232</v>
      </c>
      <c r="B179" s="42" t="s">
        <v>171</v>
      </c>
      <c r="C179" s="42" t="s">
        <v>193</v>
      </c>
      <c r="D179" s="42" t="s">
        <v>258</v>
      </c>
      <c r="E179" s="42"/>
      <c r="F179" s="7">
        <f>F180</f>
        <v>5</v>
      </c>
      <c r="G179" s="7">
        <f t="shared" ref="G179:L180" si="108">G180</f>
        <v>0</v>
      </c>
      <c r="H179" s="7">
        <f t="shared" si="108"/>
        <v>0</v>
      </c>
      <c r="I179" s="7">
        <f t="shared" si="108"/>
        <v>0</v>
      </c>
      <c r="J179" s="7">
        <f t="shared" si="108"/>
        <v>0</v>
      </c>
      <c r="K179" s="7">
        <f t="shared" si="108"/>
        <v>0</v>
      </c>
      <c r="L179" s="7">
        <f t="shared" si="108"/>
        <v>0</v>
      </c>
      <c r="M179" s="7" t="e">
        <f t="shared" si="82"/>
        <v>#DIV/0!</v>
      </c>
    </row>
    <row r="180" spans="1:13" ht="31.5" hidden="1">
      <c r="A180" s="31" t="s">
        <v>184</v>
      </c>
      <c r="B180" s="42" t="s">
        <v>171</v>
      </c>
      <c r="C180" s="42" t="s">
        <v>193</v>
      </c>
      <c r="D180" s="42" t="s">
        <v>258</v>
      </c>
      <c r="E180" s="42" t="s">
        <v>185</v>
      </c>
      <c r="F180" s="7">
        <f>F181</f>
        <v>5</v>
      </c>
      <c r="G180" s="7">
        <f t="shared" si="108"/>
        <v>0</v>
      </c>
      <c r="H180" s="7">
        <f t="shared" si="108"/>
        <v>0</v>
      </c>
      <c r="I180" s="7">
        <f t="shared" si="108"/>
        <v>0</v>
      </c>
      <c r="J180" s="7">
        <f t="shared" si="108"/>
        <v>0</v>
      </c>
      <c r="K180" s="7">
        <f t="shared" si="108"/>
        <v>0</v>
      </c>
      <c r="L180" s="7">
        <f t="shared" si="108"/>
        <v>0</v>
      </c>
      <c r="M180" s="7" t="e">
        <f t="shared" si="82"/>
        <v>#DIV/0!</v>
      </c>
    </row>
    <row r="181" spans="1:13" ht="47.25" hidden="1">
      <c r="A181" s="31" t="s">
        <v>186</v>
      </c>
      <c r="B181" s="42" t="s">
        <v>171</v>
      </c>
      <c r="C181" s="42" t="s">
        <v>193</v>
      </c>
      <c r="D181" s="42" t="s">
        <v>258</v>
      </c>
      <c r="E181" s="42" t="s">
        <v>187</v>
      </c>
      <c r="F181" s="7">
        <f>'Прил.№4 ведомств.'!G585</f>
        <v>5</v>
      </c>
      <c r="G181" s="7">
        <f>'Прил.№4 ведомств.'!I585</f>
        <v>0</v>
      </c>
      <c r="H181" s="7">
        <f>'Прил.№4 ведомств.'!J585</f>
        <v>0</v>
      </c>
      <c r="I181" s="7">
        <f>'Прил.№4 ведомств.'!K585</f>
        <v>0</v>
      </c>
      <c r="J181" s="7">
        <f>'Прил.№4 ведомств.'!L585</f>
        <v>0</v>
      </c>
      <c r="K181" s="7">
        <f>'Прил.№4 ведомств.'!M585</f>
        <v>0</v>
      </c>
      <c r="L181" s="7">
        <f>'Прил.№4 ведомств.'!N585</f>
        <v>0</v>
      </c>
      <c r="M181" s="7" t="e">
        <f t="shared" si="82"/>
        <v>#DIV/0!</v>
      </c>
    </row>
    <row r="182" spans="1:13" ht="15.75">
      <c r="A182" s="31" t="s">
        <v>259</v>
      </c>
      <c r="B182" s="42" t="s">
        <v>171</v>
      </c>
      <c r="C182" s="42" t="s">
        <v>193</v>
      </c>
      <c r="D182" s="42" t="s">
        <v>260</v>
      </c>
      <c r="E182" s="42"/>
      <c r="F182" s="7">
        <f>F183+F185</f>
        <v>6126.7</v>
      </c>
      <c r="G182" s="7">
        <f t="shared" ref="G182:K182" si="109">G183+G185</f>
        <v>6085.5</v>
      </c>
      <c r="H182" s="7">
        <f t="shared" si="109"/>
        <v>7619.5</v>
      </c>
      <c r="I182" s="7">
        <f t="shared" si="109"/>
        <v>7734.4</v>
      </c>
      <c r="J182" s="7">
        <f t="shared" si="109"/>
        <v>7839.7</v>
      </c>
      <c r="K182" s="7">
        <f t="shared" si="109"/>
        <v>6357.7</v>
      </c>
      <c r="L182" s="7">
        <f t="shared" ref="L182" si="110">L183+L185</f>
        <v>956.30000000000007</v>
      </c>
      <c r="M182" s="7">
        <f t="shared" si="82"/>
        <v>15.041603095459052</v>
      </c>
    </row>
    <row r="183" spans="1:13" ht="78.75">
      <c r="A183" s="31" t="s">
        <v>180</v>
      </c>
      <c r="B183" s="42" t="s">
        <v>171</v>
      </c>
      <c r="C183" s="42" t="s">
        <v>193</v>
      </c>
      <c r="D183" s="42" t="s">
        <v>260</v>
      </c>
      <c r="E183" s="42" t="s">
        <v>181</v>
      </c>
      <c r="F183" s="7">
        <f>F184</f>
        <v>4952</v>
      </c>
      <c r="G183" s="7">
        <f t="shared" ref="G183:L183" si="111">G184</f>
        <v>4952</v>
      </c>
      <c r="H183" s="7">
        <f t="shared" si="111"/>
        <v>6094.8</v>
      </c>
      <c r="I183" s="7">
        <f t="shared" si="111"/>
        <v>6155.8</v>
      </c>
      <c r="J183" s="7">
        <f t="shared" si="111"/>
        <v>6217.4</v>
      </c>
      <c r="K183" s="7">
        <f t="shared" si="111"/>
        <v>5183</v>
      </c>
      <c r="L183" s="7">
        <f t="shared" si="111"/>
        <v>938.2</v>
      </c>
      <c r="M183" s="7">
        <f t="shared" si="82"/>
        <v>18.101485626085278</v>
      </c>
    </row>
    <row r="184" spans="1:13" ht="31.5">
      <c r="A184" s="26" t="s">
        <v>261</v>
      </c>
      <c r="B184" s="42" t="s">
        <v>171</v>
      </c>
      <c r="C184" s="42" t="s">
        <v>193</v>
      </c>
      <c r="D184" s="42" t="s">
        <v>260</v>
      </c>
      <c r="E184" s="42" t="s">
        <v>262</v>
      </c>
      <c r="F184" s="7">
        <f>'Прил.№4 ведомств.'!G150</f>
        <v>4952</v>
      </c>
      <c r="G184" s="7">
        <f>'Прил.№4 ведомств.'!I150</f>
        <v>4952</v>
      </c>
      <c r="H184" s="7">
        <f>'Прил.№4 ведомств.'!J150</f>
        <v>6094.8</v>
      </c>
      <c r="I184" s="7">
        <f>'Прил.№4 ведомств.'!K150</f>
        <v>6155.8</v>
      </c>
      <c r="J184" s="7">
        <f>'Прил.№4 ведомств.'!L150</f>
        <v>6217.4</v>
      </c>
      <c r="K184" s="7">
        <f>'Прил.№4 ведомств.'!M150</f>
        <v>5183</v>
      </c>
      <c r="L184" s="7">
        <f>'Прил.№4 ведомств.'!N150</f>
        <v>938.2</v>
      </c>
      <c r="M184" s="7">
        <f t="shared" si="82"/>
        <v>18.101485626085278</v>
      </c>
    </row>
    <row r="185" spans="1:13" ht="31.5">
      <c r="A185" s="31" t="s">
        <v>184</v>
      </c>
      <c r="B185" s="42" t="s">
        <v>171</v>
      </c>
      <c r="C185" s="42" t="s">
        <v>193</v>
      </c>
      <c r="D185" s="42" t="s">
        <v>260</v>
      </c>
      <c r="E185" s="42" t="s">
        <v>185</v>
      </c>
      <c r="F185" s="63">
        <f>F186</f>
        <v>1174.7</v>
      </c>
      <c r="G185" s="63">
        <f t="shared" ref="G185:L185" si="112">G186</f>
        <v>1133.5</v>
      </c>
      <c r="H185" s="63">
        <f t="shared" si="112"/>
        <v>1524.7</v>
      </c>
      <c r="I185" s="63">
        <f t="shared" si="112"/>
        <v>1578.6</v>
      </c>
      <c r="J185" s="63">
        <f t="shared" si="112"/>
        <v>1622.3</v>
      </c>
      <c r="K185" s="63">
        <f t="shared" si="112"/>
        <v>1174.7</v>
      </c>
      <c r="L185" s="63">
        <f t="shared" si="112"/>
        <v>18.100000000000001</v>
      </c>
      <c r="M185" s="7">
        <f t="shared" si="82"/>
        <v>1.5408189324934027</v>
      </c>
    </row>
    <row r="186" spans="1:13" ht="47.25">
      <c r="A186" s="31" t="s">
        <v>186</v>
      </c>
      <c r="B186" s="42" t="s">
        <v>171</v>
      </c>
      <c r="C186" s="42" t="s">
        <v>193</v>
      </c>
      <c r="D186" s="42" t="s">
        <v>260</v>
      </c>
      <c r="E186" s="42" t="s">
        <v>187</v>
      </c>
      <c r="F186" s="63">
        <f>'Прил.№4 ведомств.'!G152</f>
        <v>1174.7</v>
      </c>
      <c r="G186" s="63">
        <f>'Прил.№4 ведомств.'!I152</f>
        <v>1133.5</v>
      </c>
      <c r="H186" s="63">
        <f>'Прил.№4 ведомств.'!J152</f>
        <v>1524.7</v>
      </c>
      <c r="I186" s="63">
        <f>'Прил.№4 ведомств.'!K152</f>
        <v>1578.6</v>
      </c>
      <c r="J186" s="63">
        <f>'Прил.№4 ведомств.'!L152</f>
        <v>1622.3</v>
      </c>
      <c r="K186" s="63">
        <f>'Прил.№4 ведомств.'!M152</f>
        <v>1174.7</v>
      </c>
      <c r="L186" s="63">
        <f>'Прил.№4 ведомств.'!N152</f>
        <v>18.100000000000001</v>
      </c>
      <c r="M186" s="7">
        <f t="shared" si="82"/>
        <v>1.5408189324934027</v>
      </c>
    </row>
    <row r="187" spans="1:13" ht="47.25" hidden="1">
      <c r="A187" s="31" t="s">
        <v>263</v>
      </c>
      <c r="B187" s="42" t="s">
        <v>171</v>
      </c>
      <c r="C187" s="42" t="s">
        <v>193</v>
      </c>
      <c r="D187" s="42" t="s">
        <v>264</v>
      </c>
      <c r="E187" s="42"/>
      <c r="F187" s="7">
        <f>F188+F190</f>
        <v>2520.4</v>
      </c>
      <c r="G187" s="7">
        <f t="shared" ref="G187:K187" si="113">G188+G190</f>
        <v>2492.5</v>
      </c>
      <c r="H187" s="7">
        <f t="shared" si="113"/>
        <v>2446.3000000000002</v>
      </c>
      <c r="I187" s="7">
        <f t="shared" si="113"/>
        <v>2477.3000000000002</v>
      </c>
      <c r="J187" s="7">
        <f t="shared" si="113"/>
        <v>2498.3000000000002</v>
      </c>
      <c r="K187" s="7">
        <f t="shared" si="113"/>
        <v>0</v>
      </c>
      <c r="L187" s="7">
        <f t="shared" ref="L187" si="114">L188+L190</f>
        <v>0</v>
      </c>
      <c r="M187" s="7" t="e">
        <f t="shared" si="82"/>
        <v>#DIV/0!</v>
      </c>
    </row>
    <row r="188" spans="1:13" ht="78.75" hidden="1">
      <c r="A188" s="31" t="s">
        <v>180</v>
      </c>
      <c r="B188" s="42" t="s">
        <v>171</v>
      </c>
      <c r="C188" s="42" t="s">
        <v>193</v>
      </c>
      <c r="D188" s="42" t="s">
        <v>264</v>
      </c>
      <c r="E188" s="42" t="s">
        <v>181</v>
      </c>
      <c r="F188" s="63">
        <f>F189</f>
        <v>1895</v>
      </c>
      <c r="G188" s="63">
        <f t="shared" ref="G188:L188" si="115">G189</f>
        <v>1895</v>
      </c>
      <c r="H188" s="63">
        <f t="shared" si="115"/>
        <v>1777</v>
      </c>
      <c r="I188" s="63">
        <f t="shared" si="115"/>
        <v>1777</v>
      </c>
      <c r="J188" s="63">
        <f t="shared" si="115"/>
        <v>1777</v>
      </c>
      <c r="K188" s="63">
        <f t="shared" si="115"/>
        <v>0</v>
      </c>
      <c r="L188" s="63">
        <f t="shared" si="115"/>
        <v>0</v>
      </c>
      <c r="M188" s="7" t="e">
        <f t="shared" si="82"/>
        <v>#DIV/0!</v>
      </c>
    </row>
    <row r="189" spans="1:13" ht="31.5" hidden="1">
      <c r="A189" s="31" t="s">
        <v>182</v>
      </c>
      <c r="B189" s="42" t="s">
        <v>171</v>
      </c>
      <c r="C189" s="42" t="s">
        <v>193</v>
      </c>
      <c r="D189" s="42" t="s">
        <v>264</v>
      </c>
      <c r="E189" s="42" t="s">
        <v>183</v>
      </c>
      <c r="F189" s="63">
        <f>'Прил.№4 ведомств.'!G155</f>
        <v>1895</v>
      </c>
      <c r="G189" s="63">
        <f>'Прил.№4 ведомств.'!I155</f>
        <v>1895</v>
      </c>
      <c r="H189" s="63">
        <f>'Прил.№4 ведомств.'!J155</f>
        <v>1777</v>
      </c>
      <c r="I189" s="63">
        <f>'Прил.№4 ведомств.'!K155</f>
        <v>1777</v>
      </c>
      <c r="J189" s="63">
        <f>'Прил.№4 ведомств.'!L155</f>
        <v>1777</v>
      </c>
      <c r="K189" s="63">
        <f>'Прил.№4 ведомств.'!M155</f>
        <v>0</v>
      </c>
      <c r="L189" s="63">
        <f>'Прил.№4 ведомств.'!N155</f>
        <v>0</v>
      </c>
      <c r="M189" s="7" t="e">
        <f t="shared" si="82"/>
        <v>#DIV/0!</v>
      </c>
    </row>
    <row r="190" spans="1:13" ht="31.5" hidden="1">
      <c r="A190" s="31" t="s">
        <v>184</v>
      </c>
      <c r="B190" s="42" t="s">
        <v>171</v>
      </c>
      <c r="C190" s="42" t="s">
        <v>193</v>
      </c>
      <c r="D190" s="42" t="s">
        <v>264</v>
      </c>
      <c r="E190" s="42" t="s">
        <v>185</v>
      </c>
      <c r="F190" s="7">
        <f>F191</f>
        <v>625.4</v>
      </c>
      <c r="G190" s="7">
        <f t="shared" ref="G190:L190" si="116">G191</f>
        <v>597.5</v>
      </c>
      <c r="H190" s="7">
        <f t="shared" si="116"/>
        <v>669.3</v>
      </c>
      <c r="I190" s="7">
        <f t="shared" si="116"/>
        <v>700.3</v>
      </c>
      <c r="J190" s="7">
        <f t="shared" si="116"/>
        <v>721.3</v>
      </c>
      <c r="K190" s="7">
        <f t="shared" si="116"/>
        <v>0</v>
      </c>
      <c r="L190" s="7">
        <f t="shared" si="116"/>
        <v>0</v>
      </c>
      <c r="M190" s="7" t="e">
        <f t="shared" si="82"/>
        <v>#DIV/0!</v>
      </c>
    </row>
    <row r="191" spans="1:13" ht="47.25" hidden="1">
      <c r="A191" s="31" t="s">
        <v>186</v>
      </c>
      <c r="B191" s="42" t="s">
        <v>171</v>
      </c>
      <c r="C191" s="42" t="s">
        <v>193</v>
      </c>
      <c r="D191" s="42" t="s">
        <v>264</v>
      </c>
      <c r="E191" s="42" t="s">
        <v>187</v>
      </c>
      <c r="F191" s="63">
        <f>'Прил.№4 ведомств.'!G157</f>
        <v>625.4</v>
      </c>
      <c r="G191" s="63">
        <f>'Прил.№4 ведомств.'!I157</f>
        <v>597.5</v>
      </c>
      <c r="H191" s="63">
        <f>'Прил.№4 ведомств.'!J157</f>
        <v>669.3</v>
      </c>
      <c r="I191" s="63">
        <f>'Прил.№4 ведомств.'!K157</f>
        <v>700.3</v>
      </c>
      <c r="J191" s="63">
        <f>'Прил.№4 ведомств.'!L157</f>
        <v>721.3</v>
      </c>
      <c r="K191" s="63">
        <f>'Прил.№4 ведомств.'!M157</f>
        <v>0</v>
      </c>
      <c r="L191" s="63">
        <f>'Прил.№4 ведомств.'!N157</f>
        <v>0</v>
      </c>
      <c r="M191" s="7" t="e">
        <f t="shared" si="82"/>
        <v>#DIV/0!</v>
      </c>
    </row>
    <row r="192" spans="1:13" ht="15.75" hidden="1">
      <c r="A192" s="26" t="s">
        <v>196</v>
      </c>
      <c r="B192" s="42" t="s">
        <v>171</v>
      </c>
      <c r="C192" s="42" t="s">
        <v>193</v>
      </c>
      <c r="D192" s="42" t="s">
        <v>197</v>
      </c>
      <c r="E192" s="42"/>
      <c r="F192" s="63">
        <f>F193</f>
        <v>404.8</v>
      </c>
      <c r="G192" s="63">
        <f t="shared" ref="G192:L192" si="117">G193</f>
        <v>404.8</v>
      </c>
      <c r="H192" s="63">
        <f t="shared" si="117"/>
        <v>0</v>
      </c>
      <c r="I192" s="63">
        <f t="shared" si="117"/>
        <v>0</v>
      </c>
      <c r="J192" s="63">
        <f t="shared" si="117"/>
        <v>0</v>
      </c>
      <c r="K192" s="63">
        <f t="shared" si="117"/>
        <v>0</v>
      </c>
      <c r="L192" s="63">
        <f t="shared" si="117"/>
        <v>0</v>
      </c>
      <c r="M192" s="7" t="e">
        <f t="shared" si="82"/>
        <v>#DIV/0!</v>
      </c>
    </row>
    <row r="193" spans="1:13" ht="15.75" hidden="1">
      <c r="A193" s="26" t="s">
        <v>188</v>
      </c>
      <c r="B193" s="42" t="s">
        <v>171</v>
      </c>
      <c r="C193" s="42" t="s">
        <v>193</v>
      </c>
      <c r="D193" s="42" t="s">
        <v>197</v>
      </c>
      <c r="E193" s="42" t="s">
        <v>198</v>
      </c>
      <c r="F193" s="63">
        <f>F194+F195</f>
        <v>404.8</v>
      </c>
      <c r="G193" s="63">
        <f t="shared" ref="G193:K193" si="118">G194+G195</f>
        <v>404.8</v>
      </c>
      <c r="H193" s="63">
        <f t="shared" si="118"/>
        <v>0</v>
      </c>
      <c r="I193" s="63">
        <f t="shared" si="118"/>
        <v>0</v>
      </c>
      <c r="J193" s="63">
        <f t="shared" si="118"/>
        <v>0</v>
      </c>
      <c r="K193" s="63">
        <f t="shared" si="118"/>
        <v>0</v>
      </c>
      <c r="L193" s="63">
        <f t="shared" ref="L193" si="119">L194+L195</f>
        <v>0</v>
      </c>
      <c r="M193" s="7" t="e">
        <f t="shared" si="82"/>
        <v>#DIV/0!</v>
      </c>
    </row>
    <row r="194" spans="1:13" ht="15.75" hidden="1">
      <c r="A194" s="26" t="s">
        <v>199</v>
      </c>
      <c r="B194" s="42" t="s">
        <v>171</v>
      </c>
      <c r="C194" s="42" t="s">
        <v>193</v>
      </c>
      <c r="D194" s="42" t="s">
        <v>197</v>
      </c>
      <c r="E194" s="42" t="s">
        <v>200</v>
      </c>
      <c r="F194" s="63">
        <f>'Прил.№4 ведомств.'!G28+'Прил.№4 ведомств.'!G160</f>
        <v>142.30000000000001</v>
      </c>
      <c r="G194" s="63">
        <f>'Прил.№4 ведомств.'!I28+'Прил.№4 ведомств.'!I160</f>
        <v>142.30000000000001</v>
      </c>
      <c r="H194" s="63">
        <f>'Прил.№4 ведомств.'!J28+'Прил.№4 ведомств.'!J160</f>
        <v>0</v>
      </c>
      <c r="I194" s="63">
        <f>'Прил.№4 ведомств.'!K28+'Прил.№4 ведомств.'!K160</f>
        <v>0</v>
      </c>
      <c r="J194" s="63">
        <f>'Прил.№4 ведомств.'!L28+'Прил.№4 ведомств.'!L160</f>
        <v>0</v>
      </c>
      <c r="K194" s="63">
        <f>'Прил.№4 ведомств.'!M28+'Прил.№4 ведомств.'!M160</f>
        <v>0</v>
      </c>
      <c r="L194" s="63">
        <f>'Прил.№4 ведомств.'!N28+'Прил.№4 ведомств.'!N160</f>
        <v>0</v>
      </c>
      <c r="M194" s="7" t="e">
        <f t="shared" si="82"/>
        <v>#DIV/0!</v>
      </c>
    </row>
    <row r="195" spans="1:13" ht="15.75" hidden="1">
      <c r="A195" s="26" t="s">
        <v>622</v>
      </c>
      <c r="B195" s="42" t="s">
        <v>171</v>
      </c>
      <c r="C195" s="42" t="s">
        <v>193</v>
      </c>
      <c r="D195" s="42" t="s">
        <v>197</v>
      </c>
      <c r="E195" s="21" t="s">
        <v>191</v>
      </c>
      <c r="F195" s="63">
        <f>'Прил.№4 ведомств.'!G866</f>
        <v>262.5</v>
      </c>
      <c r="G195" s="63">
        <f>'Прил.№4 ведомств.'!I866</f>
        <v>262.5</v>
      </c>
      <c r="H195" s="63">
        <f>'Прил.№4 ведомств.'!J866</f>
        <v>0</v>
      </c>
      <c r="I195" s="63">
        <f>'Прил.№4 ведомств.'!K866</f>
        <v>0</v>
      </c>
      <c r="J195" s="63">
        <f>'Прил.№4 ведомств.'!L866</f>
        <v>0</v>
      </c>
      <c r="K195" s="63">
        <f>'Прил.№4 ведомств.'!M866</f>
        <v>0</v>
      </c>
      <c r="L195" s="63">
        <f>'Прил.№4 ведомств.'!N866</f>
        <v>0</v>
      </c>
      <c r="M195" s="7" t="e">
        <f t="shared" si="82"/>
        <v>#DIV/0!</v>
      </c>
    </row>
    <row r="196" spans="1:13" ht="31.5">
      <c r="A196" s="26" t="s">
        <v>638</v>
      </c>
      <c r="B196" s="42" t="s">
        <v>171</v>
      </c>
      <c r="C196" s="42" t="s">
        <v>193</v>
      </c>
      <c r="D196" s="42" t="s">
        <v>639</v>
      </c>
      <c r="E196" s="21"/>
      <c r="F196" s="63">
        <f>F197</f>
        <v>16452.3</v>
      </c>
      <c r="G196" s="63">
        <f t="shared" ref="G196:L196" si="120">G197</f>
        <v>10135.52</v>
      </c>
      <c r="H196" s="63">
        <f t="shared" si="120"/>
        <v>33970.5</v>
      </c>
      <c r="I196" s="63">
        <f t="shared" si="120"/>
        <v>34241.9</v>
      </c>
      <c r="J196" s="63">
        <f t="shared" si="120"/>
        <v>34516</v>
      </c>
      <c r="K196" s="63">
        <f t="shared" si="120"/>
        <v>30746.1</v>
      </c>
      <c r="L196" s="63">
        <f t="shared" si="120"/>
        <v>9005.5999999999985</v>
      </c>
      <c r="M196" s="7">
        <f t="shared" si="82"/>
        <v>29.290218922074668</v>
      </c>
    </row>
    <row r="197" spans="1:13" ht="31.5">
      <c r="A197" s="26" t="s">
        <v>363</v>
      </c>
      <c r="B197" s="42" t="s">
        <v>171</v>
      </c>
      <c r="C197" s="42" t="s">
        <v>193</v>
      </c>
      <c r="D197" s="21" t="s">
        <v>640</v>
      </c>
      <c r="E197" s="21"/>
      <c r="F197" s="63">
        <f>F198+F200+F202</f>
        <v>16452.3</v>
      </c>
      <c r="G197" s="63">
        <f t="shared" ref="G197:K197" si="121">G198+G200+G202</f>
        <v>10135.52</v>
      </c>
      <c r="H197" s="63">
        <f t="shared" si="121"/>
        <v>33970.5</v>
      </c>
      <c r="I197" s="63">
        <f t="shared" si="121"/>
        <v>34241.9</v>
      </c>
      <c r="J197" s="63">
        <f t="shared" si="121"/>
        <v>34516</v>
      </c>
      <c r="K197" s="63">
        <f t="shared" si="121"/>
        <v>30746.1</v>
      </c>
      <c r="L197" s="63">
        <f t="shared" ref="L197" si="122">L198+L200+L202</f>
        <v>9005.5999999999985</v>
      </c>
      <c r="M197" s="7">
        <f t="shared" si="82"/>
        <v>29.290218922074668</v>
      </c>
    </row>
    <row r="198" spans="1:13" ht="78.75">
      <c r="A198" s="26" t="s">
        <v>180</v>
      </c>
      <c r="B198" s="42" t="s">
        <v>171</v>
      </c>
      <c r="C198" s="42" t="s">
        <v>193</v>
      </c>
      <c r="D198" s="21" t="s">
        <v>640</v>
      </c>
      <c r="E198" s="21" t="s">
        <v>181</v>
      </c>
      <c r="F198" s="63">
        <f>F199</f>
        <v>13760</v>
      </c>
      <c r="G198" s="63">
        <f t="shared" ref="G198:L198" si="123">G199</f>
        <v>9276.7200000000012</v>
      </c>
      <c r="H198" s="63">
        <f t="shared" si="123"/>
        <v>27139</v>
      </c>
      <c r="I198" s="63">
        <f t="shared" si="123"/>
        <v>27410.400000000001</v>
      </c>
      <c r="J198" s="63">
        <f t="shared" si="123"/>
        <v>27684.5</v>
      </c>
      <c r="K198" s="63">
        <f t="shared" si="123"/>
        <v>25166</v>
      </c>
      <c r="L198" s="63">
        <f t="shared" si="123"/>
        <v>6941</v>
      </c>
      <c r="M198" s="7">
        <f t="shared" si="82"/>
        <v>27.580863069220378</v>
      </c>
    </row>
    <row r="199" spans="1:13" ht="31.5">
      <c r="A199" s="48" t="s">
        <v>395</v>
      </c>
      <c r="B199" s="42" t="s">
        <v>171</v>
      </c>
      <c r="C199" s="42" t="s">
        <v>193</v>
      </c>
      <c r="D199" s="21" t="s">
        <v>640</v>
      </c>
      <c r="E199" s="21" t="s">
        <v>262</v>
      </c>
      <c r="F199" s="63">
        <f>'Прил.№4 ведомств.'!G870</f>
        <v>13760</v>
      </c>
      <c r="G199" s="63">
        <f>'Прил.№4 ведомств.'!I870</f>
        <v>9276.7200000000012</v>
      </c>
      <c r="H199" s="63">
        <f>'Прил.№4 ведомств.'!J870</f>
        <v>27139</v>
      </c>
      <c r="I199" s="63">
        <f>'Прил.№4 ведомств.'!K870</f>
        <v>27410.400000000001</v>
      </c>
      <c r="J199" s="63">
        <f>'Прил.№4 ведомств.'!L870</f>
        <v>27684.5</v>
      </c>
      <c r="K199" s="63">
        <f>'Прил.№4 ведомств.'!M870</f>
        <v>25166</v>
      </c>
      <c r="L199" s="63">
        <f>'Прил.№4 ведомств.'!N870</f>
        <v>6941</v>
      </c>
      <c r="M199" s="7">
        <f t="shared" si="82"/>
        <v>27.580863069220378</v>
      </c>
    </row>
    <row r="200" spans="1:13" ht="31.5">
      <c r="A200" s="26" t="s">
        <v>184</v>
      </c>
      <c r="B200" s="42" t="s">
        <v>171</v>
      </c>
      <c r="C200" s="42" t="s">
        <v>193</v>
      </c>
      <c r="D200" s="21" t="s">
        <v>640</v>
      </c>
      <c r="E200" s="21" t="s">
        <v>185</v>
      </c>
      <c r="F200" s="63">
        <f>F201</f>
        <v>2678</v>
      </c>
      <c r="G200" s="63">
        <f t="shared" ref="G200:L200" si="124">G201</f>
        <v>845</v>
      </c>
      <c r="H200" s="63">
        <f t="shared" si="124"/>
        <v>6803</v>
      </c>
      <c r="I200" s="63">
        <f t="shared" si="124"/>
        <v>6803</v>
      </c>
      <c r="J200" s="63">
        <f t="shared" si="124"/>
        <v>6803</v>
      </c>
      <c r="K200" s="63">
        <f t="shared" si="124"/>
        <v>5529.6</v>
      </c>
      <c r="L200" s="63">
        <f t="shared" si="124"/>
        <v>2027.3</v>
      </c>
      <c r="M200" s="7">
        <f t="shared" si="82"/>
        <v>36.662688078703695</v>
      </c>
    </row>
    <row r="201" spans="1:13" ht="47.25">
      <c r="A201" s="26" t="s">
        <v>186</v>
      </c>
      <c r="B201" s="42" t="s">
        <v>171</v>
      </c>
      <c r="C201" s="42" t="s">
        <v>193</v>
      </c>
      <c r="D201" s="21" t="s">
        <v>640</v>
      </c>
      <c r="E201" s="21" t="s">
        <v>187</v>
      </c>
      <c r="F201" s="63">
        <f>'Прил.№4 ведомств.'!G872</f>
        <v>2678</v>
      </c>
      <c r="G201" s="63">
        <f>'Прил.№4 ведомств.'!I872</f>
        <v>845</v>
      </c>
      <c r="H201" s="63">
        <f>'Прил.№4 ведомств.'!J872</f>
        <v>6803</v>
      </c>
      <c r="I201" s="63">
        <f>'Прил.№4 ведомств.'!K872</f>
        <v>6803</v>
      </c>
      <c r="J201" s="63">
        <f>'Прил.№4 ведомств.'!L872</f>
        <v>6803</v>
      </c>
      <c r="K201" s="63">
        <f>'Прил.№4 ведомств.'!M872</f>
        <v>5529.6</v>
      </c>
      <c r="L201" s="63">
        <f>'Прил.№4 ведомств.'!N872</f>
        <v>2027.3</v>
      </c>
      <c r="M201" s="7">
        <f t="shared" si="82"/>
        <v>36.662688078703695</v>
      </c>
    </row>
    <row r="202" spans="1:13" ht="15.75">
      <c r="A202" s="26" t="s">
        <v>188</v>
      </c>
      <c r="B202" s="42" t="s">
        <v>171</v>
      </c>
      <c r="C202" s="42" t="s">
        <v>193</v>
      </c>
      <c r="D202" s="21" t="s">
        <v>640</v>
      </c>
      <c r="E202" s="21" t="s">
        <v>198</v>
      </c>
      <c r="F202" s="63">
        <f>F203</f>
        <v>14.3</v>
      </c>
      <c r="G202" s="63">
        <f t="shared" ref="G202:L202" si="125">G203</f>
        <v>13.8</v>
      </c>
      <c r="H202" s="63">
        <f t="shared" si="125"/>
        <v>28.5</v>
      </c>
      <c r="I202" s="63">
        <f t="shared" si="125"/>
        <v>28.5</v>
      </c>
      <c r="J202" s="63">
        <f t="shared" si="125"/>
        <v>28.5</v>
      </c>
      <c r="K202" s="63">
        <f t="shared" si="125"/>
        <v>50.5</v>
      </c>
      <c r="L202" s="63">
        <f t="shared" si="125"/>
        <v>37.299999999999997</v>
      </c>
      <c r="M202" s="7">
        <f t="shared" si="82"/>
        <v>73.861386138613867</v>
      </c>
    </row>
    <row r="203" spans="1:13" ht="15.75">
      <c r="A203" s="26" t="s">
        <v>803</v>
      </c>
      <c r="B203" s="42" t="s">
        <v>171</v>
      </c>
      <c r="C203" s="42" t="s">
        <v>193</v>
      </c>
      <c r="D203" s="21" t="s">
        <v>640</v>
      </c>
      <c r="E203" s="21" t="s">
        <v>191</v>
      </c>
      <c r="F203" s="63">
        <f>'Прил.№4 ведомств.'!G874</f>
        <v>14.3</v>
      </c>
      <c r="G203" s="63">
        <f>'Прил.№4 ведомств.'!I874</f>
        <v>13.8</v>
      </c>
      <c r="H203" s="63">
        <f>'Прил.№4 ведомств.'!J874</f>
        <v>28.5</v>
      </c>
      <c r="I203" s="63">
        <f>'Прил.№4 ведомств.'!K874</f>
        <v>28.5</v>
      </c>
      <c r="J203" s="63">
        <f>'Прил.№4 ведомств.'!L874</f>
        <v>28.5</v>
      </c>
      <c r="K203" s="63">
        <f>'Прил.№4 ведомств.'!M874</f>
        <v>50.5</v>
      </c>
      <c r="L203" s="63">
        <f>'Прил.№4 ведомств.'!N874</f>
        <v>37.299999999999997</v>
      </c>
      <c r="M203" s="7">
        <f t="shared" si="82"/>
        <v>73.861386138613867</v>
      </c>
    </row>
    <row r="204" spans="1:13" ht="15.75" hidden="1">
      <c r="A204" s="24" t="s">
        <v>265</v>
      </c>
      <c r="B204" s="25" t="s">
        <v>266</v>
      </c>
      <c r="C204" s="25"/>
      <c r="D204" s="25"/>
      <c r="E204" s="25"/>
      <c r="F204" s="67">
        <f t="shared" ref="F204:F209" si="126">F205</f>
        <v>0</v>
      </c>
      <c r="G204" s="67">
        <f t="shared" ref="G204:L209" si="127">G205</f>
        <v>0</v>
      </c>
      <c r="H204" s="67">
        <f t="shared" si="127"/>
        <v>322.89999999999998</v>
      </c>
      <c r="I204" s="67">
        <f t="shared" si="127"/>
        <v>22.3</v>
      </c>
      <c r="J204" s="67">
        <f t="shared" si="127"/>
        <v>22.3</v>
      </c>
      <c r="K204" s="67">
        <f t="shared" si="127"/>
        <v>0</v>
      </c>
      <c r="L204" s="67">
        <f t="shared" si="127"/>
        <v>0</v>
      </c>
      <c r="M204" s="4" t="e">
        <f t="shared" si="82"/>
        <v>#DIV/0!</v>
      </c>
    </row>
    <row r="205" spans="1:13" ht="31.5" hidden="1">
      <c r="A205" s="24" t="s">
        <v>271</v>
      </c>
      <c r="B205" s="25" t="s">
        <v>266</v>
      </c>
      <c r="C205" s="25" t="s">
        <v>272</v>
      </c>
      <c r="D205" s="25"/>
      <c r="E205" s="25"/>
      <c r="F205" s="63">
        <f t="shared" si="126"/>
        <v>0</v>
      </c>
      <c r="G205" s="63">
        <f t="shared" si="127"/>
        <v>0</v>
      </c>
      <c r="H205" s="63">
        <f t="shared" si="127"/>
        <v>322.89999999999998</v>
      </c>
      <c r="I205" s="63">
        <f t="shared" si="127"/>
        <v>22.3</v>
      </c>
      <c r="J205" s="63">
        <f t="shared" si="127"/>
        <v>22.3</v>
      </c>
      <c r="K205" s="63">
        <f t="shared" si="127"/>
        <v>0</v>
      </c>
      <c r="L205" s="63">
        <f t="shared" si="127"/>
        <v>0</v>
      </c>
      <c r="M205" s="4" t="e">
        <f t="shared" ref="M205:M268" si="128">L205/K205*100</f>
        <v>#DIV/0!</v>
      </c>
    </row>
    <row r="206" spans="1:13" ht="15.75" hidden="1">
      <c r="A206" s="26" t="s">
        <v>174</v>
      </c>
      <c r="B206" s="21" t="s">
        <v>266</v>
      </c>
      <c r="C206" s="21" t="s">
        <v>272</v>
      </c>
      <c r="D206" s="21" t="s">
        <v>175</v>
      </c>
      <c r="E206" s="21"/>
      <c r="F206" s="63">
        <f t="shared" si="126"/>
        <v>0</v>
      </c>
      <c r="G206" s="63">
        <f t="shared" si="127"/>
        <v>0</v>
      </c>
      <c r="H206" s="63">
        <f t="shared" si="127"/>
        <v>322.89999999999998</v>
      </c>
      <c r="I206" s="63">
        <f t="shared" si="127"/>
        <v>22.3</v>
      </c>
      <c r="J206" s="63">
        <f t="shared" si="127"/>
        <v>22.3</v>
      </c>
      <c r="K206" s="63">
        <f t="shared" si="127"/>
        <v>0</v>
      </c>
      <c r="L206" s="63">
        <f t="shared" si="127"/>
        <v>0</v>
      </c>
      <c r="M206" s="4" t="e">
        <f t="shared" si="128"/>
        <v>#DIV/0!</v>
      </c>
    </row>
    <row r="207" spans="1:13" ht="15.75" hidden="1">
      <c r="A207" s="26" t="s">
        <v>194</v>
      </c>
      <c r="B207" s="21" t="s">
        <v>266</v>
      </c>
      <c r="C207" s="21" t="s">
        <v>272</v>
      </c>
      <c r="D207" s="21" t="s">
        <v>195</v>
      </c>
      <c r="E207" s="21"/>
      <c r="F207" s="63">
        <f t="shared" si="126"/>
        <v>0</v>
      </c>
      <c r="G207" s="63">
        <f t="shared" si="127"/>
        <v>0</v>
      </c>
      <c r="H207" s="63">
        <f t="shared" si="127"/>
        <v>322.89999999999998</v>
      </c>
      <c r="I207" s="63">
        <f t="shared" si="127"/>
        <v>22.3</v>
      </c>
      <c r="J207" s="63">
        <f t="shared" si="127"/>
        <v>22.3</v>
      </c>
      <c r="K207" s="63">
        <f t="shared" si="127"/>
        <v>0</v>
      </c>
      <c r="L207" s="63">
        <f t="shared" si="127"/>
        <v>0</v>
      </c>
      <c r="M207" s="4" t="e">
        <f t="shared" si="128"/>
        <v>#DIV/0!</v>
      </c>
    </row>
    <row r="208" spans="1:13" ht="15.75" hidden="1">
      <c r="A208" s="26" t="s">
        <v>273</v>
      </c>
      <c r="B208" s="21" t="s">
        <v>266</v>
      </c>
      <c r="C208" s="21" t="s">
        <v>272</v>
      </c>
      <c r="D208" s="21" t="s">
        <v>274</v>
      </c>
      <c r="E208" s="21"/>
      <c r="F208" s="63">
        <f t="shared" si="126"/>
        <v>0</v>
      </c>
      <c r="G208" s="63">
        <f t="shared" si="127"/>
        <v>0</v>
      </c>
      <c r="H208" s="63">
        <f t="shared" si="127"/>
        <v>322.89999999999998</v>
      </c>
      <c r="I208" s="63">
        <f t="shared" si="127"/>
        <v>22.3</v>
      </c>
      <c r="J208" s="63">
        <f t="shared" si="127"/>
        <v>22.3</v>
      </c>
      <c r="K208" s="63">
        <f t="shared" si="127"/>
        <v>0</v>
      </c>
      <c r="L208" s="63">
        <f t="shared" si="127"/>
        <v>0</v>
      </c>
      <c r="M208" s="4" t="e">
        <f t="shared" si="128"/>
        <v>#DIV/0!</v>
      </c>
    </row>
    <row r="209" spans="1:15" ht="31.5" hidden="1">
      <c r="A209" s="26" t="s">
        <v>251</v>
      </c>
      <c r="B209" s="21" t="s">
        <v>266</v>
      </c>
      <c r="C209" s="21" t="s">
        <v>272</v>
      </c>
      <c r="D209" s="21" t="s">
        <v>274</v>
      </c>
      <c r="E209" s="21" t="s">
        <v>185</v>
      </c>
      <c r="F209" s="63">
        <f t="shared" si="126"/>
        <v>0</v>
      </c>
      <c r="G209" s="63">
        <f t="shared" si="127"/>
        <v>0</v>
      </c>
      <c r="H209" s="63">
        <f t="shared" si="127"/>
        <v>322.89999999999998</v>
      </c>
      <c r="I209" s="63">
        <f t="shared" si="127"/>
        <v>22.3</v>
      </c>
      <c r="J209" s="63">
        <f t="shared" si="127"/>
        <v>22.3</v>
      </c>
      <c r="K209" s="63">
        <f t="shared" si="127"/>
        <v>0</v>
      </c>
      <c r="L209" s="63">
        <f t="shared" si="127"/>
        <v>0</v>
      </c>
      <c r="M209" s="4" t="e">
        <f t="shared" si="128"/>
        <v>#DIV/0!</v>
      </c>
    </row>
    <row r="210" spans="1:15" ht="47.25" hidden="1">
      <c r="A210" s="26" t="s">
        <v>186</v>
      </c>
      <c r="B210" s="21" t="s">
        <v>266</v>
      </c>
      <c r="C210" s="21" t="s">
        <v>272</v>
      </c>
      <c r="D210" s="21" t="s">
        <v>274</v>
      </c>
      <c r="E210" s="21" t="s">
        <v>187</v>
      </c>
      <c r="F210" s="63">
        <f>'Прил.№4 ведомств.'!G167</f>
        <v>0</v>
      </c>
      <c r="G210" s="63">
        <f>'Прил.№4 ведомств.'!I167</f>
        <v>0</v>
      </c>
      <c r="H210" s="63">
        <f>'Прил.№4 ведомств.'!J167</f>
        <v>322.89999999999998</v>
      </c>
      <c r="I210" s="63">
        <f>'Прил.№4 ведомств.'!K167</f>
        <v>22.3</v>
      </c>
      <c r="J210" s="63">
        <f>'Прил.№4 ведомств.'!L167</f>
        <v>22.3</v>
      </c>
      <c r="K210" s="63">
        <f>'Прил.№4 ведомств.'!M167</f>
        <v>0</v>
      </c>
      <c r="L210" s="63">
        <f>'Прил.№4 ведомств.'!N167</f>
        <v>0</v>
      </c>
      <c r="M210" s="4" t="e">
        <f t="shared" si="128"/>
        <v>#DIV/0!</v>
      </c>
    </row>
    <row r="211" spans="1:15" ht="31.5">
      <c r="A211" s="43" t="s">
        <v>275</v>
      </c>
      <c r="B211" s="8" t="s">
        <v>268</v>
      </c>
      <c r="C211" s="8"/>
      <c r="D211" s="8"/>
      <c r="E211" s="8"/>
      <c r="F211" s="4">
        <f>F212</f>
        <v>7209.4000000000005</v>
      </c>
      <c r="G211" s="4">
        <f t="shared" ref="G211:L213" si="129">G212</f>
        <v>5540.3666666666668</v>
      </c>
      <c r="H211" s="4">
        <f t="shared" si="129"/>
        <v>10330.9</v>
      </c>
      <c r="I211" s="4">
        <f t="shared" si="129"/>
        <v>8923.6</v>
      </c>
      <c r="J211" s="4">
        <f t="shared" si="129"/>
        <v>8970.1</v>
      </c>
      <c r="K211" s="4">
        <f t="shared" si="129"/>
        <v>9234.4</v>
      </c>
      <c r="L211" s="4">
        <f t="shared" si="129"/>
        <v>1148.0999999999999</v>
      </c>
      <c r="M211" s="4">
        <f t="shared" si="128"/>
        <v>12.432859741834877</v>
      </c>
    </row>
    <row r="212" spans="1:15" ht="47.25">
      <c r="A212" s="43" t="s">
        <v>276</v>
      </c>
      <c r="B212" s="8" t="s">
        <v>268</v>
      </c>
      <c r="C212" s="8" t="s">
        <v>272</v>
      </c>
      <c r="D212" s="42"/>
      <c r="E212" s="42"/>
      <c r="F212" s="4">
        <f>F213</f>
        <v>7209.4000000000005</v>
      </c>
      <c r="G212" s="4">
        <f t="shared" si="129"/>
        <v>5540.3666666666668</v>
      </c>
      <c r="H212" s="4">
        <f t="shared" si="129"/>
        <v>10330.9</v>
      </c>
      <c r="I212" s="4">
        <f t="shared" si="129"/>
        <v>8923.6</v>
      </c>
      <c r="J212" s="4">
        <f t="shared" si="129"/>
        <v>8970.1</v>
      </c>
      <c r="K212" s="4">
        <f t="shared" si="129"/>
        <v>9234.4</v>
      </c>
      <c r="L212" s="4">
        <f t="shared" si="129"/>
        <v>1148.0999999999999</v>
      </c>
      <c r="M212" s="4">
        <f t="shared" si="128"/>
        <v>12.432859741834877</v>
      </c>
      <c r="N212" s="23"/>
      <c r="O212" s="23"/>
    </row>
    <row r="213" spans="1:15" ht="15.75">
      <c r="A213" s="31" t="s">
        <v>174</v>
      </c>
      <c r="B213" s="42" t="s">
        <v>268</v>
      </c>
      <c r="C213" s="42" t="s">
        <v>272</v>
      </c>
      <c r="D213" s="42" t="s">
        <v>175</v>
      </c>
      <c r="E213" s="42"/>
      <c r="F213" s="7">
        <f>F214</f>
        <v>7209.4000000000005</v>
      </c>
      <c r="G213" s="7">
        <f t="shared" si="129"/>
        <v>5540.3666666666668</v>
      </c>
      <c r="H213" s="7">
        <f t="shared" si="129"/>
        <v>10330.9</v>
      </c>
      <c r="I213" s="7">
        <f t="shared" si="129"/>
        <v>8923.6</v>
      </c>
      <c r="J213" s="7">
        <f t="shared" si="129"/>
        <v>8970.1</v>
      </c>
      <c r="K213" s="7">
        <f t="shared" si="129"/>
        <v>9234.4</v>
      </c>
      <c r="L213" s="7">
        <f t="shared" si="129"/>
        <v>1148.0999999999999</v>
      </c>
      <c r="M213" s="7">
        <f t="shared" si="128"/>
        <v>12.432859741834877</v>
      </c>
    </row>
    <row r="214" spans="1:15" ht="15.75">
      <c r="A214" s="31" t="s">
        <v>194</v>
      </c>
      <c r="B214" s="42" t="s">
        <v>268</v>
      </c>
      <c r="C214" s="42" t="s">
        <v>272</v>
      </c>
      <c r="D214" s="42" t="s">
        <v>195</v>
      </c>
      <c r="E214" s="42"/>
      <c r="F214" s="7">
        <f>F215+F221+F226+F218</f>
        <v>7209.4000000000005</v>
      </c>
      <c r="G214" s="7">
        <f t="shared" ref="G214:K214" si="130">G215+G221+G226+G218</f>
        <v>5540.3666666666668</v>
      </c>
      <c r="H214" s="7">
        <f t="shared" si="130"/>
        <v>10330.9</v>
      </c>
      <c r="I214" s="7">
        <f t="shared" si="130"/>
        <v>8923.6</v>
      </c>
      <c r="J214" s="7">
        <f t="shared" si="130"/>
        <v>8970.1</v>
      </c>
      <c r="K214" s="7">
        <f t="shared" si="130"/>
        <v>9234.4</v>
      </c>
      <c r="L214" s="7">
        <f t="shared" ref="L214" si="131">L215+L221+L226+L218</f>
        <v>1148.0999999999999</v>
      </c>
      <c r="M214" s="7">
        <f t="shared" si="128"/>
        <v>12.432859741834877</v>
      </c>
    </row>
    <row r="215" spans="1:15" ht="47.25">
      <c r="A215" s="31" t="s">
        <v>277</v>
      </c>
      <c r="B215" s="42" t="s">
        <v>268</v>
      </c>
      <c r="C215" s="42" t="s">
        <v>272</v>
      </c>
      <c r="D215" s="42" t="s">
        <v>278</v>
      </c>
      <c r="E215" s="42"/>
      <c r="F215" s="7">
        <f>F216</f>
        <v>2064.1</v>
      </c>
      <c r="G215" s="7">
        <f t="shared" ref="G215:L216" si="132">G216</f>
        <v>445.06666666666666</v>
      </c>
      <c r="H215" s="7">
        <f t="shared" si="132"/>
        <v>3881.9</v>
      </c>
      <c r="I215" s="7">
        <f t="shared" si="132"/>
        <v>3042.9</v>
      </c>
      <c r="J215" s="7">
        <f t="shared" si="132"/>
        <v>3042.9</v>
      </c>
      <c r="K215" s="7">
        <f t="shared" si="132"/>
        <v>650</v>
      </c>
      <c r="L215" s="7">
        <f t="shared" si="132"/>
        <v>34.5</v>
      </c>
      <c r="M215" s="7">
        <f t="shared" si="128"/>
        <v>5.3076923076923075</v>
      </c>
    </row>
    <row r="216" spans="1:15" ht="31.5">
      <c r="A216" s="31" t="s">
        <v>184</v>
      </c>
      <c r="B216" s="42" t="s">
        <v>268</v>
      </c>
      <c r="C216" s="42" t="s">
        <v>272</v>
      </c>
      <c r="D216" s="42" t="s">
        <v>278</v>
      </c>
      <c r="E216" s="42" t="s">
        <v>185</v>
      </c>
      <c r="F216" s="7">
        <f>F217</f>
        <v>2064.1</v>
      </c>
      <c r="G216" s="7">
        <f t="shared" si="132"/>
        <v>445.06666666666666</v>
      </c>
      <c r="H216" s="7">
        <f t="shared" si="132"/>
        <v>3881.9</v>
      </c>
      <c r="I216" s="7">
        <f t="shared" si="132"/>
        <v>3042.9</v>
      </c>
      <c r="J216" s="7">
        <f t="shared" si="132"/>
        <v>3042.9</v>
      </c>
      <c r="K216" s="7">
        <f t="shared" si="132"/>
        <v>650</v>
      </c>
      <c r="L216" s="7">
        <f t="shared" si="132"/>
        <v>34.5</v>
      </c>
      <c r="M216" s="7">
        <f t="shared" si="128"/>
        <v>5.3076923076923075</v>
      </c>
    </row>
    <row r="217" spans="1:15" ht="47.25">
      <c r="A217" s="31" t="s">
        <v>186</v>
      </c>
      <c r="B217" s="42" t="s">
        <v>268</v>
      </c>
      <c r="C217" s="42" t="s">
        <v>272</v>
      </c>
      <c r="D217" s="42" t="s">
        <v>278</v>
      </c>
      <c r="E217" s="42" t="s">
        <v>187</v>
      </c>
      <c r="F217" s="122">
        <f>'Прил.№4 ведомств.'!G174</f>
        <v>2064.1</v>
      </c>
      <c r="G217" s="122">
        <f>'Прил.№4 ведомств.'!I174</f>
        <v>445.06666666666666</v>
      </c>
      <c r="H217" s="122">
        <f>'Прил.№4 ведомств.'!J174</f>
        <v>3881.9</v>
      </c>
      <c r="I217" s="122">
        <f>'Прил.№4 ведомств.'!K174</f>
        <v>3042.9</v>
      </c>
      <c r="J217" s="122">
        <f>'Прил.№4 ведомств.'!L174</f>
        <v>3042.9</v>
      </c>
      <c r="K217" s="122">
        <f>'Прил.№4 ведомств.'!M174</f>
        <v>650</v>
      </c>
      <c r="L217" s="122">
        <f>'Прил.№4 ведомств.'!N174</f>
        <v>34.5</v>
      </c>
      <c r="M217" s="7">
        <f t="shared" si="128"/>
        <v>5.3076923076923075</v>
      </c>
    </row>
    <row r="218" spans="1:15" ht="15.75">
      <c r="A218" s="26" t="s">
        <v>279</v>
      </c>
      <c r="B218" s="21" t="s">
        <v>268</v>
      </c>
      <c r="C218" s="21" t="s">
        <v>272</v>
      </c>
      <c r="D218" s="21" t="s">
        <v>280</v>
      </c>
      <c r="E218" s="21"/>
      <c r="F218" s="122">
        <f>F219</f>
        <v>0</v>
      </c>
      <c r="G218" s="122">
        <f t="shared" ref="G218:L219" si="133">G219</f>
        <v>0</v>
      </c>
      <c r="H218" s="122">
        <f t="shared" si="133"/>
        <v>764.4</v>
      </c>
      <c r="I218" s="122">
        <f t="shared" si="133"/>
        <v>150</v>
      </c>
      <c r="J218" s="122">
        <f t="shared" si="133"/>
        <v>150</v>
      </c>
      <c r="K218" s="122">
        <f t="shared" si="133"/>
        <v>764.4</v>
      </c>
      <c r="L218" s="122">
        <f t="shared" si="133"/>
        <v>0</v>
      </c>
      <c r="M218" s="7">
        <f t="shared" si="128"/>
        <v>0</v>
      </c>
    </row>
    <row r="219" spans="1:15" ht="31.5">
      <c r="A219" s="26" t="s">
        <v>251</v>
      </c>
      <c r="B219" s="21" t="s">
        <v>268</v>
      </c>
      <c r="C219" s="21" t="s">
        <v>272</v>
      </c>
      <c r="D219" s="21" t="s">
        <v>280</v>
      </c>
      <c r="E219" s="21" t="s">
        <v>185</v>
      </c>
      <c r="F219" s="122">
        <f>F220</f>
        <v>0</v>
      </c>
      <c r="G219" s="122">
        <f t="shared" si="133"/>
        <v>0</v>
      </c>
      <c r="H219" s="122">
        <f t="shared" si="133"/>
        <v>764.4</v>
      </c>
      <c r="I219" s="122">
        <f t="shared" si="133"/>
        <v>150</v>
      </c>
      <c r="J219" s="122">
        <f t="shared" si="133"/>
        <v>150</v>
      </c>
      <c r="K219" s="122">
        <f t="shared" si="133"/>
        <v>764.4</v>
      </c>
      <c r="L219" s="122">
        <f t="shared" si="133"/>
        <v>0</v>
      </c>
      <c r="M219" s="7">
        <f t="shared" si="128"/>
        <v>0</v>
      </c>
    </row>
    <row r="220" spans="1:15" ht="47.25">
      <c r="A220" s="26" t="s">
        <v>186</v>
      </c>
      <c r="B220" s="21" t="s">
        <v>268</v>
      </c>
      <c r="C220" s="21" t="s">
        <v>272</v>
      </c>
      <c r="D220" s="21" t="s">
        <v>280</v>
      </c>
      <c r="E220" s="21" t="s">
        <v>187</v>
      </c>
      <c r="F220" s="122">
        <f>'Прил.№4 ведомств.'!G177</f>
        <v>0</v>
      </c>
      <c r="G220" s="122">
        <f>'Прил.№4 ведомств.'!I177</f>
        <v>0</v>
      </c>
      <c r="H220" s="122">
        <f>'Прил.№4 ведомств.'!J177</f>
        <v>764.4</v>
      </c>
      <c r="I220" s="122">
        <f>'Прил.№4 ведомств.'!K177</f>
        <v>150</v>
      </c>
      <c r="J220" s="122">
        <f>'Прил.№4 ведомств.'!L177</f>
        <v>150</v>
      </c>
      <c r="K220" s="122">
        <f>'Прил.№4 ведомств.'!M177</f>
        <v>764.4</v>
      </c>
      <c r="L220" s="122">
        <f>'Прил.№4 ведомств.'!N177</f>
        <v>0</v>
      </c>
      <c r="M220" s="7">
        <f t="shared" si="128"/>
        <v>0</v>
      </c>
    </row>
    <row r="221" spans="1:15" ht="31.5">
      <c r="A221" s="31" t="s">
        <v>281</v>
      </c>
      <c r="B221" s="42" t="s">
        <v>268</v>
      </c>
      <c r="C221" s="42" t="s">
        <v>272</v>
      </c>
      <c r="D221" s="42" t="s">
        <v>282</v>
      </c>
      <c r="E221" s="42"/>
      <c r="F221" s="7">
        <f>F222+F224</f>
        <v>4997</v>
      </c>
      <c r="G221" s="7">
        <f t="shared" ref="G221:K221" si="134">G222+G224</f>
        <v>4997</v>
      </c>
      <c r="H221" s="7">
        <f t="shared" si="134"/>
        <v>5074.2</v>
      </c>
      <c r="I221" s="7">
        <f t="shared" si="134"/>
        <v>5120.3</v>
      </c>
      <c r="J221" s="7">
        <f t="shared" si="134"/>
        <v>5166.8</v>
      </c>
      <c r="K221" s="7">
        <f t="shared" si="134"/>
        <v>7770</v>
      </c>
      <c r="L221" s="7">
        <f t="shared" ref="L221" si="135">L222+L224</f>
        <v>1113.5999999999999</v>
      </c>
      <c r="M221" s="7">
        <f t="shared" si="128"/>
        <v>14.33204633204633</v>
      </c>
    </row>
    <row r="222" spans="1:15" ht="78.75">
      <c r="A222" s="31" t="s">
        <v>180</v>
      </c>
      <c r="B222" s="42" t="s">
        <v>268</v>
      </c>
      <c r="C222" s="42" t="s">
        <v>272</v>
      </c>
      <c r="D222" s="42" t="s">
        <v>282</v>
      </c>
      <c r="E222" s="42" t="s">
        <v>181</v>
      </c>
      <c r="F222" s="63">
        <f>F223</f>
        <v>4692.3</v>
      </c>
      <c r="G222" s="63">
        <f t="shared" ref="G222:L222" si="136">G223</f>
        <v>4692.3</v>
      </c>
      <c r="H222" s="63">
        <f t="shared" si="136"/>
        <v>4606</v>
      </c>
      <c r="I222" s="63">
        <f t="shared" si="136"/>
        <v>4652.1000000000004</v>
      </c>
      <c r="J222" s="63">
        <f t="shared" si="136"/>
        <v>4698.6000000000004</v>
      </c>
      <c r="K222" s="63">
        <f t="shared" si="136"/>
        <v>4620</v>
      </c>
      <c r="L222" s="63">
        <f t="shared" si="136"/>
        <v>1064.8</v>
      </c>
      <c r="M222" s="7">
        <f t="shared" si="128"/>
        <v>23.047619047619047</v>
      </c>
    </row>
    <row r="223" spans="1:15" ht="31.5">
      <c r="A223" s="31" t="s">
        <v>395</v>
      </c>
      <c r="B223" s="42" t="s">
        <v>268</v>
      </c>
      <c r="C223" s="42" t="s">
        <v>272</v>
      </c>
      <c r="D223" s="42" t="s">
        <v>282</v>
      </c>
      <c r="E223" s="42" t="s">
        <v>262</v>
      </c>
      <c r="F223" s="63">
        <f>'Прил.№4 ведомств.'!G180</f>
        <v>4692.3</v>
      </c>
      <c r="G223" s="63">
        <f>'Прил.№4 ведомств.'!I180</f>
        <v>4692.3</v>
      </c>
      <c r="H223" s="63">
        <f>'Прил.№4 ведомств.'!J180</f>
        <v>4606</v>
      </c>
      <c r="I223" s="63">
        <f>'Прил.№4 ведомств.'!K180</f>
        <v>4652.1000000000004</v>
      </c>
      <c r="J223" s="63">
        <f>'Прил.№4 ведомств.'!L180</f>
        <v>4698.6000000000004</v>
      </c>
      <c r="K223" s="63">
        <f>'Прил.№4 ведомств.'!M180</f>
        <v>4620</v>
      </c>
      <c r="L223" s="63">
        <f>'Прил.№4 ведомств.'!N180</f>
        <v>1064.8</v>
      </c>
      <c r="M223" s="7">
        <f t="shared" si="128"/>
        <v>23.047619047619047</v>
      </c>
    </row>
    <row r="224" spans="1:15" ht="31.5">
      <c r="A224" s="31" t="s">
        <v>184</v>
      </c>
      <c r="B224" s="42" t="s">
        <v>268</v>
      </c>
      <c r="C224" s="42" t="s">
        <v>272</v>
      </c>
      <c r="D224" s="42" t="s">
        <v>282</v>
      </c>
      <c r="E224" s="42" t="s">
        <v>185</v>
      </c>
      <c r="F224" s="7">
        <f>F225</f>
        <v>304.7</v>
      </c>
      <c r="G224" s="7">
        <f t="shared" ref="G224:L224" si="137">G225</f>
        <v>304.7</v>
      </c>
      <c r="H224" s="7">
        <f t="shared" si="137"/>
        <v>468.2</v>
      </c>
      <c r="I224" s="7">
        <f t="shared" si="137"/>
        <v>468.2</v>
      </c>
      <c r="J224" s="7">
        <f t="shared" si="137"/>
        <v>468.2</v>
      </c>
      <c r="K224" s="7">
        <f t="shared" si="137"/>
        <v>3150</v>
      </c>
      <c r="L224" s="7">
        <f t="shared" si="137"/>
        <v>48.8</v>
      </c>
      <c r="M224" s="7">
        <f t="shared" si="128"/>
        <v>1.549206349206349</v>
      </c>
    </row>
    <row r="225" spans="1:13" ht="47.25">
      <c r="A225" s="31" t="s">
        <v>186</v>
      </c>
      <c r="B225" s="42" t="s">
        <v>268</v>
      </c>
      <c r="C225" s="42" t="s">
        <v>272</v>
      </c>
      <c r="D225" s="42" t="s">
        <v>282</v>
      </c>
      <c r="E225" s="42" t="s">
        <v>187</v>
      </c>
      <c r="F225" s="7">
        <f>'Прил.№4 ведомств.'!G182</f>
        <v>304.7</v>
      </c>
      <c r="G225" s="7">
        <f>'Прил.№4 ведомств.'!I182</f>
        <v>304.7</v>
      </c>
      <c r="H225" s="7">
        <f>'Прил.№4 ведомств.'!J182</f>
        <v>468.2</v>
      </c>
      <c r="I225" s="7">
        <f>'Прил.№4 ведомств.'!K182</f>
        <v>468.2</v>
      </c>
      <c r="J225" s="7">
        <f>'Прил.№4 ведомств.'!L182</f>
        <v>468.2</v>
      </c>
      <c r="K225" s="7">
        <f>'Прил.№4 ведомств.'!M182</f>
        <v>3150</v>
      </c>
      <c r="L225" s="7">
        <f>'Прил.№4 ведомств.'!N182</f>
        <v>48.8</v>
      </c>
      <c r="M225" s="7">
        <f t="shared" si="128"/>
        <v>1.549206349206349</v>
      </c>
    </row>
    <row r="226" spans="1:13" ht="15.75">
      <c r="A226" s="31" t="s">
        <v>283</v>
      </c>
      <c r="B226" s="42" t="s">
        <v>268</v>
      </c>
      <c r="C226" s="42" t="s">
        <v>272</v>
      </c>
      <c r="D226" s="42" t="s">
        <v>284</v>
      </c>
      <c r="E226" s="42"/>
      <c r="F226" s="7">
        <f>F227</f>
        <v>148.30000000000001</v>
      </c>
      <c r="G226" s="7">
        <f t="shared" ref="G226:L227" si="138">G227</f>
        <v>98.3</v>
      </c>
      <c r="H226" s="7">
        <f t="shared" si="138"/>
        <v>610.4</v>
      </c>
      <c r="I226" s="7">
        <f t="shared" si="138"/>
        <v>610.4</v>
      </c>
      <c r="J226" s="7">
        <f t="shared" si="138"/>
        <v>610.4</v>
      </c>
      <c r="K226" s="7">
        <f t="shared" si="138"/>
        <v>50</v>
      </c>
      <c r="L226" s="7">
        <f t="shared" si="138"/>
        <v>0</v>
      </c>
      <c r="M226" s="4">
        <f t="shared" si="128"/>
        <v>0</v>
      </c>
    </row>
    <row r="227" spans="1:13" ht="31.5">
      <c r="A227" s="31" t="s">
        <v>184</v>
      </c>
      <c r="B227" s="42" t="s">
        <v>268</v>
      </c>
      <c r="C227" s="42" t="s">
        <v>272</v>
      </c>
      <c r="D227" s="42" t="s">
        <v>284</v>
      </c>
      <c r="E227" s="42" t="s">
        <v>185</v>
      </c>
      <c r="F227" s="7">
        <f>F228</f>
        <v>148.30000000000001</v>
      </c>
      <c r="G227" s="7">
        <f t="shared" si="138"/>
        <v>98.3</v>
      </c>
      <c r="H227" s="7">
        <f t="shared" si="138"/>
        <v>610.4</v>
      </c>
      <c r="I227" s="7">
        <f t="shared" si="138"/>
        <v>610.4</v>
      </c>
      <c r="J227" s="7">
        <f t="shared" si="138"/>
        <v>610.4</v>
      </c>
      <c r="K227" s="7">
        <f t="shared" si="138"/>
        <v>50</v>
      </c>
      <c r="L227" s="7">
        <f t="shared" si="138"/>
        <v>0</v>
      </c>
      <c r="M227" s="4">
        <f t="shared" si="128"/>
        <v>0</v>
      </c>
    </row>
    <row r="228" spans="1:13" ht="47.25">
      <c r="A228" s="31" t="s">
        <v>186</v>
      </c>
      <c r="B228" s="42" t="s">
        <v>268</v>
      </c>
      <c r="C228" s="42" t="s">
        <v>272</v>
      </c>
      <c r="D228" s="42" t="s">
        <v>284</v>
      </c>
      <c r="E228" s="42" t="s">
        <v>187</v>
      </c>
      <c r="F228" s="7">
        <f>'Прил.№4 ведомств.'!G881+'Прил.№4 ведомств.'!G185</f>
        <v>148.30000000000001</v>
      </c>
      <c r="G228" s="7">
        <f>'Прил.№4 ведомств.'!I881+'Прил.№4 ведомств.'!I185</f>
        <v>98.3</v>
      </c>
      <c r="H228" s="7">
        <f>'Прил.№4 ведомств.'!J881+'Прил.№4 ведомств.'!J185</f>
        <v>610.4</v>
      </c>
      <c r="I228" s="7">
        <f>'Прил.№4 ведомств.'!K881+'Прил.№4 ведомств.'!K185</f>
        <v>610.4</v>
      </c>
      <c r="J228" s="7">
        <f>'Прил.№4 ведомств.'!L881+'Прил.№4 ведомств.'!L185</f>
        <v>610.4</v>
      </c>
      <c r="K228" s="7">
        <f>'Прил.№4 ведомств.'!M881+'Прил.№4 ведомств.'!M185</f>
        <v>50</v>
      </c>
      <c r="L228" s="7">
        <f>'Прил.№4 ведомств.'!N881+'Прил.№4 ведомств.'!N185</f>
        <v>0</v>
      </c>
      <c r="M228" s="4">
        <f t="shared" si="128"/>
        <v>0</v>
      </c>
    </row>
    <row r="229" spans="1:13" ht="15.75">
      <c r="A229" s="43" t="s">
        <v>285</v>
      </c>
      <c r="B229" s="8" t="s">
        <v>203</v>
      </c>
      <c r="C229" s="8"/>
      <c r="D229" s="8"/>
      <c r="E229" s="8"/>
      <c r="F229" s="4">
        <f t="shared" ref="F229:K229" si="139">F246+F252+F259+F230</f>
        <v>20153.2</v>
      </c>
      <c r="G229" s="4">
        <f t="shared" si="139"/>
        <v>20153.2</v>
      </c>
      <c r="H229" s="4">
        <f t="shared" si="139"/>
        <v>20153.2</v>
      </c>
      <c r="I229" s="4">
        <f t="shared" si="139"/>
        <v>20793.2</v>
      </c>
      <c r="J229" s="4">
        <f t="shared" si="139"/>
        <v>20793.2</v>
      </c>
      <c r="K229" s="4">
        <f t="shared" si="139"/>
        <v>12224.5</v>
      </c>
      <c r="L229" s="4">
        <f t="shared" ref="L229" si="140">L246+L252+L259+L230</f>
        <v>1612.5</v>
      </c>
      <c r="M229" s="4">
        <f t="shared" si="128"/>
        <v>13.190723546975336</v>
      </c>
    </row>
    <row r="230" spans="1:13" ht="15.75">
      <c r="A230" s="43" t="s">
        <v>286</v>
      </c>
      <c r="B230" s="8" t="s">
        <v>203</v>
      </c>
      <c r="C230" s="8" t="s">
        <v>287</v>
      </c>
      <c r="D230" s="8"/>
      <c r="E230" s="8"/>
      <c r="F230" s="4">
        <f>F238+F231</f>
        <v>450</v>
      </c>
      <c r="G230" s="4">
        <f t="shared" ref="G230:K230" si="141">G238+G231</f>
        <v>450</v>
      </c>
      <c r="H230" s="4">
        <f t="shared" si="141"/>
        <v>450</v>
      </c>
      <c r="I230" s="4">
        <f t="shared" si="141"/>
        <v>550</v>
      </c>
      <c r="J230" s="4">
        <f t="shared" si="141"/>
        <v>550</v>
      </c>
      <c r="K230" s="4">
        <f t="shared" si="141"/>
        <v>919.6</v>
      </c>
      <c r="L230" s="4">
        <f t="shared" ref="L230" si="142">L238+L231</f>
        <v>175</v>
      </c>
      <c r="M230" s="4">
        <f t="shared" si="128"/>
        <v>19.030013049151805</v>
      </c>
    </row>
    <row r="231" spans="1:13" ht="47.25">
      <c r="A231" s="33" t="s">
        <v>234</v>
      </c>
      <c r="B231" s="21" t="s">
        <v>203</v>
      </c>
      <c r="C231" s="21" t="s">
        <v>287</v>
      </c>
      <c r="D231" s="32" t="s">
        <v>235</v>
      </c>
      <c r="E231" s="34"/>
      <c r="F231" s="7">
        <f>F232</f>
        <v>0</v>
      </c>
      <c r="G231" s="7">
        <f t="shared" ref="G231:L233" si="143">G232</f>
        <v>0</v>
      </c>
      <c r="H231" s="7">
        <f t="shared" si="143"/>
        <v>0</v>
      </c>
      <c r="I231" s="7">
        <f t="shared" si="143"/>
        <v>100</v>
      </c>
      <c r="J231" s="7">
        <f t="shared" si="143"/>
        <v>100</v>
      </c>
      <c r="K231" s="7">
        <f>K232+K236</f>
        <v>120</v>
      </c>
      <c r="L231" s="7">
        <f t="shared" ref="L231" si="144">L232+L236</f>
        <v>5</v>
      </c>
      <c r="M231" s="7">
        <f t="shared" si="128"/>
        <v>4.1666666666666661</v>
      </c>
    </row>
    <row r="232" spans="1:13" ht="31.5">
      <c r="A232" s="26" t="s">
        <v>210</v>
      </c>
      <c r="B232" s="21" t="s">
        <v>203</v>
      </c>
      <c r="C232" s="21" t="s">
        <v>287</v>
      </c>
      <c r="D232" s="21" t="s">
        <v>236</v>
      </c>
      <c r="E232" s="34"/>
      <c r="F232" s="7">
        <f>F233</f>
        <v>0</v>
      </c>
      <c r="G232" s="7">
        <f t="shared" si="143"/>
        <v>0</v>
      </c>
      <c r="H232" s="7">
        <f t="shared" si="143"/>
        <v>0</v>
      </c>
      <c r="I232" s="7">
        <f t="shared" si="143"/>
        <v>100</v>
      </c>
      <c r="J232" s="7">
        <f t="shared" si="143"/>
        <v>100</v>
      </c>
      <c r="K232" s="7">
        <f t="shared" si="143"/>
        <v>119</v>
      </c>
      <c r="L232" s="7">
        <f t="shared" si="143"/>
        <v>5</v>
      </c>
      <c r="M232" s="7">
        <f t="shared" si="128"/>
        <v>4.2016806722689077</v>
      </c>
    </row>
    <row r="233" spans="1:13" ht="15.75">
      <c r="A233" s="31" t="s">
        <v>188</v>
      </c>
      <c r="B233" s="21" t="s">
        <v>203</v>
      </c>
      <c r="C233" s="21" t="s">
        <v>287</v>
      </c>
      <c r="D233" s="21" t="s">
        <v>236</v>
      </c>
      <c r="E233" s="34" t="s">
        <v>198</v>
      </c>
      <c r="F233" s="7">
        <f>F234</f>
        <v>0</v>
      </c>
      <c r="G233" s="7">
        <f t="shared" si="143"/>
        <v>0</v>
      </c>
      <c r="H233" s="7">
        <f t="shared" si="143"/>
        <v>0</v>
      </c>
      <c r="I233" s="7">
        <f t="shared" si="143"/>
        <v>100</v>
      </c>
      <c r="J233" s="7">
        <f t="shared" si="143"/>
        <v>100</v>
      </c>
      <c r="K233" s="7">
        <f t="shared" si="143"/>
        <v>119</v>
      </c>
      <c r="L233" s="7">
        <f t="shared" si="143"/>
        <v>5</v>
      </c>
      <c r="M233" s="7">
        <f t="shared" si="128"/>
        <v>4.2016806722689077</v>
      </c>
    </row>
    <row r="234" spans="1:13" ht="47.25">
      <c r="A234" s="31" t="s">
        <v>237</v>
      </c>
      <c r="B234" s="21" t="s">
        <v>203</v>
      </c>
      <c r="C234" s="21" t="s">
        <v>287</v>
      </c>
      <c r="D234" s="21" t="s">
        <v>236</v>
      </c>
      <c r="E234" s="34" t="s">
        <v>213</v>
      </c>
      <c r="F234" s="7">
        <f>'Прил.№4 ведомств.'!G191</f>
        <v>0</v>
      </c>
      <c r="G234" s="7">
        <f>'Прил.№4 ведомств.'!H191</f>
        <v>0</v>
      </c>
      <c r="H234" s="7">
        <f>'Прил.№4 ведомств.'!I191</f>
        <v>0</v>
      </c>
      <c r="I234" s="7">
        <f>'Прил.№4 ведомств.'!J191</f>
        <v>100</v>
      </c>
      <c r="J234" s="7">
        <f>'Прил.№4 ведомств.'!K191</f>
        <v>100</v>
      </c>
      <c r="K234" s="7">
        <f>'Прил.№4 ведомств.'!M191</f>
        <v>119</v>
      </c>
      <c r="L234" s="7">
        <f>'Прил.№4 ведомств.'!N191</f>
        <v>5</v>
      </c>
      <c r="M234" s="7">
        <f t="shared" si="128"/>
        <v>4.2016806722689077</v>
      </c>
    </row>
    <row r="235" spans="1:13" ht="31.5">
      <c r="A235" s="26" t="s">
        <v>987</v>
      </c>
      <c r="B235" s="21" t="s">
        <v>203</v>
      </c>
      <c r="C235" s="21" t="s">
        <v>287</v>
      </c>
      <c r="D235" s="21" t="s">
        <v>989</v>
      </c>
      <c r="E235" s="34"/>
      <c r="F235" s="7"/>
      <c r="G235" s="7"/>
      <c r="H235" s="7"/>
      <c r="I235" s="7"/>
      <c r="J235" s="7"/>
      <c r="K235" s="7">
        <f>K236</f>
        <v>1</v>
      </c>
      <c r="L235" s="7">
        <f t="shared" ref="L235:L236" si="145">L236</f>
        <v>0</v>
      </c>
      <c r="M235" s="7">
        <f t="shared" si="128"/>
        <v>0</v>
      </c>
    </row>
    <row r="236" spans="1:13" ht="15.75">
      <c r="A236" s="31" t="s">
        <v>188</v>
      </c>
      <c r="B236" s="21" t="s">
        <v>203</v>
      </c>
      <c r="C236" s="21" t="s">
        <v>287</v>
      </c>
      <c r="D236" s="21" t="s">
        <v>989</v>
      </c>
      <c r="E236" s="34" t="s">
        <v>198</v>
      </c>
      <c r="F236" s="7"/>
      <c r="G236" s="7"/>
      <c r="H236" s="7"/>
      <c r="I236" s="7"/>
      <c r="J236" s="7"/>
      <c r="K236" s="7">
        <f>K237</f>
        <v>1</v>
      </c>
      <c r="L236" s="7">
        <f t="shared" si="145"/>
        <v>0</v>
      </c>
      <c r="M236" s="7">
        <f t="shared" si="128"/>
        <v>0</v>
      </c>
    </row>
    <row r="237" spans="1:13" ht="47.25">
      <c r="A237" s="31" t="s">
        <v>237</v>
      </c>
      <c r="B237" s="21" t="s">
        <v>203</v>
      </c>
      <c r="C237" s="21" t="s">
        <v>287</v>
      </c>
      <c r="D237" s="21" t="s">
        <v>989</v>
      </c>
      <c r="E237" s="34" t="s">
        <v>213</v>
      </c>
      <c r="F237" s="7"/>
      <c r="G237" s="7"/>
      <c r="H237" s="7"/>
      <c r="I237" s="7"/>
      <c r="J237" s="7"/>
      <c r="K237" s="7">
        <f>'Прил.№4 ведомств.'!M194</f>
        <v>1</v>
      </c>
      <c r="L237" s="7">
        <f>'Прил.№4 ведомств.'!N194</f>
        <v>0</v>
      </c>
      <c r="M237" s="7">
        <f t="shared" si="128"/>
        <v>0</v>
      </c>
    </row>
    <row r="238" spans="1:13" ht="15.75">
      <c r="A238" s="31" t="s">
        <v>174</v>
      </c>
      <c r="B238" s="42" t="s">
        <v>203</v>
      </c>
      <c r="C238" s="42" t="s">
        <v>287</v>
      </c>
      <c r="D238" s="42" t="s">
        <v>175</v>
      </c>
      <c r="E238" s="42"/>
      <c r="F238" s="7">
        <f>F239</f>
        <v>450</v>
      </c>
      <c r="G238" s="7">
        <f t="shared" ref="G238:L244" si="146">G239</f>
        <v>450</v>
      </c>
      <c r="H238" s="7">
        <f t="shared" si="146"/>
        <v>450</v>
      </c>
      <c r="I238" s="7">
        <f t="shared" si="146"/>
        <v>450</v>
      </c>
      <c r="J238" s="7">
        <f t="shared" si="146"/>
        <v>450</v>
      </c>
      <c r="K238" s="7">
        <f>K239</f>
        <v>799.6</v>
      </c>
      <c r="L238" s="7">
        <f t="shared" ref="L238" si="147">L239</f>
        <v>170</v>
      </c>
      <c r="M238" s="7">
        <f t="shared" si="128"/>
        <v>21.260630315157577</v>
      </c>
    </row>
    <row r="239" spans="1:13" ht="31.5">
      <c r="A239" s="31" t="s">
        <v>238</v>
      </c>
      <c r="B239" s="42" t="s">
        <v>203</v>
      </c>
      <c r="C239" s="42" t="s">
        <v>287</v>
      </c>
      <c r="D239" s="42" t="s">
        <v>239</v>
      </c>
      <c r="E239" s="42"/>
      <c r="F239" s="7">
        <f>F243</f>
        <v>450</v>
      </c>
      <c r="G239" s="7">
        <f>G243</f>
        <v>450</v>
      </c>
      <c r="H239" s="7">
        <f>H243</f>
        <v>450</v>
      </c>
      <c r="I239" s="7">
        <f>I243</f>
        <v>450</v>
      </c>
      <c r="J239" s="7">
        <f>J243</f>
        <v>450</v>
      </c>
      <c r="K239" s="7">
        <f>K243+K240</f>
        <v>799.6</v>
      </c>
      <c r="L239" s="7">
        <f t="shared" ref="L239" si="148">L243+L240</f>
        <v>170</v>
      </c>
      <c r="M239" s="7">
        <f t="shared" si="128"/>
        <v>21.260630315157577</v>
      </c>
    </row>
    <row r="240" spans="1:13" ht="31.5">
      <c r="A240" s="26" t="s">
        <v>987</v>
      </c>
      <c r="B240" s="42" t="s">
        <v>203</v>
      </c>
      <c r="C240" s="42" t="s">
        <v>287</v>
      </c>
      <c r="D240" s="21" t="s">
        <v>988</v>
      </c>
      <c r="E240" s="42"/>
      <c r="F240" s="7"/>
      <c r="G240" s="7"/>
      <c r="H240" s="7"/>
      <c r="I240" s="7"/>
      <c r="J240" s="7"/>
      <c r="K240" s="7">
        <f>K241</f>
        <v>289.60000000000002</v>
      </c>
      <c r="L240" s="7">
        <f t="shared" ref="L240:L241" si="149">L241</f>
        <v>0</v>
      </c>
      <c r="M240" s="7">
        <f t="shared" si="128"/>
        <v>0</v>
      </c>
    </row>
    <row r="241" spans="1:13" ht="15.75">
      <c r="A241" s="31" t="s">
        <v>188</v>
      </c>
      <c r="B241" s="42" t="s">
        <v>203</v>
      </c>
      <c r="C241" s="42" t="s">
        <v>287</v>
      </c>
      <c r="D241" s="21" t="s">
        <v>988</v>
      </c>
      <c r="E241" s="42" t="s">
        <v>198</v>
      </c>
      <c r="F241" s="7"/>
      <c r="G241" s="7"/>
      <c r="H241" s="7"/>
      <c r="I241" s="7"/>
      <c r="J241" s="7"/>
      <c r="K241" s="7">
        <f>K242</f>
        <v>289.60000000000002</v>
      </c>
      <c r="L241" s="7">
        <f t="shared" si="149"/>
        <v>0</v>
      </c>
      <c r="M241" s="7">
        <f t="shared" si="128"/>
        <v>0</v>
      </c>
    </row>
    <row r="242" spans="1:13" ht="47.25">
      <c r="A242" s="31" t="s">
        <v>237</v>
      </c>
      <c r="B242" s="42" t="s">
        <v>203</v>
      </c>
      <c r="C242" s="42" t="s">
        <v>287</v>
      </c>
      <c r="D242" s="21" t="s">
        <v>988</v>
      </c>
      <c r="E242" s="42" t="s">
        <v>213</v>
      </c>
      <c r="F242" s="7"/>
      <c r="G242" s="7"/>
      <c r="H242" s="7"/>
      <c r="I242" s="7"/>
      <c r="J242" s="7"/>
      <c r="K242" s="7">
        <f>'Прил.№4 ведомств.'!M199</f>
        <v>289.60000000000002</v>
      </c>
      <c r="L242" s="7">
        <f>'Прил.№4 ведомств.'!N199</f>
        <v>0</v>
      </c>
      <c r="M242" s="7">
        <f t="shared" si="128"/>
        <v>0</v>
      </c>
    </row>
    <row r="243" spans="1:13" ht="31.5">
      <c r="A243" s="26" t="s">
        <v>655</v>
      </c>
      <c r="B243" s="42" t="s">
        <v>203</v>
      </c>
      <c r="C243" s="42" t="s">
        <v>287</v>
      </c>
      <c r="D243" s="42" t="s">
        <v>289</v>
      </c>
      <c r="E243" s="42"/>
      <c r="F243" s="7">
        <f>F244</f>
        <v>450</v>
      </c>
      <c r="G243" s="7">
        <f t="shared" si="146"/>
        <v>450</v>
      </c>
      <c r="H243" s="7">
        <f t="shared" si="146"/>
        <v>450</v>
      </c>
      <c r="I243" s="7">
        <f t="shared" si="146"/>
        <v>450</v>
      </c>
      <c r="J243" s="7">
        <f t="shared" si="146"/>
        <v>450</v>
      </c>
      <c r="K243" s="7">
        <f t="shared" si="146"/>
        <v>510</v>
      </c>
      <c r="L243" s="7">
        <f t="shared" si="146"/>
        <v>170</v>
      </c>
      <c r="M243" s="7">
        <f t="shared" si="128"/>
        <v>33.333333333333329</v>
      </c>
    </row>
    <row r="244" spans="1:13" ht="15.75">
      <c r="A244" s="31" t="s">
        <v>188</v>
      </c>
      <c r="B244" s="42" t="s">
        <v>203</v>
      </c>
      <c r="C244" s="42" t="s">
        <v>287</v>
      </c>
      <c r="D244" s="42" t="s">
        <v>289</v>
      </c>
      <c r="E244" s="42" t="s">
        <v>198</v>
      </c>
      <c r="F244" s="7">
        <f>F245</f>
        <v>450</v>
      </c>
      <c r="G244" s="7">
        <f t="shared" si="146"/>
        <v>450</v>
      </c>
      <c r="H244" s="7">
        <f t="shared" si="146"/>
        <v>450</v>
      </c>
      <c r="I244" s="7">
        <f t="shared" si="146"/>
        <v>450</v>
      </c>
      <c r="J244" s="7">
        <f t="shared" si="146"/>
        <v>450</v>
      </c>
      <c r="K244" s="7">
        <f t="shared" si="146"/>
        <v>510</v>
      </c>
      <c r="L244" s="7">
        <f t="shared" si="146"/>
        <v>170</v>
      </c>
      <c r="M244" s="7">
        <f t="shared" si="128"/>
        <v>33.333333333333329</v>
      </c>
    </row>
    <row r="245" spans="1:13" ht="47.25">
      <c r="A245" s="26" t="s">
        <v>237</v>
      </c>
      <c r="B245" s="42" t="s">
        <v>203</v>
      </c>
      <c r="C245" s="42" t="s">
        <v>287</v>
      </c>
      <c r="D245" s="42" t="s">
        <v>289</v>
      </c>
      <c r="E245" s="42" t="s">
        <v>213</v>
      </c>
      <c r="F245" s="7">
        <f>'Прил.№4 ведомств.'!G202</f>
        <v>450</v>
      </c>
      <c r="G245" s="7">
        <f>'Прил.№4 ведомств.'!I202</f>
        <v>450</v>
      </c>
      <c r="H245" s="7">
        <f>'Прил.№4 ведомств.'!J202</f>
        <v>450</v>
      </c>
      <c r="I245" s="7">
        <f>'Прил.№4 ведомств.'!K202</f>
        <v>450</v>
      </c>
      <c r="J245" s="7">
        <f>'Прил.№4 ведомств.'!L202</f>
        <v>450</v>
      </c>
      <c r="K245" s="7">
        <f>'Прил.№4 ведомств.'!M202</f>
        <v>510</v>
      </c>
      <c r="L245" s="7">
        <f>'Прил.№4 ведомств.'!N202</f>
        <v>170</v>
      </c>
      <c r="M245" s="7">
        <f t="shared" si="128"/>
        <v>33.333333333333329</v>
      </c>
    </row>
    <row r="246" spans="1:13" ht="15.75">
      <c r="A246" s="43" t="s">
        <v>559</v>
      </c>
      <c r="B246" s="8" t="s">
        <v>203</v>
      </c>
      <c r="C246" s="8" t="s">
        <v>352</v>
      </c>
      <c r="D246" s="8"/>
      <c r="E246" s="8"/>
      <c r="F246" s="4">
        <f>F247</f>
        <v>3207.7</v>
      </c>
      <c r="G246" s="4">
        <f t="shared" ref="G246:L250" si="150">G247</f>
        <v>3207.7</v>
      </c>
      <c r="H246" s="4">
        <f t="shared" si="150"/>
        <v>3207.7</v>
      </c>
      <c r="I246" s="4">
        <f t="shared" si="150"/>
        <v>3207.7</v>
      </c>
      <c r="J246" s="4">
        <f t="shared" si="150"/>
        <v>3207.7</v>
      </c>
      <c r="K246" s="4">
        <f t="shared" si="150"/>
        <v>3258.3</v>
      </c>
      <c r="L246" s="4">
        <f t="shared" si="150"/>
        <v>522</v>
      </c>
      <c r="M246" s="4">
        <f t="shared" si="128"/>
        <v>16.020624251910505</v>
      </c>
    </row>
    <row r="247" spans="1:13" ht="15.75">
      <c r="A247" s="31" t="s">
        <v>174</v>
      </c>
      <c r="B247" s="42" t="s">
        <v>203</v>
      </c>
      <c r="C247" s="42" t="s">
        <v>352</v>
      </c>
      <c r="D247" s="42" t="s">
        <v>175</v>
      </c>
      <c r="E247" s="8"/>
      <c r="F247" s="7">
        <f>F248</f>
        <v>3207.7</v>
      </c>
      <c r="G247" s="7">
        <f t="shared" si="150"/>
        <v>3207.7</v>
      </c>
      <c r="H247" s="7">
        <f t="shared" si="150"/>
        <v>3207.7</v>
      </c>
      <c r="I247" s="7">
        <f t="shared" si="150"/>
        <v>3207.7</v>
      </c>
      <c r="J247" s="7">
        <f t="shared" si="150"/>
        <v>3207.7</v>
      </c>
      <c r="K247" s="7">
        <f t="shared" si="150"/>
        <v>3258.3</v>
      </c>
      <c r="L247" s="7">
        <f t="shared" si="150"/>
        <v>522</v>
      </c>
      <c r="M247" s="7">
        <f t="shared" si="128"/>
        <v>16.020624251910505</v>
      </c>
    </row>
    <row r="248" spans="1:13" ht="15.75">
      <c r="A248" s="31" t="s">
        <v>194</v>
      </c>
      <c r="B248" s="42" t="s">
        <v>203</v>
      </c>
      <c r="C248" s="42" t="s">
        <v>352</v>
      </c>
      <c r="D248" s="42" t="s">
        <v>195</v>
      </c>
      <c r="E248" s="8"/>
      <c r="F248" s="7">
        <f>F249</f>
        <v>3207.7</v>
      </c>
      <c r="G248" s="7">
        <f t="shared" si="150"/>
        <v>3207.7</v>
      </c>
      <c r="H248" s="7">
        <f t="shared" si="150"/>
        <v>3207.7</v>
      </c>
      <c r="I248" s="7">
        <f t="shared" si="150"/>
        <v>3207.7</v>
      </c>
      <c r="J248" s="7">
        <f t="shared" si="150"/>
        <v>3207.7</v>
      </c>
      <c r="K248" s="7">
        <f t="shared" si="150"/>
        <v>3258.3</v>
      </c>
      <c r="L248" s="7">
        <f t="shared" si="150"/>
        <v>522</v>
      </c>
      <c r="M248" s="7">
        <f t="shared" si="128"/>
        <v>16.020624251910505</v>
      </c>
    </row>
    <row r="249" spans="1:13" ht="31.5">
      <c r="A249" s="31" t="s">
        <v>560</v>
      </c>
      <c r="B249" s="42" t="s">
        <v>203</v>
      </c>
      <c r="C249" s="42" t="s">
        <v>352</v>
      </c>
      <c r="D249" s="42" t="s">
        <v>561</v>
      </c>
      <c r="E249" s="42"/>
      <c r="F249" s="7">
        <f>F250</f>
        <v>3207.7</v>
      </c>
      <c r="G249" s="7">
        <f t="shared" si="150"/>
        <v>3207.7</v>
      </c>
      <c r="H249" s="7">
        <f t="shared" si="150"/>
        <v>3207.7</v>
      </c>
      <c r="I249" s="7">
        <f t="shared" si="150"/>
        <v>3207.7</v>
      </c>
      <c r="J249" s="7">
        <f t="shared" si="150"/>
        <v>3207.7</v>
      </c>
      <c r="K249" s="7">
        <f t="shared" si="150"/>
        <v>3258.3</v>
      </c>
      <c r="L249" s="7">
        <f t="shared" si="150"/>
        <v>522</v>
      </c>
      <c r="M249" s="7">
        <f t="shared" si="128"/>
        <v>16.020624251910505</v>
      </c>
    </row>
    <row r="250" spans="1:13" ht="31.5">
      <c r="A250" s="31" t="s">
        <v>184</v>
      </c>
      <c r="B250" s="42" t="s">
        <v>203</v>
      </c>
      <c r="C250" s="42" t="s">
        <v>352</v>
      </c>
      <c r="D250" s="42" t="s">
        <v>561</v>
      </c>
      <c r="E250" s="42" t="s">
        <v>185</v>
      </c>
      <c r="F250" s="7">
        <f>F251</f>
        <v>3207.7</v>
      </c>
      <c r="G250" s="7">
        <f t="shared" si="150"/>
        <v>3207.7</v>
      </c>
      <c r="H250" s="7">
        <f t="shared" si="150"/>
        <v>3207.7</v>
      </c>
      <c r="I250" s="7">
        <f t="shared" si="150"/>
        <v>3207.7</v>
      </c>
      <c r="J250" s="7">
        <f t="shared" si="150"/>
        <v>3207.7</v>
      </c>
      <c r="K250" s="7">
        <f t="shared" si="150"/>
        <v>3258.3</v>
      </c>
      <c r="L250" s="7">
        <f t="shared" si="150"/>
        <v>522</v>
      </c>
      <c r="M250" s="7">
        <f t="shared" si="128"/>
        <v>16.020624251910505</v>
      </c>
    </row>
    <row r="251" spans="1:13" ht="47.25">
      <c r="A251" s="31" t="s">
        <v>186</v>
      </c>
      <c r="B251" s="42" t="s">
        <v>203</v>
      </c>
      <c r="C251" s="42" t="s">
        <v>352</v>
      </c>
      <c r="D251" s="42" t="s">
        <v>561</v>
      </c>
      <c r="E251" s="42" t="s">
        <v>187</v>
      </c>
      <c r="F251" s="63">
        <f>'Прил.№4 ведомств.'!G888</f>
        <v>3207.7</v>
      </c>
      <c r="G251" s="63">
        <f>'Прил.№4 ведомств.'!I888</f>
        <v>3207.7</v>
      </c>
      <c r="H251" s="63">
        <f>'Прил.№4 ведомств.'!J888</f>
        <v>3207.7</v>
      </c>
      <c r="I251" s="63">
        <f>'Прил.№4 ведомств.'!K888</f>
        <v>3207.7</v>
      </c>
      <c r="J251" s="63">
        <f>'Прил.№4 ведомств.'!L888</f>
        <v>3207.7</v>
      </c>
      <c r="K251" s="63">
        <f>'Прил.№4 ведомств.'!M888</f>
        <v>3258.3</v>
      </c>
      <c r="L251" s="63">
        <f>'Прил.№4 ведомств.'!N888</f>
        <v>522</v>
      </c>
      <c r="M251" s="7">
        <f t="shared" si="128"/>
        <v>16.020624251910505</v>
      </c>
    </row>
    <row r="252" spans="1:13" ht="15.75">
      <c r="A252" s="43" t="s">
        <v>562</v>
      </c>
      <c r="B252" s="8" t="s">
        <v>203</v>
      </c>
      <c r="C252" s="8" t="s">
        <v>272</v>
      </c>
      <c r="D252" s="42"/>
      <c r="E252" s="8"/>
      <c r="F252" s="4">
        <f>F253</f>
        <v>15124.1</v>
      </c>
      <c r="G252" s="4">
        <f t="shared" ref="G252:L253" si="151">G253</f>
        <v>15124.1</v>
      </c>
      <c r="H252" s="4">
        <f t="shared" si="151"/>
        <v>15124.1</v>
      </c>
      <c r="I252" s="4">
        <f t="shared" si="151"/>
        <v>15124.1</v>
      </c>
      <c r="J252" s="4">
        <f t="shared" si="151"/>
        <v>15124.1</v>
      </c>
      <c r="K252" s="4">
        <f t="shared" si="151"/>
        <v>6895.3</v>
      </c>
      <c r="L252" s="4">
        <f t="shared" si="151"/>
        <v>837.3</v>
      </c>
      <c r="M252" s="4">
        <f t="shared" si="128"/>
        <v>12.143053964294518</v>
      </c>
    </row>
    <row r="253" spans="1:13" ht="47.25">
      <c r="A253" s="31" t="s">
        <v>656</v>
      </c>
      <c r="B253" s="42" t="s">
        <v>203</v>
      </c>
      <c r="C253" s="42" t="s">
        <v>272</v>
      </c>
      <c r="D253" s="42" t="s">
        <v>564</v>
      </c>
      <c r="E253" s="42"/>
      <c r="F253" s="11">
        <f>F254</f>
        <v>15124.1</v>
      </c>
      <c r="G253" s="11">
        <f t="shared" si="151"/>
        <v>15124.1</v>
      </c>
      <c r="H253" s="11">
        <f t="shared" si="151"/>
        <v>15124.1</v>
      </c>
      <c r="I253" s="11">
        <f t="shared" si="151"/>
        <v>15124.1</v>
      </c>
      <c r="J253" s="11">
        <f t="shared" si="151"/>
        <v>15124.1</v>
      </c>
      <c r="K253" s="11">
        <f t="shared" si="151"/>
        <v>6895.3</v>
      </c>
      <c r="L253" s="11">
        <f t="shared" si="151"/>
        <v>837.3</v>
      </c>
      <c r="M253" s="7">
        <f t="shared" si="128"/>
        <v>12.143053964294518</v>
      </c>
    </row>
    <row r="254" spans="1:13" ht="15.75">
      <c r="A254" s="31" t="s">
        <v>565</v>
      </c>
      <c r="B254" s="42" t="s">
        <v>203</v>
      </c>
      <c r="C254" s="42" t="s">
        <v>272</v>
      </c>
      <c r="D254" s="42" t="s">
        <v>566</v>
      </c>
      <c r="E254" s="42"/>
      <c r="F254" s="11">
        <f>F255+F257</f>
        <v>15124.1</v>
      </c>
      <c r="G254" s="11">
        <f t="shared" ref="G254:K254" si="152">G255+G257</f>
        <v>15124.1</v>
      </c>
      <c r="H254" s="11">
        <f t="shared" si="152"/>
        <v>15124.1</v>
      </c>
      <c r="I254" s="11">
        <f t="shared" si="152"/>
        <v>15124.1</v>
      </c>
      <c r="J254" s="11">
        <f t="shared" si="152"/>
        <v>15124.1</v>
      </c>
      <c r="K254" s="11">
        <f t="shared" si="152"/>
        <v>6895.3</v>
      </c>
      <c r="L254" s="11">
        <f t="shared" ref="L254" si="153">L255+L257</f>
        <v>837.3</v>
      </c>
      <c r="M254" s="7">
        <f t="shared" si="128"/>
        <v>12.143053964294518</v>
      </c>
    </row>
    <row r="255" spans="1:13" ht="31.5">
      <c r="A255" s="31" t="s">
        <v>184</v>
      </c>
      <c r="B255" s="42" t="s">
        <v>203</v>
      </c>
      <c r="C255" s="42" t="s">
        <v>272</v>
      </c>
      <c r="D255" s="42" t="s">
        <v>566</v>
      </c>
      <c r="E255" s="42" t="s">
        <v>185</v>
      </c>
      <c r="F255" s="11">
        <f>F256</f>
        <v>15108.1</v>
      </c>
      <c r="G255" s="11">
        <f t="shared" ref="G255:L255" si="154">G256</f>
        <v>15108.1</v>
      </c>
      <c r="H255" s="11">
        <f t="shared" si="154"/>
        <v>15108.1</v>
      </c>
      <c r="I255" s="11">
        <f t="shared" si="154"/>
        <v>15108.1</v>
      </c>
      <c r="J255" s="11">
        <f t="shared" si="154"/>
        <v>15108.1</v>
      </c>
      <c r="K255" s="11">
        <f t="shared" si="154"/>
        <v>6879.3</v>
      </c>
      <c r="L255" s="11">
        <f t="shared" si="154"/>
        <v>837.3</v>
      </c>
      <c r="M255" s="7">
        <f t="shared" si="128"/>
        <v>12.171296498190221</v>
      </c>
    </row>
    <row r="256" spans="1:13" ht="47.25">
      <c r="A256" s="31" t="s">
        <v>186</v>
      </c>
      <c r="B256" s="42" t="s">
        <v>203</v>
      </c>
      <c r="C256" s="42" t="s">
        <v>272</v>
      </c>
      <c r="D256" s="42" t="s">
        <v>566</v>
      </c>
      <c r="E256" s="42" t="s">
        <v>187</v>
      </c>
      <c r="F256" s="63">
        <f>'Прил.№4 ведомств.'!G893</f>
        <v>15108.1</v>
      </c>
      <c r="G256" s="63">
        <f>'Прил.№4 ведомств.'!I893</f>
        <v>15108.1</v>
      </c>
      <c r="H256" s="63">
        <f>'Прил.№4 ведомств.'!J893</f>
        <v>15108.1</v>
      </c>
      <c r="I256" s="63">
        <f>'Прил.№4 ведомств.'!K893</f>
        <v>15108.1</v>
      </c>
      <c r="J256" s="63">
        <f>'Прил.№4 ведомств.'!L893</f>
        <v>15108.1</v>
      </c>
      <c r="K256" s="63">
        <f>'Прил.№4 ведомств.'!M893</f>
        <v>6879.3</v>
      </c>
      <c r="L256" s="63">
        <f>'Прил.№4 ведомств.'!N893</f>
        <v>837.3</v>
      </c>
      <c r="M256" s="7">
        <f t="shared" si="128"/>
        <v>12.171296498190221</v>
      </c>
    </row>
    <row r="257" spans="1:13" ht="15.75">
      <c r="A257" s="31" t="s">
        <v>188</v>
      </c>
      <c r="B257" s="42" t="s">
        <v>203</v>
      </c>
      <c r="C257" s="42" t="s">
        <v>272</v>
      </c>
      <c r="D257" s="42" t="s">
        <v>566</v>
      </c>
      <c r="E257" s="42" t="s">
        <v>198</v>
      </c>
      <c r="F257" s="63">
        <f>F258</f>
        <v>16</v>
      </c>
      <c r="G257" s="63">
        <f t="shared" ref="G257:L257" si="155">G258</f>
        <v>16</v>
      </c>
      <c r="H257" s="63">
        <f t="shared" si="155"/>
        <v>16</v>
      </c>
      <c r="I257" s="63">
        <f t="shared" si="155"/>
        <v>16</v>
      </c>
      <c r="J257" s="63">
        <f t="shared" si="155"/>
        <v>16</v>
      </c>
      <c r="K257" s="63">
        <f t="shared" si="155"/>
        <v>16</v>
      </c>
      <c r="L257" s="63">
        <f t="shared" si="155"/>
        <v>0</v>
      </c>
      <c r="M257" s="7">
        <f t="shared" si="128"/>
        <v>0</v>
      </c>
    </row>
    <row r="258" spans="1:13" ht="15.75">
      <c r="A258" s="31" t="s">
        <v>622</v>
      </c>
      <c r="B258" s="42" t="s">
        <v>203</v>
      </c>
      <c r="C258" s="42" t="s">
        <v>272</v>
      </c>
      <c r="D258" s="42" t="s">
        <v>566</v>
      </c>
      <c r="E258" s="42" t="s">
        <v>191</v>
      </c>
      <c r="F258" s="63">
        <f>'Прил.№4 ведомств.'!G895</f>
        <v>16</v>
      </c>
      <c r="G258" s="63">
        <f>'Прил.№4 ведомств.'!I895</f>
        <v>16</v>
      </c>
      <c r="H258" s="63">
        <f>'Прил.№4 ведомств.'!J895</f>
        <v>16</v>
      </c>
      <c r="I258" s="63">
        <f>'Прил.№4 ведомств.'!K895</f>
        <v>16</v>
      </c>
      <c r="J258" s="63">
        <f>'Прил.№4 ведомств.'!L895</f>
        <v>16</v>
      </c>
      <c r="K258" s="63">
        <f>'Прил.№4 ведомств.'!M895</f>
        <v>16</v>
      </c>
      <c r="L258" s="63">
        <f>'Прил.№4 ведомств.'!N895</f>
        <v>0</v>
      </c>
      <c r="M258" s="7">
        <f t="shared" si="128"/>
        <v>0</v>
      </c>
    </row>
    <row r="259" spans="1:13" ht="31.5">
      <c r="A259" s="43" t="s">
        <v>290</v>
      </c>
      <c r="B259" s="8" t="s">
        <v>203</v>
      </c>
      <c r="C259" s="8" t="s">
        <v>291</v>
      </c>
      <c r="D259" s="8"/>
      <c r="E259" s="8"/>
      <c r="F259" s="68">
        <f>F264+F260</f>
        <v>1371.3999999999999</v>
      </c>
      <c r="G259" s="68">
        <f t="shared" ref="G259:K259" si="156">G264+G260</f>
        <v>1371.3999999999999</v>
      </c>
      <c r="H259" s="68">
        <f t="shared" si="156"/>
        <v>1371.3999999999999</v>
      </c>
      <c r="I259" s="68">
        <f t="shared" si="156"/>
        <v>1911.3999999999999</v>
      </c>
      <c r="J259" s="68">
        <f t="shared" si="156"/>
        <v>1911.3999999999999</v>
      </c>
      <c r="K259" s="68">
        <f t="shared" si="156"/>
        <v>1151.3</v>
      </c>
      <c r="L259" s="68">
        <f t="shared" ref="L259" si="157">L264+L260</f>
        <v>78.2</v>
      </c>
      <c r="M259" s="4">
        <f t="shared" si="128"/>
        <v>6.7923217232693487</v>
      </c>
    </row>
    <row r="260" spans="1:13" ht="47.25">
      <c r="A260" s="26" t="s">
        <v>208</v>
      </c>
      <c r="B260" s="21" t="s">
        <v>203</v>
      </c>
      <c r="C260" s="21" t="s">
        <v>291</v>
      </c>
      <c r="D260" s="21" t="s">
        <v>209</v>
      </c>
      <c r="E260" s="21"/>
      <c r="F260" s="11">
        <f>F261</f>
        <v>0</v>
      </c>
      <c r="G260" s="11">
        <f t="shared" ref="G260:L262" si="158">G261</f>
        <v>0</v>
      </c>
      <c r="H260" s="11">
        <f t="shared" si="158"/>
        <v>0</v>
      </c>
      <c r="I260" s="11">
        <f t="shared" si="158"/>
        <v>540</v>
      </c>
      <c r="J260" s="11">
        <f t="shared" si="158"/>
        <v>540</v>
      </c>
      <c r="K260" s="11">
        <f t="shared" si="158"/>
        <v>250</v>
      </c>
      <c r="L260" s="11">
        <f t="shared" si="158"/>
        <v>0</v>
      </c>
      <c r="M260" s="7">
        <f t="shared" si="128"/>
        <v>0</v>
      </c>
    </row>
    <row r="261" spans="1:13" ht="31.5">
      <c r="A261" s="26" t="s">
        <v>210</v>
      </c>
      <c r="B261" s="21" t="s">
        <v>203</v>
      </c>
      <c r="C261" s="21" t="s">
        <v>291</v>
      </c>
      <c r="D261" s="21" t="s">
        <v>211</v>
      </c>
      <c r="E261" s="21"/>
      <c r="F261" s="11">
        <f>F262</f>
        <v>0</v>
      </c>
      <c r="G261" s="11">
        <f t="shared" si="158"/>
        <v>0</v>
      </c>
      <c r="H261" s="11">
        <f t="shared" si="158"/>
        <v>0</v>
      </c>
      <c r="I261" s="11">
        <f t="shared" si="158"/>
        <v>540</v>
      </c>
      <c r="J261" s="11">
        <f t="shared" si="158"/>
        <v>540</v>
      </c>
      <c r="K261" s="11">
        <f t="shared" si="158"/>
        <v>250</v>
      </c>
      <c r="L261" s="11">
        <f t="shared" si="158"/>
        <v>0</v>
      </c>
      <c r="M261" s="7">
        <f t="shared" si="128"/>
        <v>0</v>
      </c>
    </row>
    <row r="262" spans="1:13" ht="15.75">
      <c r="A262" s="26" t="s">
        <v>188</v>
      </c>
      <c r="B262" s="21" t="s">
        <v>203</v>
      </c>
      <c r="C262" s="21" t="s">
        <v>291</v>
      </c>
      <c r="D262" s="21" t="s">
        <v>211</v>
      </c>
      <c r="E262" s="21" t="s">
        <v>198</v>
      </c>
      <c r="F262" s="11">
        <f>F263</f>
        <v>0</v>
      </c>
      <c r="G262" s="11">
        <f t="shared" si="158"/>
        <v>0</v>
      </c>
      <c r="H262" s="11">
        <f t="shared" si="158"/>
        <v>0</v>
      </c>
      <c r="I262" s="11">
        <f t="shared" si="158"/>
        <v>540</v>
      </c>
      <c r="J262" s="11">
        <f t="shared" si="158"/>
        <v>540</v>
      </c>
      <c r="K262" s="11">
        <f t="shared" si="158"/>
        <v>250</v>
      </c>
      <c r="L262" s="11">
        <f t="shared" si="158"/>
        <v>0</v>
      </c>
      <c r="M262" s="7">
        <f t="shared" si="128"/>
        <v>0</v>
      </c>
    </row>
    <row r="263" spans="1:13" ht="63">
      <c r="A263" s="26" t="s">
        <v>212</v>
      </c>
      <c r="B263" s="21" t="s">
        <v>203</v>
      </c>
      <c r="C263" s="21" t="s">
        <v>291</v>
      </c>
      <c r="D263" s="21" t="s">
        <v>211</v>
      </c>
      <c r="E263" s="21" t="s">
        <v>213</v>
      </c>
      <c r="F263" s="11">
        <f>'Прил.№4 ведомств.'!G207</f>
        <v>0</v>
      </c>
      <c r="G263" s="11">
        <f>'Прил.№4 ведомств.'!H207</f>
        <v>0</v>
      </c>
      <c r="H263" s="11">
        <f>'Прил.№4 ведомств.'!I207</f>
        <v>0</v>
      </c>
      <c r="I263" s="11">
        <f>'Прил.№4 ведомств.'!J207</f>
        <v>540</v>
      </c>
      <c r="J263" s="11">
        <f>'Прил.№4 ведомств.'!K207</f>
        <v>540</v>
      </c>
      <c r="K263" s="11">
        <f>'Прил.№4 ведомств.'!M207</f>
        <v>250</v>
      </c>
      <c r="L263" s="11">
        <f>'Прил.№4 ведомств.'!N207</f>
        <v>0</v>
      </c>
      <c r="M263" s="7">
        <f t="shared" si="128"/>
        <v>0</v>
      </c>
    </row>
    <row r="264" spans="1:13" ht="15.75">
      <c r="A264" s="31" t="s">
        <v>174</v>
      </c>
      <c r="B264" s="42" t="s">
        <v>203</v>
      </c>
      <c r="C264" s="42" t="s">
        <v>291</v>
      </c>
      <c r="D264" s="42" t="s">
        <v>175</v>
      </c>
      <c r="E264" s="8"/>
      <c r="F264" s="11">
        <f>F265</f>
        <v>1371.3999999999999</v>
      </c>
      <c r="G264" s="11">
        <f t="shared" ref="G264:L264" si="159">G265</f>
        <v>1371.3999999999999</v>
      </c>
      <c r="H264" s="11">
        <f t="shared" si="159"/>
        <v>1371.3999999999999</v>
      </c>
      <c r="I264" s="11">
        <f t="shared" si="159"/>
        <v>1371.3999999999999</v>
      </c>
      <c r="J264" s="11">
        <f t="shared" si="159"/>
        <v>1371.3999999999999</v>
      </c>
      <c r="K264" s="11">
        <f t="shared" si="159"/>
        <v>901.3</v>
      </c>
      <c r="L264" s="11">
        <f t="shared" si="159"/>
        <v>78.2</v>
      </c>
      <c r="M264" s="7">
        <f t="shared" si="128"/>
        <v>8.6763563741262626</v>
      </c>
    </row>
    <row r="265" spans="1:13" ht="31.5">
      <c r="A265" s="31" t="s">
        <v>238</v>
      </c>
      <c r="B265" s="42" t="s">
        <v>203</v>
      </c>
      <c r="C265" s="42" t="s">
        <v>291</v>
      </c>
      <c r="D265" s="42" t="s">
        <v>239</v>
      </c>
      <c r="E265" s="8"/>
      <c r="F265" s="11">
        <f>F269+F266</f>
        <v>1371.3999999999999</v>
      </c>
      <c r="G265" s="11">
        <f t="shared" ref="G265:K265" si="160">G269+G266</f>
        <v>1371.3999999999999</v>
      </c>
      <c r="H265" s="11">
        <f t="shared" si="160"/>
        <v>1371.3999999999999</v>
      </c>
      <c r="I265" s="11">
        <f t="shared" si="160"/>
        <v>1371.3999999999999</v>
      </c>
      <c r="J265" s="11">
        <f t="shared" si="160"/>
        <v>1371.3999999999999</v>
      </c>
      <c r="K265" s="11">
        <f t="shared" si="160"/>
        <v>901.3</v>
      </c>
      <c r="L265" s="11">
        <f t="shared" ref="L265" si="161">L269+L266</f>
        <v>78.2</v>
      </c>
      <c r="M265" s="7">
        <f t="shared" si="128"/>
        <v>8.6763563741262626</v>
      </c>
    </row>
    <row r="266" spans="1:13" ht="31.5" hidden="1">
      <c r="A266" s="26" t="s">
        <v>292</v>
      </c>
      <c r="B266" s="21" t="s">
        <v>203</v>
      </c>
      <c r="C266" s="21" t="s">
        <v>291</v>
      </c>
      <c r="D266" s="21" t="s">
        <v>293</v>
      </c>
      <c r="E266" s="25"/>
      <c r="F266" s="11">
        <f>F267</f>
        <v>90</v>
      </c>
      <c r="G266" s="11">
        <f t="shared" ref="G266:L267" si="162">G267</f>
        <v>90</v>
      </c>
      <c r="H266" s="11">
        <f t="shared" si="162"/>
        <v>90</v>
      </c>
      <c r="I266" s="11">
        <f t="shared" si="162"/>
        <v>90</v>
      </c>
      <c r="J266" s="11">
        <f t="shared" si="162"/>
        <v>90</v>
      </c>
      <c r="K266" s="11">
        <f t="shared" si="162"/>
        <v>0</v>
      </c>
      <c r="L266" s="11">
        <f t="shared" si="162"/>
        <v>0</v>
      </c>
      <c r="M266" s="7" t="e">
        <f t="shared" si="128"/>
        <v>#DIV/0!</v>
      </c>
    </row>
    <row r="267" spans="1:13" ht="15.75" hidden="1">
      <c r="A267" s="26" t="s">
        <v>188</v>
      </c>
      <c r="B267" s="21" t="s">
        <v>203</v>
      </c>
      <c r="C267" s="21" t="s">
        <v>291</v>
      </c>
      <c r="D267" s="21" t="s">
        <v>293</v>
      </c>
      <c r="E267" s="21" t="s">
        <v>198</v>
      </c>
      <c r="F267" s="11">
        <f>F268</f>
        <v>90</v>
      </c>
      <c r="G267" s="11">
        <f t="shared" si="162"/>
        <v>90</v>
      </c>
      <c r="H267" s="11">
        <f t="shared" si="162"/>
        <v>90</v>
      </c>
      <c r="I267" s="11">
        <f t="shared" si="162"/>
        <v>90</v>
      </c>
      <c r="J267" s="11">
        <f t="shared" si="162"/>
        <v>90</v>
      </c>
      <c r="K267" s="11">
        <f t="shared" si="162"/>
        <v>0</v>
      </c>
      <c r="L267" s="11">
        <f t="shared" si="162"/>
        <v>0</v>
      </c>
      <c r="M267" s="7" t="e">
        <f t="shared" si="128"/>
        <v>#DIV/0!</v>
      </c>
    </row>
    <row r="268" spans="1:13" ht="47.25" hidden="1">
      <c r="A268" s="26" t="s">
        <v>237</v>
      </c>
      <c r="B268" s="21" t="s">
        <v>203</v>
      </c>
      <c r="C268" s="21" t="s">
        <v>291</v>
      </c>
      <c r="D268" s="21" t="s">
        <v>293</v>
      </c>
      <c r="E268" s="21" t="s">
        <v>213</v>
      </c>
      <c r="F268" s="11">
        <f>'Прил.№4 ведомств.'!G212</f>
        <v>90</v>
      </c>
      <c r="G268" s="11">
        <f>'Прил.№4 ведомств.'!I212</f>
        <v>90</v>
      </c>
      <c r="H268" s="11">
        <f>'Прил.№4 ведомств.'!J212</f>
        <v>90</v>
      </c>
      <c r="I268" s="11">
        <f>'Прил.№4 ведомств.'!K212</f>
        <v>90</v>
      </c>
      <c r="J268" s="11">
        <f>'Прил.№4 ведомств.'!L212</f>
        <v>90</v>
      </c>
      <c r="K268" s="11">
        <f>'Прил.№4 ведомств.'!M212</f>
        <v>0</v>
      </c>
      <c r="L268" s="11">
        <f>'Прил.№4 ведомств.'!N212</f>
        <v>0</v>
      </c>
      <c r="M268" s="7" t="e">
        <f t="shared" si="128"/>
        <v>#DIV/0!</v>
      </c>
    </row>
    <row r="269" spans="1:13" ht="63">
      <c r="A269" s="47" t="s">
        <v>294</v>
      </c>
      <c r="B269" s="42" t="s">
        <v>203</v>
      </c>
      <c r="C269" s="42" t="s">
        <v>291</v>
      </c>
      <c r="D269" s="42" t="s">
        <v>295</v>
      </c>
      <c r="E269" s="42"/>
      <c r="F269" s="7">
        <f>F270+F272</f>
        <v>1281.3999999999999</v>
      </c>
      <c r="G269" s="7">
        <f t="shared" ref="G269:K269" si="163">G270+G272</f>
        <v>1281.3999999999999</v>
      </c>
      <c r="H269" s="7">
        <f t="shared" si="163"/>
        <v>1281.3999999999999</v>
      </c>
      <c r="I269" s="7">
        <f t="shared" si="163"/>
        <v>1281.3999999999999</v>
      </c>
      <c r="J269" s="7">
        <f t="shared" si="163"/>
        <v>1281.3999999999999</v>
      </c>
      <c r="K269" s="7">
        <f t="shared" si="163"/>
        <v>901.3</v>
      </c>
      <c r="L269" s="7">
        <f t="shared" ref="L269" si="164">L270+L272</f>
        <v>78.2</v>
      </c>
      <c r="M269" s="7">
        <f t="shared" ref="M269:M332" si="165">L269/K269*100</f>
        <v>8.6763563741262626</v>
      </c>
    </row>
    <row r="270" spans="1:13" ht="78.75">
      <c r="A270" s="31" t="s">
        <v>180</v>
      </c>
      <c r="B270" s="42" t="s">
        <v>203</v>
      </c>
      <c r="C270" s="42" t="s">
        <v>291</v>
      </c>
      <c r="D270" s="42" t="s">
        <v>295</v>
      </c>
      <c r="E270" s="42" t="s">
        <v>181</v>
      </c>
      <c r="F270" s="7">
        <f>F271</f>
        <v>1116.3999999999999</v>
      </c>
      <c r="G270" s="7">
        <f t="shared" ref="G270:L270" si="166">G271</f>
        <v>1116.3999999999999</v>
      </c>
      <c r="H270" s="7">
        <f t="shared" si="166"/>
        <v>1116.3999999999999</v>
      </c>
      <c r="I270" s="7">
        <f t="shared" si="166"/>
        <v>1116.3999999999999</v>
      </c>
      <c r="J270" s="7">
        <f t="shared" si="166"/>
        <v>1116.3999999999999</v>
      </c>
      <c r="K270" s="7">
        <f t="shared" si="166"/>
        <v>779.69999999999993</v>
      </c>
      <c r="L270" s="7">
        <f t="shared" si="166"/>
        <v>74.7</v>
      </c>
      <c r="M270" s="7">
        <f t="shared" si="165"/>
        <v>9.5806079261254347</v>
      </c>
    </row>
    <row r="271" spans="1:13" ht="31.5">
      <c r="A271" s="31" t="s">
        <v>182</v>
      </c>
      <c r="B271" s="42" t="s">
        <v>203</v>
      </c>
      <c r="C271" s="42" t="s">
        <v>291</v>
      </c>
      <c r="D271" s="42" t="s">
        <v>295</v>
      </c>
      <c r="E271" s="42" t="s">
        <v>183</v>
      </c>
      <c r="F271" s="7">
        <f>'Прил.№4 ведомств.'!G215</f>
        <v>1116.3999999999999</v>
      </c>
      <c r="G271" s="7">
        <f>'Прил.№4 ведомств.'!I215</f>
        <v>1116.3999999999999</v>
      </c>
      <c r="H271" s="7">
        <f>'Прил.№4 ведомств.'!J215</f>
        <v>1116.3999999999999</v>
      </c>
      <c r="I271" s="7">
        <f>'Прил.№4 ведомств.'!K215</f>
        <v>1116.3999999999999</v>
      </c>
      <c r="J271" s="7">
        <f>'Прил.№4 ведомств.'!L215</f>
        <v>1116.3999999999999</v>
      </c>
      <c r="K271" s="7">
        <f>'Прил.№4 ведомств.'!M215</f>
        <v>779.69999999999993</v>
      </c>
      <c r="L271" s="7">
        <f>'Прил.№4 ведомств.'!N215</f>
        <v>74.7</v>
      </c>
      <c r="M271" s="7">
        <f t="shared" si="165"/>
        <v>9.5806079261254347</v>
      </c>
    </row>
    <row r="272" spans="1:13" ht="31.5">
      <c r="A272" s="31" t="s">
        <v>184</v>
      </c>
      <c r="B272" s="42" t="s">
        <v>203</v>
      </c>
      <c r="C272" s="42" t="s">
        <v>291</v>
      </c>
      <c r="D272" s="42" t="s">
        <v>295</v>
      </c>
      <c r="E272" s="42" t="s">
        <v>185</v>
      </c>
      <c r="F272" s="7">
        <f>F273</f>
        <v>165</v>
      </c>
      <c r="G272" s="7">
        <f t="shared" ref="G272:L272" si="167">G273</f>
        <v>165</v>
      </c>
      <c r="H272" s="7">
        <f t="shared" si="167"/>
        <v>165</v>
      </c>
      <c r="I272" s="7">
        <f t="shared" si="167"/>
        <v>165</v>
      </c>
      <c r="J272" s="7">
        <f t="shared" si="167"/>
        <v>165</v>
      </c>
      <c r="K272" s="7">
        <f t="shared" si="167"/>
        <v>121.60000000000002</v>
      </c>
      <c r="L272" s="7">
        <f t="shared" si="167"/>
        <v>3.5</v>
      </c>
      <c r="M272" s="7">
        <f t="shared" si="165"/>
        <v>2.8782894736842102</v>
      </c>
    </row>
    <row r="273" spans="1:17" ht="47.25">
      <c r="A273" s="31" t="s">
        <v>186</v>
      </c>
      <c r="B273" s="42" t="s">
        <v>203</v>
      </c>
      <c r="C273" s="42" t="s">
        <v>291</v>
      </c>
      <c r="D273" s="42" t="s">
        <v>295</v>
      </c>
      <c r="E273" s="42" t="s">
        <v>187</v>
      </c>
      <c r="F273" s="7">
        <f>'Прил.№4 ведомств.'!G217</f>
        <v>165</v>
      </c>
      <c r="G273" s="7">
        <f>'Прил.№4 ведомств.'!I217</f>
        <v>165</v>
      </c>
      <c r="H273" s="7">
        <f>'Прил.№4 ведомств.'!J217</f>
        <v>165</v>
      </c>
      <c r="I273" s="7">
        <f>'Прил.№4 ведомств.'!K217</f>
        <v>165</v>
      </c>
      <c r="J273" s="7">
        <f>'Прил.№4 ведомств.'!L217</f>
        <v>165</v>
      </c>
      <c r="K273" s="7">
        <f>'Прил.№4 ведомств.'!M217</f>
        <v>121.60000000000002</v>
      </c>
      <c r="L273" s="7">
        <f>'Прил.№4 ведомств.'!N217</f>
        <v>3.5</v>
      </c>
      <c r="M273" s="7">
        <f t="shared" si="165"/>
        <v>2.8782894736842102</v>
      </c>
    </row>
    <row r="274" spans="1:17" ht="15.75">
      <c r="A274" s="43" t="s">
        <v>444</v>
      </c>
      <c r="B274" s="8" t="s">
        <v>287</v>
      </c>
      <c r="C274" s="8"/>
      <c r="D274" s="8"/>
      <c r="E274" s="8"/>
      <c r="F274" s="4">
        <f t="shared" ref="F274:K274" si="168">F275++F294+F346+F403</f>
        <v>109165.59999999999</v>
      </c>
      <c r="G274" s="4">
        <f t="shared" si="168"/>
        <v>90925.805882352943</v>
      </c>
      <c r="H274" s="4">
        <f t="shared" si="168"/>
        <v>65675</v>
      </c>
      <c r="I274" s="4">
        <f t="shared" si="168"/>
        <v>65971.899999999994</v>
      </c>
      <c r="J274" s="4">
        <f t="shared" si="168"/>
        <v>67991.899999999994</v>
      </c>
      <c r="K274" s="4">
        <f t="shared" si="168"/>
        <v>97791.6</v>
      </c>
      <c r="L274" s="4">
        <f t="shared" ref="L274" si="169">L275++L294+L346+L403</f>
        <v>11501.1</v>
      </c>
      <c r="M274" s="4">
        <f t="shared" si="165"/>
        <v>11.760826083221872</v>
      </c>
    </row>
    <row r="275" spans="1:17" ht="15.75">
      <c r="A275" s="43" t="s">
        <v>445</v>
      </c>
      <c r="B275" s="8" t="s">
        <v>287</v>
      </c>
      <c r="C275" s="8" t="s">
        <v>171</v>
      </c>
      <c r="D275" s="8"/>
      <c r="E275" s="8"/>
      <c r="F275" s="4">
        <f>F276</f>
        <v>8865.2000000000007</v>
      </c>
      <c r="G275" s="4">
        <f t="shared" ref="G275:L276" si="170">G276</f>
        <v>8757.6</v>
      </c>
      <c r="H275" s="4">
        <f t="shared" si="170"/>
        <v>8964.4</v>
      </c>
      <c r="I275" s="4">
        <f t="shared" si="170"/>
        <v>8964.4</v>
      </c>
      <c r="J275" s="4">
        <f t="shared" si="170"/>
        <v>8964.4</v>
      </c>
      <c r="K275" s="4">
        <f t="shared" si="170"/>
        <v>4380.8</v>
      </c>
      <c r="L275" s="4">
        <f t="shared" si="170"/>
        <v>1219.7</v>
      </c>
      <c r="M275" s="4">
        <f t="shared" si="165"/>
        <v>27.841946676406138</v>
      </c>
      <c r="N275" s="23"/>
      <c r="Q275" s="23"/>
    </row>
    <row r="276" spans="1:17" ht="15.75">
      <c r="A276" s="31" t="s">
        <v>174</v>
      </c>
      <c r="B276" s="42" t="s">
        <v>287</v>
      </c>
      <c r="C276" s="42" t="s">
        <v>171</v>
      </c>
      <c r="D276" s="42" t="s">
        <v>175</v>
      </c>
      <c r="E276" s="42"/>
      <c r="F276" s="7">
        <f>F277</f>
        <v>8865.2000000000007</v>
      </c>
      <c r="G276" s="7">
        <f t="shared" si="170"/>
        <v>8757.6</v>
      </c>
      <c r="H276" s="7">
        <f t="shared" si="170"/>
        <v>8964.4</v>
      </c>
      <c r="I276" s="7">
        <f t="shared" si="170"/>
        <v>8964.4</v>
      </c>
      <c r="J276" s="7">
        <f t="shared" si="170"/>
        <v>8964.4</v>
      </c>
      <c r="K276" s="7">
        <f t="shared" si="170"/>
        <v>4380.8</v>
      </c>
      <c r="L276" s="7">
        <f t="shared" si="170"/>
        <v>1219.7</v>
      </c>
      <c r="M276" s="7">
        <f t="shared" si="165"/>
        <v>27.841946676406138</v>
      </c>
    </row>
    <row r="277" spans="1:17" ht="15.75">
      <c r="A277" s="31" t="s">
        <v>194</v>
      </c>
      <c r="B277" s="42" t="s">
        <v>287</v>
      </c>
      <c r="C277" s="42" t="s">
        <v>171</v>
      </c>
      <c r="D277" s="42" t="s">
        <v>195</v>
      </c>
      <c r="E277" s="8"/>
      <c r="F277" s="7">
        <f>F289+F283+F278</f>
        <v>8865.2000000000007</v>
      </c>
      <c r="G277" s="7">
        <f t="shared" ref="G277:J277" si="171">G289+G283+G278</f>
        <v>8757.6</v>
      </c>
      <c r="H277" s="7">
        <f t="shared" si="171"/>
        <v>8964.4</v>
      </c>
      <c r="I277" s="7">
        <f t="shared" si="171"/>
        <v>8964.4</v>
      </c>
      <c r="J277" s="7">
        <f t="shared" si="171"/>
        <v>8964.4</v>
      </c>
      <c r="K277" s="7">
        <f>K283+K286+K289</f>
        <v>4380.8</v>
      </c>
      <c r="L277" s="7">
        <f t="shared" ref="L277" si="172">L283+L286+L289</f>
        <v>1219.7</v>
      </c>
      <c r="M277" s="7">
        <f t="shared" si="165"/>
        <v>27.841946676406138</v>
      </c>
    </row>
    <row r="278" spans="1:17" ht="15.75" hidden="1">
      <c r="A278" s="26" t="s">
        <v>569</v>
      </c>
      <c r="B278" s="42" t="s">
        <v>287</v>
      </c>
      <c r="C278" s="42" t="s">
        <v>171</v>
      </c>
      <c r="D278" s="42" t="s">
        <v>570</v>
      </c>
      <c r="E278" s="8"/>
      <c r="F278" s="7">
        <f>F279+F281</f>
        <v>3531.3</v>
      </c>
      <c r="G278" s="7">
        <f t="shared" ref="G278:K278" si="173">G279+G281</f>
        <v>3531.3</v>
      </c>
      <c r="H278" s="7">
        <f t="shared" si="173"/>
        <v>4875.3999999999996</v>
      </c>
      <c r="I278" s="7">
        <f t="shared" si="173"/>
        <v>4875.3999999999996</v>
      </c>
      <c r="J278" s="7">
        <f t="shared" si="173"/>
        <v>4875.3999999999996</v>
      </c>
      <c r="K278" s="7">
        <f t="shared" si="173"/>
        <v>100</v>
      </c>
      <c r="L278" s="7">
        <f t="shared" ref="L278" si="174">L279+L281</f>
        <v>97.4</v>
      </c>
      <c r="M278" s="7">
        <f t="shared" si="165"/>
        <v>97.4</v>
      </c>
    </row>
    <row r="279" spans="1:17" ht="31.5" hidden="1">
      <c r="A279" s="31" t="s">
        <v>184</v>
      </c>
      <c r="B279" s="42" t="s">
        <v>287</v>
      </c>
      <c r="C279" s="42" t="s">
        <v>171</v>
      </c>
      <c r="D279" s="42" t="s">
        <v>570</v>
      </c>
      <c r="E279" s="42" t="s">
        <v>185</v>
      </c>
      <c r="F279" s="7">
        <f>F280</f>
        <v>1131.3</v>
      </c>
      <c r="G279" s="7">
        <f t="shared" ref="G279:L279" si="175">G280</f>
        <v>1131.3</v>
      </c>
      <c r="H279" s="7">
        <f t="shared" si="175"/>
        <v>1131.3</v>
      </c>
      <c r="I279" s="7">
        <f t="shared" si="175"/>
        <v>1131.3</v>
      </c>
      <c r="J279" s="7">
        <f t="shared" si="175"/>
        <v>1131.3</v>
      </c>
      <c r="K279" s="7">
        <f t="shared" si="175"/>
        <v>100</v>
      </c>
      <c r="L279" s="7">
        <f t="shared" si="175"/>
        <v>97.4</v>
      </c>
      <c r="M279" s="7">
        <f t="shared" si="165"/>
        <v>97.4</v>
      </c>
    </row>
    <row r="280" spans="1:17" ht="47.25" hidden="1">
      <c r="A280" s="31" t="s">
        <v>186</v>
      </c>
      <c r="B280" s="42" t="s">
        <v>287</v>
      </c>
      <c r="C280" s="42" t="s">
        <v>171</v>
      </c>
      <c r="D280" s="42" t="s">
        <v>570</v>
      </c>
      <c r="E280" s="42" t="s">
        <v>187</v>
      </c>
      <c r="F280" s="7">
        <f>'Прил.№4 ведомств.'!G912</f>
        <v>1131.3</v>
      </c>
      <c r="G280" s="7">
        <f>'Прил.№4 ведомств.'!I912</f>
        <v>1131.3</v>
      </c>
      <c r="H280" s="7">
        <f>'Прил.№4 ведомств.'!J912</f>
        <v>1131.3</v>
      </c>
      <c r="I280" s="7">
        <f>'Прил.№4 ведомств.'!K912</f>
        <v>1131.3</v>
      </c>
      <c r="J280" s="7">
        <f>'Прил.№4 ведомств.'!L912</f>
        <v>1131.3</v>
      </c>
      <c r="K280" s="7">
        <f>'Прил.№4 ведомств.'!M912</f>
        <v>100</v>
      </c>
      <c r="L280" s="7">
        <f>'Прил.№4 ведомств.'!N912</f>
        <v>97.4</v>
      </c>
      <c r="M280" s="7">
        <f t="shared" si="165"/>
        <v>97.4</v>
      </c>
    </row>
    <row r="281" spans="1:17" ht="15.75" hidden="1">
      <c r="A281" s="31" t="s">
        <v>188</v>
      </c>
      <c r="B281" s="42" t="s">
        <v>287</v>
      </c>
      <c r="C281" s="42" t="s">
        <v>171</v>
      </c>
      <c r="D281" s="42" t="s">
        <v>570</v>
      </c>
      <c r="E281" s="42" t="s">
        <v>198</v>
      </c>
      <c r="F281" s="7">
        <f>F282</f>
        <v>2400</v>
      </c>
      <c r="G281" s="7">
        <f t="shared" ref="G281:L281" si="176">G282</f>
        <v>2400</v>
      </c>
      <c r="H281" s="7">
        <f t="shared" si="176"/>
        <v>3744.1</v>
      </c>
      <c r="I281" s="7">
        <f t="shared" si="176"/>
        <v>3744.1</v>
      </c>
      <c r="J281" s="7">
        <f t="shared" si="176"/>
        <v>3744.1</v>
      </c>
      <c r="K281" s="7">
        <f t="shared" si="176"/>
        <v>0</v>
      </c>
      <c r="L281" s="7">
        <f t="shared" si="176"/>
        <v>0</v>
      </c>
      <c r="M281" s="7" t="e">
        <f t="shared" si="165"/>
        <v>#DIV/0!</v>
      </c>
    </row>
    <row r="282" spans="1:17" ht="47.25" hidden="1">
      <c r="A282" s="31" t="s">
        <v>237</v>
      </c>
      <c r="B282" s="42" t="s">
        <v>287</v>
      </c>
      <c r="C282" s="42" t="s">
        <v>171</v>
      </c>
      <c r="D282" s="42" t="s">
        <v>570</v>
      </c>
      <c r="E282" s="42" t="s">
        <v>213</v>
      </c>
      <c r="F282" s="7">
        <f>'Прил.№4 ведомств.'!G906</f>
        <v>2400</v>
      </c>
      <c r="G282" s="7">
        <f>'Прил.№4 ведомств.'!I906</f>
        <v>2400</v>
      </c>
      <c r="H282" s="7">
        <f>'Прил.№4 ведомств.'!J906</f>
        <v>3744.1</v>
      </c>
      <c r="I282" s="7">
        <f>'Прил.№4 ведомств.'!K906</f>
        <v>3744.1</v>
      </c>
      <c r="J282" s="7">
        <f>'Прил.№4 ведомств.'!L906</f>
        <v>3744.1</v>
      </c>
      <c r="K282" s="7">
        <f>'Прил.№4 ведомств.'!M906</f>
        <v>0</v>
      </c>
      <c r="L282" s="7">
        <f>'Прил.№4 ведомств.'!N906</f>
        <v>0</v>
      </c>
      <c r="M282" s="7" t="e">
        <f t="shared" si="165"/>
        <v>#DIV/0!</v>
      </c>
    </row>
    <row r="283" spans="1:17" ht="31.5">
      <c r="A283" s="31" t="s">
        <v>452</v>
      </c>
      <c r="B283" s="42" t="s">
        <v>287</v>
      </c>
      <c r="C283" s="42" t="s">
        <v>171</v>
      </c>
      <c r="D283" s="42" t="s">
        <v>453</v>
      </c>
      <c r="E283" s="8"/>
      <c r="F283" s="7">
        <f>F284</f>
        <v>4494.9000000000005</v>
      </c>
      <c r="G283" s="7">
        <f t="shared" ref="G283:L284" si="177">G284</f>
        <v>4494.9000000000005</v>
      </c>
      <c r="H283" s="7">
        <f t="shared" si="177"/>
        <v>4089</v>
      </c>
      <c r="I283" s="7">
        <f t="shared" si="177"/>
        <v>4089</v>
      </c>
      <c r="J283" s="7">
        <f t="shared" si="177"/>
        <v>4089</v>
      </c>
      <c r="K283" s="7">
        <f t="shared" si="177"/>
        <v>4280.8</v>
      </c>
      <c r="L283" s="7">
        <f t="shared" si="177"/>
        <v>1122.3</v>
      </c>
      <c r="M283" s="7">
        <f t="shared" si="165"/>
        <v>26.217062231358625</v>
      </c>
    </row>
    <row r="284" spans="1:17" ht="31.5">
      <c r="A284" s="31" t="s">
        <v>184</v>
      </c>
      <c r="B284" s="42" t="s">
        <v>287</v>
      </c>
      <c r="C284" s="42" t="s">
        <v>171</v>
      </c>
      <c r="D284" s="42" t="s">
        <v>453</v>
      </c>
      <c r="E284" s="42" t="s">
        <v>185</v>
      </c>
      <c r="F284" s="7">
        <f>F285</f>
        <v>4494.9000000000005</v>
      </c>
      <c r="G284" s="7">
        <f t="shared" si="177"/>
        <v>4494.9000000000005</v>
      </c>
      <c r="H284" s="7">
        <f t="shared" si="177"/>
        <v>4089</v>
      </c>
      <c r="I284" s="7">
        <f t="shared" si="177"/>
        <v>4089</v>
      </c>
      <c r="J284" s="7">
        <f t="shared" si="177"/>
        <v>4089</v>
      </c>
      <c r="K284" s="7">
        <f t="shared" si="177"/>
        <v>4280.8</v>
      </c>
      <c r="L284" s="7">
        <f t="shared" si="177"/>
        <v>1122.3</v>
      </c>
      <c r="M284" s="7">
        <f t="shared" si="165"/>
        <v>26.217062231358625</v>
      </c>
    </row>
    <row r="285" spans="1:17" ht="47.25">
      <c r="A285" s="31" t="s">
        <v>186</v>
      </c>
      <c r="B285" s="42" t="s">
        <v>287</v>
      </c>
      <c r="C285" s="42" t="s">
        <v>171</v>
      </c>
      <c r="D285" s="42" t="s">
        <v>453</v>
      </c>
      <c r="E285" s="42" t="s">
        <v>187</v>
      </c>
      <c r="F285" s="7">
        <f>'Прил.№4 ведомств.'!G909+'Прил.№4 ведомств.'!G561</f>
        <v>4494.9000000000005</v>
      </c>
      <c r="G285" s="7">
        <f>'Прил.№4 ведомств.'!I909+'Прил.№4 ведомств.'!I561</f>
        <v>4494.9000000000005</v>
      </c>
      <c r="H285" s="7">
        <f>'Прил.№4 ведомств.'!J909+'Прил.№4 ведомств.'!J561</f>
        <v>4089</v>
      </c>
      <c r="I285" s="7">
        <f>'Прил.№4 ведомств.'!K909+'Прил.№4 ведомств.'!K561</f>
        <v>4089</v>
      </c>
      <c r="J285" s="7">
        <f>'Прил.№4 ведомств.'!L909+'Прил.№4 ведомств.'!L561</f>
        <v>4089</v>
      </c>
      <c r="K285" s="7">
        <f>'Прил.№4 ведомств.'!M909+'Прил.№4 ведомств.'!M561</f>
        <v>4280.8</v>
      </c>
      <c r="L285" s="7">
        <f>'Прил.№4 ведомств.'!N909+'Прил.№4 ведомств.'!N561</f>
        <v>1122.3</v>
      </c>
      <c r="M285" s="7">
        <f t="shared" si="165"/>
        <v>26.217062231358625</v>
      </c>
    </row>
    <row r="286" spans="1:17" ht="15.75">
      <c r="A286" s="26" t="s">
        <v>593</v>
      </c>
      <c r="B286" s="42" t="s">
        <v>287</v>
      </c>
      <c r="C286" s="42" t="s">
        <v>171</v>
      </c>
      <c r="D286" s="42" t="s">
        <v>594</v>
      </c>
      <c r="E286" s="42"/>
      <c r="F286" s="7"/>
      <c r="G286" s="7"/>
      <c r="H286" s="7"/>
      <c r="I286" s="7"/>
      <c r="J286" s="7"/>
      <c r="K286" s="7">
        <f>K287</f>
        <v>100</v>
      </c>
      <c r="L286" s="7">
        <f t="shared" ref="L286:L287" si="178">L287</f>
        <v>97.4</v>
      </c>
      <c r="M286" s="7">
        <f t="shared" si="165"/>
        <v>97.4</v>
      </c>
    </row>
    <row r="287" spans="1:17" ht="31.5">
      <c r="A287" s="26" t="s">
        <v>184</v>
      </c>
      <c r="B287" s="42" t="s">
        <v>287</v>
      </c>
      <c r="C287" s="42" t="s">
        <v>171</v>
      </c>
      <c r="D287" s="42" t="s">
        <v>594</v>
      </c>
      <c r="E287" s="42" t="s">
        <v>185</v>
      </c>
      <c r="F287" s="7"/>
      <c r="G287" s="7"/>
      <c r="H287" s="7"/>
      <c r="I287" s="7"/>
      <c r="J287" s="7"/>
      <c r="K287" s="7">
        <f>K288</f>
        <v>100</v>
      </c>
      <c r="L287" s="7">
        <f t="shared" si="178"/>
        <v>97.4</v>
      </c>
      <c r="M287" s="7">
        <f t="shared" si="165"/>
        <v>97.4</v>
      </c>
    </row>
    <row r="288" spans="1:17" ht="47.25">
      <c r="A288" s="26" t="s">
        <v>186</v>
      </c>
      <c r="B288" s="42" t="s">
        <v>287</v>
      </c>
      <c r="C288" s="42" t="s">
        <v>171</v>
      </c>
      <c r="D288" s="42" t="s">
        <v>594</v>
      </c>
      <c r="E288" s="42" t="s">
        <v>187</v>
      </c>
      <c r="F288" s="7"/>
      <c r="G288" s="7"/>
      <c r="H288" s="7"/>
      <c r="I288" s="7"/>
      <c r="J288" s="7"/>
      <c r="K288" s="7">
        <f>'Прил.№4 ведомств.'!M912</f>
        <v>100</v>
      </c>
      <c r="L288" s="7">
        <f>'Прил.№4 ведомств.'!N912</f>
        <v>97.4</v>
      </c>
      <c r="M288" s="7">
        <f t="shared" si="165"/>
        <v>97.4</v>
      </c>
    </row>
    <row r="289" spans="1:13" ht="15.75" hidden="1">
      <c r="A289" s="31" t="s">
        <v>450</v>
      </c>
      <c r="B289" s="42" t="s">
        <v>287</v>
      </c>
      <c r="C289" s="42" t="s">
        <v>171</v>
      </c>
      <c r="D289" s="42" t="s">
        <v>451</v>
      </c>
      <c r="E289" s="8"/>
      <c r="F289" s="7">
        <f>F292+F290</f>
        <v>839</v>
      </c>
      <c r="G289" s="7">
        <f t="shared" ref="G289:K289" si="179">G292+G290</f>
        <v>731.4</v>
      </c>
      <c r="H289" s="7">
        <f t="shared" si="179"/>
        <v>0</v>
      </c>
      <c r="I289" s="7">
        <f t="shared" si="179"/>
        <v>0</v>
      </c>
      <c r="J289" s="7">
        <f t="shared" si="179"/>
        <v>0</v>
      </c>
      <c r="K289" s="7">
        <f t="shared" si="179"/>
        <v>0</v>
      </c>
      <c r="L289" s="7">
        <f t="shared" ref="L289" si="180">L292+L290</f>
        <v>0</v>
      </c>
      <c r="M289" s="4" t="e">
        <f t="shared" si="165"/>
        <v>#DIV/0!</v>
      </c>
    </row>
    <row r="290" spans="1:13" ht="31.5" hidden="1">
      <c r="A290" s="31" t="s">
        <v>184</v>
      </c>
      <c r="B290" s="42" t="s">
        <v>287</v>
      </c>
      <c r="C290" s="42" t="s">
        <v>171</v>
      </c>
      <c r="D290" s="42" t="s">
        <v>451</v>
      </c>
      <c r="E290" s="42" t="s">
        <v>185</v>
      </c>
      <c r="F290" s="7">
        <f>F291</f>
        <v>839</v>
      </c>
      <c r="G290" s="7">
        <f t="shared" ref="G290:L290" si="181">G291</f>
        <v>731.4</v>
      </c>
      <c r="H290" s="7">
        <f t="shared" si="181"/>
        <v>0</v>
      </c>
      <c r="I290" s="7">
        <f t="shared" si="181"/>
        <v>0</v>
      </c>
      <c r="J290" s="7">
        <f t="shared" si="181"/>
        <v>0</v>
      </c>
      <c r="K290" s="7">
        <f t="shared" si="181"/>
        <v>0</v>
      </c>
      <c r="L290" s="7">
        <f t="shared" si="181"/>
        <v>0</v>
      </c>
      <c r="M290" s="4" t="e">
        <f t="shared" si="165"/>
        <v>#DIV/0!</v>
      </c>
    </row>
    <row r="291" spans="1:13" ht="47.25" hidden="1">
      <c r="A291" s="31" t="s">
        <v>186</v>
      </c>
      <c r="B291" s="42" t="s">
        <v>287</v>
      </c>
      <c r="C291" s="42" t="s">
        <v>171</v>
      </c>
      <c r="D291" s="42" t="s">
        <v>451</v>
      </c>
      <c r="E291" s="42" t="s">
        <v>187</v>
      </c>
      <c r="F291" s="7">
        <f>'Прил.№4 ведомств.'!G564</f>
        <v>839</v>
      </c>
      <c r="G291" s="7">
        <f>'Прил.№4 ведомств.'!I564</f>
        <v>731.4</v>
      </c>
      <c r="H291" s="7">
        <f>'Прил.№4 ведомств.'!J564</f>
        <v>0</v>
      </c>
      <c r="I291" s="7">
        <f>'Прил.№4 ведомств.'!K564</f>
        <v>0</v>
      </c>
      <c r="J291" s="7">
        <f>'Прил.№4 ведомств.'!L564</f>
        <v>0</v>
      </c>
      <c r="K291" s="7">
        <f>'Прил.№4 ведомств.'!M564</f>
        <v>0</v>
      </c>
      <c r="L291" s="7">
        <f>'Прил.№4 ведомств.'!N564</f>
        <v>0</v>
      </c>
      <c r="M291" s="4" t="e">
        <f t="shared" si="165"/>
        <v>#DIV/0!</v>
      </c>
    </row>
    <row r="292" spans="1:13" ht="15.75" hidden="1" customHeight="1">
      <c r="A292" s="31" t="s">
        <v>188</v>
      </c>
      <c r="B292" s="42" t="s">
        <v>287</v>
      </c>
      <c r="C292" s="42" t="s">
        <v>171</v>
      </c>
      <c r="D292" s="42" t="s">
        <v>451</v>
      </c>
      <c r="E292" s="42" t="s">
        <v>198</v>
      </c>
      <c r="F292" s="7">
        <f>F293</f>
        <v>0</v>
      </c>
      <c r="G292" s="7">
        <f t="shared" ref="G292:L292" si="182">G293</f>
        <v>0</v>
      </c>
      <c r="H292" s="7">
        <f t="shared" si="182"/>
        <v>0</v>
      </c>
      <c r="I292" s="7">
        <f t="shared" si="182"/>
        <v>0</v>
      </c>
      <c r="J292" s="7">
        <f t="shared" si="182"/>
        <v>0</v>
      </c>
      <c r="K292" s="7">
        <f t="shared" si="182"/>
        <v>0</v>
      </c>
      <c r="L292" s="7">
        <f t="shared" si="182"/>
        <v>0</v>
      </c>
      <c r="M292" s="4" t="e">
        <f t="shared" si="165"/>
        <v>#DIV/0!</v>
      </c>
    </row>
    <row r="293" spans="1:13" ht="47.25" hidden="1" customHeight="1">
      <c r="A293" s="31" t="s">
        <v>237</v>
      </c>
      <c r="B293" s="42" t="s">
        <v>287</v>
      </c>
      <c r="C293" s="42" t="s">
        <v>171</v>
      </c>
      <c r="D293" s="42" t="s">
        <v>451</v>
      </c>
      <c r="E293" s="42" t="s">
        <v>213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4" t="e">
        <f t="shared" si="165"/>
        <v>#DIV/0!</v>
      </c>
    </row>
    <row r="294" spans="1:13" ht="15.75">
      <c r="A294" s="43" t="s">
        <v>571</v>
      </c>
      <c r="B294" s="8" t="s">
        <v>287</v>
      </c>
      <c r="C294" s="8" t="s">
        <v>266</v>
      </c>
      <c r="D294" s="8"/>
      <c r="E294" s="8"/>
      <c r="F294" s="4">
        <f>F322+F295</f>
        <v>53711.1</v>
      </c>
      <c r="G294" s="4">
        <f t="shared" ref="G294:K294" si="183">G322+G295</f>
        <v>44351.4</v>
      </c>
      <c r="H294" s="4">
        <f t="shared" si="183"/>
        <v>12383.3</v>
      </c>
      <c r="I294" s="4">
        <f t="shared" si="183"/>
        <v>12383.3</v>
      </c>
      <c r="J294" s="4">
        <f t="shared" si="183"/>
        <v>12383.3</v>
      </c>
      <c r="K294" s="4">
        <f t="shared" si="183"/>
        <v>51224.700000000004</v>
      </c>
      <c r="L294" s="4">
        <f t="shared" ref="L294" si="184">L322+L295</f>
        <v>4696.8999999999996</v>
      </c>
      <c r="M294" s="4">
        <f t="shared" si="165"/>
        <v>9.1692093853160674</v>
      </c>
    </row>
    <row r="295" spans="1:13" ht="63">
      <c r="A295" s="26" t="s">
        <v>657</v>
      </c>
      <c r="B295" s="42" t="s">
        <v>287</v>
      </c>
      <c r="C295" s="42" t="s">
        <v>266</v>
      </c>
      <c r="D295" s="21" t="s">
        <v>572</v>
      </c>
      <c r="E295" s="8"/>
      <c r="F295" s="7">
        <f>F299+F302+F305+F310+F313+F316+F319</f>
        <v>5427.9</v>
      </c>
      <c r="G295" s="7">
        <f t="shared" ref="G295:K295" si="185">G299+G302+G305+G310+G313+G316+G319</f>
        <v>5427.9</v>
      </c>
      <c r="H295" s="7">
        <f t="shared" si="185"/>
        <v>967</v>
      </c>
      <c r="I295" s="7">
        <f t="shared" si="185"/>
        <v>967</v>
      </c>
      <c r="J295" s="7">
        <f t="shared" si="185"/>
        <v>967</v>
      </c>
      <c r="K295" s="7">
        <f t="shared" si="185"/>
        <v>5084.5</v>
      </c>
      <c r="L295" s="7">
        <f t="shared" ref="L295" si="186">L299+L302+L305+L310+L313+L316+L319</f>
        <v>548.5</v>
      </c>
      <c r="M295" s="7">
        <f t="shared" si="165"/>
        <v>10.787688071590127</v>
      </c>
    </row>
    <row r="296" spans="1:13" ht="47.25" hidden="1" customHeight="1">
      <c r="A296" s="37" t="s">
        <v>573</v>
      </c>
      <c r="B296" s="42" t="s">
        <v>287</v>
      </c>
      <c r="C296" s="42" t="s">
        <v>266</v>
      </c>
      <c r="D296" s="21" t="s">
        <v>574</v>
      </c>
      <c r="E296" s="8"/>
      <c r="F296" s="7">
        <f>F297</f>
        <v>0</v>
      </c>
      <c r="G296" s="7">
        <f t="shared" ref="G296:L297" si="187">G297</f>
        <v>0</v>
      </c>
      <c r="H296" s="7">
        <f t="shared" si="187"/>
        <v>0</v>
      </c>
      <c r="I296" s="7">
        <f t="shared" si="187"/>
        <v>0</v>
      </c>
      <c r="J296" s="7">
        <f t="shared" si="187"/>
        <v>0</v>
      </c>
      <c r="K296" s="7">
        <f t="shared" si="187"/>
        <v>0</v>
      </c>
      <c r="L296" s="7">
        <f t="shared" si="187"/>
        <v>0</v>
      </c>
      <c r="M296" s="7" t="e">
        <f t="shared" si="165"/>
        <v>#DIV/0!</v>
      </c>
    </row>
    <row r="297" spans="1:13" ht="31.5" hidden="1" customHeight="1">
      <c r="A297" s="26" t="s">
        <v>184</v>
      </c>
      <c r="B297" s="42" t="s">
        <v>287</v>
      </c>
      <c r="C297" s="42" t="s">
        <v>266</v>
      </c>
      <c r="D297" s="21" t="s">
        <v>574</v>
      </c>
      <c r="E297" s="42" t="s">
        <v>185</v>
      </c>
      <c r="F297" s="7">
        <f>F298</f>
        <v>0</v>
      </c>
      <c r="G297" s="7">
        <f t="shared" si="187"/>
        <v>0</v>
      </c>
      <c r="H297" s="7">
        <f t="shared" si="187"/>
        <v>0</v>
      </c>
      <c r="I297" s="7">
        <f t="shared" si="187"/>
        <v>0</v>
      </c>
      <c r="J297" s="7">
        <f t="shared" si="187"/>
        <v>0</v>
      </c>
      <c r="K297" s="7">
        <f t="shared" si="187"/>
        <v>0</v>
      </c>
      <c r="L297" s="7">
        <f t="shared" si="187"/>
        <v>0</v>
      </c>
      <c r="M297" s="7" t="e">
        <f t="shared" si="165"/>
        <v>#DIV/0!</v>
      </c>
    </row>
    <row r="298" spans="1:13" ht="47.25" hidden="1" customHeight="1">
      <c r="A298" s="26" t="s">
        <v>186</v>
      </c>
      <c r="B298" s="42" t="s">
        <v>287</v>
      </c>
      <c r="C298" s="42" t="s">
        <v>266</v>
      </c>
      <c r="D298" s="21" t="s">
        <v>574</v>
      </c>
      <c r="E298" s="42" t="s">
        <v>187</v>
      </c>
      <c r="F298" s="7"/>
      <c r="G298" s="7"/>
      <c r="H298" s="7"/>
      <c r="I298" s="7"/>
      <c r="J298" s="7"/>
      <c r="K298" s="7"/>
      <c r="L298" s="7"/>
      <c r="M298" s="7" t="e">
        <f t="shared" si="165"/>
        <v>#DIV/0!</v>
      </c>
    </row>
    <row r="299" spans="1:13" ht="15.75">
      <c r="A299" s="123" t="s">
        <v>575</v>
      </c>
      <c r="B299" s="42" t="s">
        <v>287</v>
      </c>
      <c r="C299" s="42" t="s">
        <v>266</v>
      </c>
      <c r="D299" s="21" t="s">
        <v>576</v>
      </c>
      <c r="E299" s="42"/>
      <c r="F299" s="7">
        <f>F300</f>
        <v>450</v>
      </c>
      <c r="G299" s="7">
        <f t="shared" ref="G299:L300" si="188">G300</f>
        <v>450</v>
      </c>
      <c r="H299" s="7">
        <f t="shared" si="188"/>
        <v>450</v>
      </c>
      <c r="I299" s="7">
        <f t="shared" si="188"/>
        <v>450</v>
      </c>
      <c r="J299" s="7">
        <f t="shared" si="188"/>
        <v>450</v>
      </c>
      <c r="K299" s="7">
        <f t="shared" si="188"/>
        <v>1978.5</v>
      </c>
      <c r="L299" s="7">
        <f t="shared" si="188"/>
        <v>478.5</v>
      </c>
      <c r="M299" s="7">
        <f t="shared" si="165"/>
        <v>24.184988627748293</v>
      </c>
    </row>
    <row r="300" spans="1:13" ht="31.5">
      <c r="A300" s="33" t="s">
        <v>184</v>
      </c>
      <c r="B300" s="42" t="s">
        <v>287</v>
      </c>
      <c r="C300" s="42" t="s">
        <v>266</v>
      </c>
      <c r="D300" s="21" t="s">
        <v>576</v>
      </c>
      <c r="E300" s="42" t="s">
        <v>185</v>
      </c>
      <c r="F300" s="7">
        <f>F301</f>
        <v>450</v>
      </c>
      <c r="G300" s="7">
        <f t="shared" si="188"/>
        <v>450</v>
      </c>
      <c r="H300" s="7">
        <f t="shared" si="188"/>
        <v>450</v>
      </c>
      <c r="I300" s="7">
        <f t="shared" si="188"/>
        <v>450</v>
      </c>
      <c r="J300" s="7">
        <f t="shared" si="188"/>
        <v>450</v>
      </c>
      <c r="K300" s="7">
        <f t="shared" si="188"/>
        <v>1978.5</v>
      </c>
      <c r="L300" s="7">
        <f t="shared" si="188"/>
        <v>478.5</v>
      </c>
      <c r="M300" s="7">
        <f t="shared" si="165"/>
        <v>24.184988627748293</v>
      </c>
    </row>
    <row r="301" spans="1:13" ht="47.25">
      <c r="A301" s="33" t="s">
        <v>186</v>
      </c>
      <c r="B301" s="42" t="s">
        <v>287</v>
      </c>
      <c r="C301" s="42" t="s">
        <v>266</v>
      </c>
      <c r="D301" s="21" t="s">
        <v>576</v>
      </c>
      <c r="E301" s="42" t="s">
        <v>187</v>
      </c>
      <c r="F301" s="7">
        <f>'Прил.№4 ведомств.'!G920</f>
        <v>450</v>
      </c>
      <c r="G301" s="7">
        <f>'Прил.№4 ведомств.'!I920</f>
        <v>450</v>
      </c>
      <c r="H301" s="7">
        <f>'Прил.№4 ведомств.'!J920</f>
        <v>450</v>
      </c>
      <c r="I301" s="7">
        <f>'Прил.№4 ведомств.'!K920</f>
        <v>450</v>
      </c>
      <c r="J301" s="7">
        <f>'Прил.№4 ведомств.'!L920</f>
        <v>450</v>
      </c>
      <c r="K301" s="7">
        <f>'Прил.№4 ведомств.'!M920</f>
        <v>1978.5</v>
      </c>
      <c r="L301" s="7">
        <f>'Прил.№4 ведомств.'!N920</f>
        <v>478.5</v>
      </c>
      <c r="M301" s="7">
        <f t="shared" si="165"/>
        <v>24.184988627748293</v>
      </c>
    </row>
    <row r="302" spans="1:13" ht="15.75" hidden="1">
      <c r="A302" s="123" t="s">
        <v>577</v>
      </c>
      <c r="B302" s="42" t="s">
        <v>287</v>
      </c>
      <c r="C302" s="42" t="s">
        <v>266</v>
      </c>
      <c r="D302" s="21" t="s">
        <v>578</v>
      </c>
      <c r="E302" s="42"/>
      <c r="F302" s="7">
        <f>F303</f>
        <v>3107</v>
      </c>
      <c r="G302" s="7">
        <f t="shared" ref="G302:L303" si="189">G303</f>
        <v>3107</v>
      </c>
      <c r="H302" s="7">
        <f t="shared" si="189"/>
        <v>160</v>
      </c>
      <c r="I302" s="7">
        <f t="shared" si="189"/>
        <v>160</v>
      </c>
      <c r="J302" s="7">
        <f t="shared" si="189"/>
        <v>160</v>
      </c>
      <c r="K302" s="7">
        <f t="shared" si="189"/>
        <v>0</v>
      </c>
      <c r="L302" s="7">
        <f t="shared" si="189"/>
        <v>0</v>
      </c>
      <c r="M302" s="7" t="e">
        <f t="shared" si="165"/>
        <v>#DIV/0!</v>
      </c>
    </row>
    <row r="303" spans="1:13" ht="31.5" hidden="1">
      <c r="A303" s="33" t="s">
        <v>184</v>
      </c>
      <c r="B303" s="42" t="s">
        <v>287</v>
      </c>
      <c r="C303" s="42" t="s">
        <v>266</v>
      </c>
      <c r="D303" s="21" t="s">
        <v>578</v>
      </c>
      <c r="E303" s="42" t="s">
        <v>185</v>
      </c>
      <c r="F303" s="7">
        <f>F304</f>
        <v>3107</v>
      </c>
      <c r="G303" s="7">
        <f t="shared" si="189"/>
        <v>3107</v>
      </c>
      <c r="H303" s="7">
        <f t="shared" si="189"/>
        <v>160</v>
      </c>
      <c r="I303" s="7">
        <f t="shared" si="189"/>
        <v>160</v>
      </c>
      <c r="J303" s="7">
        <f t="shared" si="189"/>
        <v>160</v>
      </c>
      <c r="K303" s="7">
        <f t="shared" si="189"/>
        <v>0</v>
      </c>
      <c r="L303" s="7">
        <f t="shared" si="189"/>
        <v>0</v>
      </c>
      <c r="M303" s="7" t="e">
        <f t="shared" si="165"/>
        <v>#DIV/0!</v>
      </c>
    </row>
    <row r="304" spans="1:13" ht="47.25" hidden="1">
      <c r="A304" s="33" t="s">
        <v>186</v>
      </c>
      <c r="B304" s="42" t="s">
        <v>287</v>
      </c>
      <c r="C304" s="42" t="s">
        <v>266</v>
      </c>
      <c r="D304" s="21" t="s">
        <v>578</v>
      </c>
      <c r="E304" s="42" t="s">
        <v>187</v>
      </c>
      <c r="F304" s="7">
        <f>'Прил.№4 ведомств.'!G923</f>
        <v>3107</v>
      </c>
      <c r="G304" s="7">
        <f>'Прил.№4 ведомств.'!I923</f>
        <v>3107</v>
      </c>
      <c r="H304" s="7">
        <f>'Прил.№4 ведомств.'!J923</f>
        <v>160</v>
      </c>
      <c r="I304" s="7">
        <f>'Прил.№4 ведомств.'!K923</f>
        <v>160</v>
      </c>
      <c r="J304" s="7">
        <f>'Прил.№4 ведомств.'!L923</f>
        <v>160</v>
      </c>
      <c r="K304" s="7">
        <f>'Прил.№4 ведомств.'!M923</f>
        <v>0</v>
      </c>
      <c r="L304" s="7">
        <f>'Прил.№4 ведомств.'!N923</f>
        <v>0</v>
      </c>
      <c r="M304" s="7" t="e">
        <f t="shared" si="165"/>
        <v>#DIV/0!</v>
      </c>
    </row>
    <row r="305" spans="1:13" ht="15.75">
      <c r="A305" s="123" t="s">
        <v>579</v>
      </c>
      <c r="B305" s="42" t="s">
        <v>287</v>
      </c>
      <c r="C305" s="42" t="s">
        <v>266</v>
      </c>
      <c r="D305" s="21" t="s">
        <v>580</v>
      </c>
      <c r="E305" s="42"/>
      <c r="F305" s="7">
        <f>F306</f>
        <v>1389.8999999999999</v>
      </c>
      <c r="G305" s="7">
        <f t="shared" ref="G305:L306" si="190">G306</f>
        <v>1389.8999999999999</v>
      </c>
      <c r="H305" s="7">
        <f t="shared" si="190"/>
        <v>40</v>
      </c>
      <c r="I305" s="7">
        <f t="shared" si="190"/>
        <v>40</v>
      </c>
      <c r="J305" s="7">
        <f t="shared" si="190"/>
        <v>40</v>
      </c>
      <c r="K305" s="7">
        <f>K306+K308</f>
        <v>550</v>
      </c>
      <c r="L305" s="7">
        <f t="shared" ref="L305" si="191">L306+L308</f>
        <v>70</v>
      </c>
      <c r="M305" s="7">
        <f t="shared" si="165"/>
        <v>12.727272727272727</v>
      </c>
    </row>
    <row r="306" spans="1:13" ht="31.5">
      <c r="A306" s="33" t="s">
        <v>184</v>
      </c>
      <c r="B306" s="42" t="s">
        <v>287</v>
      </c>
      <c r="C306" s="42" t="s">
        <v>266</v>
      </c>
      <c r="D306" s="21" t="s">
        <v>580</v>
      </c>
      <c r="E306" s="42" t="s">
        <v>185</v>
      </c>
      <c r="F306" s="7">
        <f>F307</f>
        <v>1389.8999999999999</v>
      </c>
      <c r="G306" s="7">
        <f t="shared" si="190"/>
        <v>1389.8999999999999</v>
      </c>
      <c r="H306" s="7">
        <f t="shared" si="190"/>
        <v>40</v>
      </c>
      <c r="I306" s="7">
        <f t="shared" si="190"/>
        <v>40</v>
      </c>
      <c r="J306" s="7">
        <f t="shared" si="190"/>
        <v>40</v>
      </c>
      <c r="K306" s="7">
        <f t="shared" si="190"/>
        <v>549.20000000000005</v>
      </c>
      <c r="L306" s="7">
        <f t="shared" si="190"/>
        <v>69.3</v>
      </c>
      <c r="M306" s="7">
        <f t="shared" si="165"/>
        <v>12.618353969410048</v>
      </c>
    </row>
    <row r="307" spans="1:13" ht="47.25">
      <c r="A307" s="33" t="s">
        <v>186</v>
      </c>
      <c r="B307" s="42" t="s">
        <v>287</v>
      </c>
      <c r="C307" s="42" t="s">
        <v>266</v>
      </c>
      <c r="D307" s="21" t="s">
        <v>580</v>
      </c>
      <c r="E307" s="42" t="s">
        <v>187</v>
      </c>
      <c r="F307" s="7">
        <f>'Прил.№4 ведомств.'!G926</f>
        <v>1389.8999999999999</v>
      </c>
      <c r="G307" s="7">
        <f>'Прил.№4 ведомств.'!I926</f>
        <v>1389.8999999999999</v>
      </c>
      <c r="H307" s="7">
        <f>'Прил.№4 ведомств.'!J926</f>
        <v>40</v>
      </c>
      <c r="I307" s="7">
        <f>'Прил.№4 ведомств.'!K926</f>
        <v>40</v>
      </c>
      <c r="J307" s="7">
        <f>'Прил.№4 ведомств.'!L926</f>
        <v>40</v>
      </c>
      <c r="K307" s="7">
        <f>'Прил.№4 ведомств.'!M926</f>
        <v>549.20000000000005</v>
      </c>
      <c r="L307" s="7">
        <f>'Прил.№4 ведомств.'!N926</f>
        <v>69.3</v>
      </c>
      <c r="M307" s="7">
        <f t="shared" si="165"/>
        <v>12.618353969410048</v>
      </c>
    </row>
    <row r="308" spans="1:13" ht="15.75">
      <c r="A308" s="31" t="s">
        <v>188</v>
      </c>
      <c r="B308" s="42" t="s">
        <v>287</v>
      </c>
      <c r="C308" s="42" t="s">
        <v>266</v>
      </c>
      <c r="D308" s="21" t="s">
        <v>580</v>
      </c>
      <c r="E308" s="42" t="s">
        <v>198</v>
      </c>
      <c r="F308" s="7"/>
      <c r="G308" s="7"/>
      <c r="H308" s="7"/>
      <c r="I308" s="7"/>
      <c r="J308" s="7"/>
      <c r="K308" s="7">
        <f>K309</f>
        <v>0.8</v>
      </c>
      <c r="L308" s="7">
        <f t="shared" ref="L308" si="192">L309</f>
        <v>0.7</v>
      </c>
      <c r="M308" s="7">
        <f t="shared" si="165"/>
        <v>87.499999999999986</v>
      </c>
    </row>
    <row r="309" spans="1:13" ht="15.75">
      <c r="A309" s="31" t="s">
        <v>622</v>
      </c>
      <c r="B309" s="42" t="s">
        <v>287</v>
      </c>
      <c r="C309" s="42" t="s">
        <v>266</v>
      </c>
      <c r="D309" s="21" t="s">
        <v>580</v>
      </c>
      <c r="E309" s="42" t="s">
        <v>191</v>
      </c>
      <c r="F309" s="7"/>
      <c r="G309" s="7"/>
      <c r="H309" s="7"/>
      <c r="I309" s="7"/>
      <c r="J309" s="7"/>
      <c r="K309" s="7">
        <f>'Прил.№4 ведомств.'!M928</f>
        <v>0.8</v>
      </c>
      <c r="L309" s="7">
        <f>'Прил.№4 ведомств.'!N928</f>
        <v>0.7</v>
      </c>
      <c r="M309" s="7">
        <f t="shared" si="165"/>
        <v>87.499999999999986</v>
      </c>
    </row>
    <row r="310" spans="1:13" ht="15.75">
      <c r="A310" s="123" t="s">
        <v>581</v>
      </c>
      <c r="B310" s="42" t="s">
        <v>287</v>
      </c>
      <c r="C310" s="42" t="s">
        <v>266</v>
      </c>
      <c r="D310" s="21" t="s">
        <v>582</v>
      </c>
      <c r="E310" s="42"/>
      <c r="F310" s="7">
        <f>F311</f>
        <v>159.10000000000002</v>
      </c>
      <c r="G310" s="7">
        <f t="shared" ref="G310:L311" si="193">G311</f>
        <v>159.10000000000002</v>
      </c>
      <c r="H310" s="7">
        <f t="shared" si="193"/>
        <v>305</v>
      </c>
      <c r="I310" s="7">
        <f t="shared" si="193"/>
        <v>305</v>
      </c>
      <c r="J310" s="7">
        <f t="shared" si="193"/>
        <v>305</v>
      </c>
      <c r="K310" s="7">
        <f t="shared" si="193"/>
        <v>2556</v>
      </c>
      <c r="L310" s="7">
        <f t="shared" si="193"/>
        <v>0</v>
      </c>
      <c r="M310" s="7">
        <f t="shared" si="165"/>
        <v>0</v>
      </c>
    </row>
    <row r="311" spans="1:13" ht="31.5">
      <c r="A311" s="33" t="s">
        <v>184</v>
      </c>
      <c r="B311" s="42" t="s">
        <v>287</v>
      </c>
      <c r="C311" s="42" t="s">
        <v>266</v>
      </c>
      <c r="D311" s="21" t="s">
        <v>582</v>
      </c>
      <c r="E311" s="42" t="s">
        <v>185</v>
      </c>
      <c r="F311" s="7">
        <f>F312</f>
        <v>159.10000000000002</v>
      </c>
      <c r="G311" s="7">
        <f t="shared" si="193"/>
        <v>159.10000000000002</v>
      </c>
      <c r="H311" s="7">
        <f t="shared" si="193"/>
        <v>305</v>
      </c>
      <c r="I311" s="7">
        <f t="shared" si="193"/>
        <v>305</v>
      </c>
      <c r="J311" s="7">
        <f t="shared" si="193"/>
        <v>305</v>
      </c>
      <c r="K311" s="7">
        <f t="shared" si="193"/>
        <v>2556</v>
      </c>
      <c r="L311" s="7">
        <f t="shared" si="193"/>
        <v>0</v>
      </c>
      <c r="M311" s="7">
        <f t="shared" si="165"/>
        <v>0</v>
      </c>
    </row>
    <row r="312" spans="1:13" ht="47.25">
      <c r="A312" s="33" t="s">
        <v>186</v>
      </c>
      <c r="B312" s="42" t="s">
        <v>287</v>
      </c>
      <c r="C312" s="42" t="s">
        <v>266</v>
      </c>
      <c r="D312" s="21" t="s">
        <v>582</v>
      </c>
      <c r="E312" s="42" t="s">
        <v>187</v>
      </c>
      <c r="F312" s="7">
        <f>'Прил.№4 ведомств.'!G931</f>
        <v>159.10000000000002</v>
      </c>
      <c r="G312" s="7">
        <f>'Прил.№4 ведомств.'!I931</f>
        <v>159.10000000000002</v>
      </c>
      <c r="H312" s="7">
        <f>'Прил.№4 ведомств.'!J931</f>
        <v>305</v>
      </c>
      <c r="I312" s="7">
        <f>'Прил.№4 ведомств.'!K931</f>
        <v>305</v>
      </c>
      <c r="J312" s="7">
        <f>'Прил.№4 ведомств.'!L931</f>
        <v>305</v>
      </c>
      <c r="K312" s="7">
        <f>'Прил.№4 ведомств.'!M931</f>
        <v>2556</v>
      </c>
      <c r="L312" s="7">
        <f>'Прил.№4 ведомств.'!N931</f>
        <v>0</v>
      </c>
      <c r="M312" s="7">
        <f t="shared" si="165"/>
        <v>0</v>
      </c>
    </row>
    <row r="313" spans="1:13" ht="15.75" hidden="1">
      <c r="A313" s="123" t="s">
        <v>583</v>
      </c>
      <c r="B313" s="42" t="s">
        <v>287</v>
      </c>
      <c r="C313" s="42" t="s">
        <v>266</v>
      </c>
      <c r="D313" s="21" t="s">
        <v>584</v>
      </c>
      <c r="E313" s="42"/>
      <c r="F313" s="7">
        <f>F314</f>
        <v>272.89999999999998</v>
      </c>
      <c r="G313" s="7">
        <f t="shared" ref="G313:L314" si="194">G314</f>
        <v>272.89999999999998</v>
      </c>
      <c r="H313" s="7">
        <f t="shared" si="194"/>
        <v>2</v>
      </c>
      <c r="I313" s="7">
        <f t="shared" si="194"/>
        <v>2</v>
      </c>
      <c r="J313" s="7">
        <f t="shared" si="194"/>
        <v>2</v>
      </c>
      <c r="K313" s="7">
        <f t="shared" si="194"/>
        <v>0</v>
      </c>
      <c r="L313" s="7">
        <f t="shared" si="194"/>
        <v>0</v>
      </c>
      <c r="M313" s="7" t="e">
        <f t="shared" si="165"/>
        <v>#DIV/0!</v>
      </c>
    </row>
    <row r="314" spans="1:13" ht="31.5" hidden="1">
      <c r="A314" s="33" t="s">
        <v>184</v>
      </c>
      <c r="B314" s="42" t="s">
        <v>287</v>
      </c>
      <c r="C314" s="42" t="s">
        <v>266</v>
      </c>
      <c r="D314" s="21" t="s">
        <v>584</v>
      </c>
      <c r="E314" s="42" t="s">
        <v>185</v>
      </c>
      <c r="F314" s="7">
        <f>F315</f>
        <v>272.89999999999998</v>
      </c>
      <c r="G314" s="7">
        <f t="shared" si="194"/>
        <v>272.89999999999998</v>
      </c>
      <c r="H314" s="7">
        <f t="shared" si="194"/>
        <v>2</v>
      </c>
      <c r="I314" s="7">
        <f t="shared" si="194"/>
        <v>2</v>
      </c>
      <c r="J314" s="7">
        <f t="shared" si="194"/>
        <v>2</v>
      </c>
      <c r="K314" s="7">
        <f t="shared" si="194"/>
        <v>0</v>
      </c>
      <c r="L314" s="7">
        <f t="shared" si="194"/>
        <v>0</v>
      </c>
      <c r="M314" s="7" t="e">
        <f t="shared" si="165"/>
        <v>#DIV/0!</v>
      </c>
    </row>
    <row r="315" spans="1:13" ht="47.25" hidden="1">
      <c r="A315" s="33" t="s">
        <v>186</v>
      </c>
      <c r="B315" s="42" t="s">
        <v>287</v>
      </c>
      <c r="C315" s="42" t="s">
        <v>266</v>
      </c>
      <c r="D315" s="21" t="s">
        <v>584</v>
      </c>
      <c r="E315" s="42" t="s">
        <v>187</v>
      </c>
      <c r="F315" s="7">
        <f>'Прил.№4 ведомств.'!G934</f>
        <v>272.89999999999998</v>
      </c>
      <c r="G315" s="7">
        <f>'Прил.№4 ведомств.'!I934</f>
        <v>272.89999999999998</v>
      </c>
      <c r="H315" s="7">
        <f>'Прил.№4 ведомств.'!J934</f>
        <v>2</v>
      </c>
      <c r="I315" s="7">
        <f>'Прил.№4 ведомств.'!K934</f>
        <v>2</v>
      </c>
      <c r="J315" s="7">
        <f>'Прил.№4 ведомств.'!L934</f>
        <v>2</v>
      </c>
      <c r="K315" s="7">
        <f>'Прил.№4 ведомств.'!M934</f>
        <v>0</v>
      </c>
      <c r="L315" s="7">
        <f>'Прил.№4 ведомств.'!N934</f>
        <v>0</v>
      </c>
      <c r="M315" s="7" t="e">
        <f t="shared" si="165"/>
        <v>#DIV/0!</v>
      </c>
    </row>
    <row r="316" spans="1:13" ht="31.5" hidden="1" customHeight="1">
      <c r="A316" s="121" t="s">
        <v>585</v>
      </c>
      <c r="B316" s="42" t="s">
        <v>287</v>
      </c>
      <c r="C316" s="42" t="s">
        <v>266</v>
      </c>
      <c r="D316" s="21" t="s">
        <v>586</v>
      </c>
      <c r="E316" s="42"/>
      <c r="F316" s="7">
        <f>F317</f>
        <v>0</v>
      </c>
      <c r="G316" s="7">
        <f t="shared" ref="G316:L317" si="195">G317</f>
        <v>0</v>
      </c>
      <c r="H316" s="7">
        <f t="shared" si="195"/>
        <v>0</v>
      </c>
      <c r="I316" s="7">
        <f t="shared" si="195"/>
        <v>0</v>
      </c>
      <c r="J316" s="7">
        <f t="shared" si="195"/>
        <v>0</v>
      </c>
      <c r="K316" s="7">
        <f t="shared" si="195"/>
        <v>0</v>
      </c>
      <c r="L316" s="7">
        <f t="shared" si="195"/>
        <v>0</v>
      </c>
      <c r="M316" s="7" t="e">
        <f t="shared" si="165"/>
        <v>#DIV/0!</v>
      </c>
    </row>
    <row r="317" spans="1:13" ht="31.5" hidden="1" customHeight="1">
      <c r="A317" s="33" t="s">
        <v>184</v>
      </c>
      <c r="B317" s="42" t="s">
        <v>287</v>
      </c>
      <c r="C317" s="42" t="s">
        <v>266</v>
      </c>
      <c r="D317" s="21" t="s">
        <v>586</v>
      </c>
      <c r="E317" s="42" t="s">
        <v>185</v>
      </c>
      <c r="F317" s="7">
        <f>F318</f>
        <v>0</v>
      </c>
      <c r="G317" s="7">
        <f t="shared" si="195"/>
        <v>0</v>
      </c>
      <c r="H317" s="7">
        <f t="shared" si="195"/>
        <v>0</v>
      </c>
      <c r="I317" s="7">
        <f t="shared" si="195"/>
        <v>0</v>
      </c>
      <c r="J317" s="7">
        <f t="shared" si="195"/>
        <v>0</v>
      </c>
      <c r="K317" s="7">
        <f t="shared" si="195"/>
        <v>0</v>
      </c>
      <c r="L317" s="7">
        <f t="shared" si="195"/>
        <v>0</v>
      </c>
      <c r="M317" s="7" t="e">
        <f t="shared" si="165"/>
        <v>#DIV/0!</v>
      </c>
    </row>
    <row r="318" spans="1:13" ht="47.25" hidden="1" customHeight="1">
      <c r="A318" s="33" t="s">
        <v>186</v>
      </c>
      <c r="B318" s="42" t="s">
        <v>287</v>
      </c>
      <c r="C318" s="42" t="s">
        <v>266</v>
      </c>
      <c r="D318" s="21" t="s">
        <v>586</v>
      </c>
      <c r="E318" s="42" t="s">
        <v>187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 t="e">
        <f t="shared" si="165"/>
        <v>#DIV/0!</v>
      </c>
    </row>
    <row r="319" spans="1:13" ht="15.75" hidden="1">
      <c r="A319" s="121" t="s">
        <v>587</v>
      </c>
      <c r="B319" s="42" t="s">
        <v>287</v>
      </c>
      <c r="C319" s="42" t="s">
        <v>266</v>
      </c>
      <c r="D319" s="21" t="s">
        <v>588</v>
      </c>
      <c r="E319" s="42"/>
      <c r="F319" s="7">
        <f>F320</f>
        <v>49</v>
      </c>
      <c r="G319" s="7">
        <f t="shared" ref="G319:L320" si="196">G320</f>
        <v>49</v>
      </c>
      <c r="H319" s="7">
        <f t="shared" si="196"/>
        <v>10</v>
      </c>
      <c r="I319" s="7">
        <f t="shared" si="196"/>
        <v>10</v>
      </c>
      <c r="J319" s="7">
        <f t="shared" si="196"/>
        <v>10</v>
      </c>
      <c r="K319" s="7">
        <f t="shared" si="196"/>
        <v>0</v>
      </c>
      <c r="L319" s="7">
        <f t="shared" si="196"/>
        <v>0</v>
      </c>
      <c r="M319" s="7" t="e">
        <f t="shared" si="165"/>
        <v>#DIV/0!</v>
      </c>
    </row>
    <row r="320" spans="1:13" ht="31.5" hidden="1">
      <c r="A320" s="26" t="s">
        <v>184</v>
      </c>
      <c r="B320" s="42" t="s">
        <v>287</v>
      </c>
      <c r="C320" s="42" t="s">
        <v>266</v>
      </c>
      <c r="D320" s="21" t="s">
        <v>588</v>
      </c>
      <c r="E320" s="42" t="s">
        <v>185</v>
      </c>
      <c r="F320" s="7">
        <f>F321</f>
        <v>49</v>
      </c>
      <c r="G320" s="7">
        <f t="shared" si="196"/>
        <v>49</v>
      </c>
      <c r="H320" s="7">
        <f t="shared" si="196"/>
        <v>10</v>
      </c>
      <c r="I320" s="7">
        <f t="shared" si="196"/>
        <v>10</v>
      </c>
      <c r="J320" s="7">
        <f t="shared" si="196"/>
        <v>10</v>
      </c>
      <c r="K320" s="7">
        <f t="shared" si="196"/>
        <v>0</v>
      </c>
      <c r="L320" s="7">
        <f t="shared" si="196"/>
        <v>0</v>
      </c>
      <c r="M320" s="7" t="e">
        <f t="shared" si="165"/>
        <v>#DIV/0!</v>
      </c>
    </row>
    <row r="321" spans="1:13" ht="47.25" hidden="1">
      <c r="A321" s="26" t="s">
        <v>186</v>
      </c>
      <c r="B321" s="42" t="s">
        <v>287</v>
      </c>
      <c r="C321" s="42" t="s">
        <v>266</v>
      </c>
      <c r="D321" s="21" t="s">
        <v>588</v>
      </c>
      <c r="E321" s="42" t="s">
        <v>187</v>
      </c>
      <c r="F321" s="7">
        <f>'Прил.№4 ведомств.'!G940</f>
        <v>49</v>
      </c>
      <c r="G321" s="7">
        <f>'Прил.№4 ведомств.'!I940</f>
        <v>49</v>
      </c>
      <c r="H321" s="7">
        <f>'Прил.№4 ведомств.'!J940</f>
        <v>10</v>
      </c>
      <c r="I321" s="7">
        <f>'Прил.№4 ведомств.'!K940</f>
        <v>10</v>
      </c>
      <c r="J321" s="7">
        <f>'Прил.№4 ведомств.'!L940</f>
        <v>10</v>
      </c>
      <c r="K321" s="7">
        <f>'Прил.№4 ведомств.'!M940</f>
        <v>0</v>
      </c>
      <c r="L321" s="7">
        <f>'Прил.№4 ведомств.'!N940</f>
        <v>0</v>
      </c>
      <c r="M321" s="7" t="e">
        <f t="shared" si="165"/>
        <v>#DIV/0!</v>
      </c>
    </row>
    <row r="322" spans="1:13" ht="15.75">
      <c r="A322" s="31" t="s">
        <v>174</v>
      </c>
      <c r="B322" s="42" t="s">
        <v>287</v>
      </c>
      <c r="C322" s="42" t="s">
        <v>266</v>
      </c>
      <c r="D322" s="42" t="s">
        <v>175</v>
      </c>
      <c r="E322" s="42"/>
      <c r="F322" s="7">
        <f>F323+F333</f>
        <v>48283.199999999997</v>
      </c>
      <c r="G322" s="7">
        <f t="shared" ref="G322:K322" si="197">G323+G333</f>
        <v>38923.5</v>
      </c>
      <c r="H322" s="7">
        <f t="shared" si="197"/>
        <v>11416.3</v>
      </c>
      <c r="I322" s="7">
        <f t="shared" si="197"/>
        <v>11416.3</v>
      </c>
      <c r="J322" s="7">
        <f t="shared" si="197"/>
        <v>11416.3</v>
      </c>
      <c r="K322" s="7">
        <f t="shared" si="197"/>
        <v>46140.200000000004</v>
      </c>
      <c r="L322" s="7">
        <f t="shared" ref="L322" si="198">L323+L333</f>
        <v>4148.3999999999996</v>
      </c>
      <c r="M322" s="7">
        <f t="shared" si="165"/>
        <v>8.9908582971031752</v>
      </c>
    </row>
    <row r="323" spans="1:13" ht="31.5">
      <c r="A323" s="31" t="s">
        <v>238</v>
      </c>
      <c r="B323" s="42" t="s">
        <v>287</v>
      </c>
      <c r="C323" s="42" t="s">
        <v>266</v>
      </c>
      <c r="D323" s="42" t="s">
        <v>239</v>
      </c>
      <c r="E323" s="42"/>
      <c r="F323" s="7">
        <f>F324+F327+F330</f>
        <v>25111.200000000001</v>
      </c>
      <c r="G323" s="7">
        <f t="shared" ref="G323:K323" si="199">G324+G327+G330</f>
        <v>25111.200000000001</v>
      </c>
      <c r="H323" s="7">
        <f t="shared" si="199"/>
        <v>0</v>
      </c>
      <c r="I323" s="7">
        <f t="shared" si="199"/>
        <v>0</v>
      </c>
      <c r="J323" s="7">
        <f t="shared" si="199"/>
        <v>0</v>
      </c>
      <c r="K323" s="7">
        <f t="shared" si="199"/>
        <v>4148.3999999999996</v>
      </c>
      <c r="L323" s="7">
        <f t="shared" ref="L323" si="200">L324+L327+L330</f>
        <v>4148.3999999999996</v>
      </c>
      <c r="M323" s="7">
        <f t="shared" si="165"/>
        <v>100</v>
      </c>
    </row>
    <row r="324" spans="1:13" ht="47.25" hidden="1">
      <c r="A324" s="124" t="s">
        <v>765</v>
      </c>
      <c r="B324" s="42" t="s">
        <v>287</v>
      </c>
      <c r="C324" s="42" t="s">
        <v>266</v>
      </c>
      <c r="D324" s="21" t="s">
        <v>589</v>
      </c>
      <c r="E324" s="42"/>
      <c r="F324" s="7">
        <f>F325</f>
        <v>5000</v>
      </c>
      <c r="G324" s="7">
        <f t="shared" ref="G324:L325" si="201">G325</f>
        <v>5000</v>
      </c>
      <c r="H324" s="7">
        <f t="shared" si="201"/>
        <v>0</v>
      </c>
      <c r="I324" s="7">
        <f t="shared" si="201"/>
        <v>0</v>
      </c>
      <c r="J324" s="7">
        <f t="shared" si="201"/>
        <v>0</v>
      </c>
      <c r="K324" s="7">
        <f t="shared" si="201"/>
        <v>0</v>
      </c>
      <c r="L324" s="7">
        <f t="shared" si="201"/>
        <v>0</v>
      </c>
      <c r="M324" s="7" t="e">
        <f t="shared" si="165"/>
        <v>#DIV/0!</v>
      </c>
    </row>
    <row r="325" spans="1:13" ht="31.5" hidden="1">
      <c r="A325" s="31" t="s">
        <v>184</v>
      </c>
      <c r="B325" s="42" t="s">
        <v>287</v>
      </c>
      <c r="C325" s="42" t="s">
        <v>266</v>
      </c>
      <c r="D325" s="21" t="s">
        <v>589</v>
      </c>
      <c r="E325" s="42" t="s">
        <v>185</v>
      </c>
      <c r="F325" s="7">
        <f>F326</f>
        <v>5000</v>
      </c>
      <c r="G325" s="7">
        <f t="shared" si="201"/>
        <v>5000</v>
      </c>
      <c r="H325" s="7">
        <f t="shared" si="201"/>
        <v>0</v>
      </c>
      <c r="I325" s="7">
        <f t="shared" si="201"/>
        <v>0</v>
      </c>
      <c r="J325" s="7">
        <f t="shared" si="201"/>
        <v>0</v>
      </c>
      <c r="K325" s="7">
        <f t="shared" si="201"/>
        <v>0</v>
      </c>
      <c r="L325" s="7">
        <f t="shared" si="201"/>
        <v>0</v>
      </c>
      <c r="M325" s="7" t="e">
        <f t="shared" si="165"/>
        <v>#DIV/0!</v>
      </c>
    </row>
    <row r="326" spans="1:13" ht="47.25" hidden="1">
      <c r="A326" s="31" t="s">
        <v>186</v>
      </c>
      <c r="B326" s="42" t="s">
        <v>287</v>
      </c>
      <c r="C326" s="42" t="s">
        <v>266</v>
      </c>
      <c r="D326" s="21" t="s">
        <v>589</v>
      </c>
      <c r="E326" s="42" t="s">
        <v>187</v>
      </c>
      <c r="F326" s="7">
        <f>'Прил.№4 ведомств.'!G945</f>
        <v>5000</v>
      </c>
      <c r="G326" s="7">
        <f>'Прил.№4 ведомств.'!I945</f>
        <v>5000</v>
      </c>
      <c r="H326" s="7">
        <f>'Прил.№4 ведомств.'!J945</f>
        <v>0</v>
      </c>
      <c r="I326" s="7">
        <f>'Прил.№4 ведомств.'!K945</f>
        <v>0</v>
      </c>
      <c r="J326" s="7">
        <f>'Прил.№4 ведомств.'!L945</f>
        <v>0</v>
      </c>
      <c r="K326" s="7">
        <f>'Прил.№4 ведомств.'!M945</f>
        <v>0</v>
      </c>
      <c r="L326" s="7">
        <f>'Прил.№4 ведомств.'!N945</f>
        <v>0</v>
      </c>
      <c r="M326" s="7" t="e">
        <f t="shared" si="165"/>
        <v>#DIV/0!</v>
      </c>
    </row>
    <row r="327" spans="1:13" ht="31.5">
      <c r="A327" s="70" t="s">
        <v>771</v>
      </c>
      <c r="B327" s="42" t="s">
        <v>287</v>
      </c>
      <c r="C327" s="42" t="s">
        <v>266</v>
      </c>
      <c r="D327" s="42" t="s">
        <v>590</v>
      </c>
      <c r="E327" s="42"/>
      <c r="F327" s="7">
        <f>F328</f>
        <v>20000</v>
      </c>
      <c r="G327" s="7">
        <f t="shared" ref="G327:L328" si="202">G328</f>
        <v>20000</v>
      </c>
      <c r="H327" s="7">
        <f t="shared" si="202"/>
        <v>0</v>
      </c>
      <c r="I327" s="7">
        <f t="shared" si="202"/>
        <v>0</v>
      </c>
      <c r="J327" s="7">
        <f t="shared" si="202"/>
        <v>0</v>
      </c>
      <c r="K327" s="7">
        <f t="shared" si="202"/>
        <v>4148.3999999999996</v>
      </c>
      <c r="L327" s="7">
        <f t="shared" si="202"/>
        <v>4148.3999999999996</v>
      </c>
      <c r="M327" s="7">
        <f t="shared" si="165"/>
        <v>100</v>
      </c>
    </row>
    <row r="328" spans="1:13" ht="31.5">
      <c r="A328" s="31" t="s">
        <v>184</v>
      </c>
      <c r="B328" s="42" t="s">
        <v>287</v>
      </c>
      <c r="C328" s="42" t="s">
        <v>266</v>
      </c>
      <c r="D328" s="42" t="s">
        <v>590</v>
      </c>
      <c r="E328" s="42" t="s">
        <v>185</v>
      </c>
      <c r="F328" s="7">
        <f>F329</f>
        <v>20000</v>
      </c>
      <c r="G328" s="7">
        <f t="shared" si="202"/>
        <v>20000</v>
      </c>
      <c r="H328" s="7">
        <f t="shared" si="202"/>
        <v>0</v>
      </c>
      <c r="I328" s="7">
        <f t="shared" si="202"/>
        <v>0</v>
      </c>
      <c r="J328" s="7">
        <f t="shared" si="202"/>
        <v>0</v>
      </c>
      <c r="K328" s="7">
        <f t="shared" si="202"/>
        <v>4148.3999999999996</v>
      </c>
      <c r="L328" s="7">
        <f t="shared" si="202"/>
        <v>4148.3999999999996</v>
      </c>
      <c r="M328" s="7">
        <f t="shared" si="165"/>
        <v>100</v>
      </c>
    </row>
    <row r="329" spans="1:13" ht="47.25">
      <c r="A329" s="31" t="s">
        <v>186</v>
      </c>
      <c r="B329" s="42" t="s">
        <v>287</v>
      </c>
      <c r="C329" s="42" t="s">
        <v>266</v>
      </c>
      <c r="D329" s="42" t="s">
        <v>590</v>
      </c>
      <c r="E329" s="42" t="s">
        <v>187</v>
      </c>
      <c r="F329" s="7">
        <f>'Прил.№4 ведомств.'!G948</f>
        <v>20000</v>
      </c>
      <c r="G329" s="7">
        <f>'Прил.№4 ведомств.'!I948</f>
        <v>20000</v>
      </c>
      <c r="H329" s="7">
        <f>'Прил.№4 ведомств.'!J948</f>
        <v>0</v>
      </c>
      <c r="I329" s="7">
        <f>'Прил.№4 ведомств.'!K948</f>
        <v>0</v>
      </c>
      <c r="J329" s="7">
        <f>'Прил.№4 ведомств.'!L948</f>
        <v>0</v>
      </c>
      <c r="K329" s="7">
        <f>'Прил.№4 ведомств.'!M948</f>
        <v>4148.3999999999996</v>
      </c>
      <c r="L329" s="7">
        <f>'Прил.№4 ведомств.'!N948</f>
        <v>4148.3999999999996</v>
      </c>
      <c r="M329" s="7">
        <f t="shared" si="165"/>
        <v>100</v>
      </c>
    </row>
    <row r="330" spans="1:13" ht="47.25" hidden="1">
      <c r="A330" s="26" t="s">
        <v>772</v>
      </c>
      <c r="B330" s="42" t="s">
        <v>287</v>
      </c>
      <c r="C330" s="42" t="s">
        <v>266</v>
      </c>
      <c r="D330" s="21" t="s">
        <v>773</v>
      </c>
      <c r="E330" s="42"/>
      <c r="F330" s="7">
        <f>F331</f>
        <v>111.2</v>
      </c>
      <c r="G330" s="7">
        <f t="shared" ref="G330:L331" si="203">G331</f>
        <v>111.2</v>
      </c>
      <c r="H330" s="7">
        <f t="shared" si="203"/>
        <v>0</v>
      </c>
      <c r="I330" s="7">
        <f t="shared" si="203"/>
        <v>0</v>
      </c>
      <c r="J330" s="7">
        <f t="shared" si="203"/>
        <v>0</v>
      </c>
      <c r="K330" s="7">
        <f t="shared" si="203"/>
        <v>0</v>
      </c>
      <c r="L330" s="7">
        <f t="shared" si="203"/>
        <v>0</v>
      </c>
      <c r="M330" s="7" t="e">
        <f t="shared" si="165"/>
        <v>#DIV/0!</v>
      </c>
    </row>
    <row r="331" spans="1:13" ht="31.5" hidden="1">
      <c r="A331" s="26" t="s">
        <v>184</v>
      </c>
      <c r="B331" s="42" t="s">
        <v>287</v>
      </c>
      <c r="C331" s="42" t="s">
        <v>266</v>
      </c>
      <c r="D331" s="21" t="s">
        <v>773</v>
      </c>
      <c r="E331" s="42" t="s">
        <v>185</v>
      </c>
      <c r="F331" s="7">
        <f>F332</f>
        <v>111.2</v>
      </c>
      <c r="G331" s="7">
        <f t="shared" si="203"/>
        <v>111.2</v>
      </c>
      <c r="H331" s="7">
        <f t="shared" si="203"/>
        <v>0</v>
      </c>
      <c r="I331" s="7">
        <f t="shared" si="203"/>
        <v>0</v>
      </c>
      <c r="J331" s="7">
        <f t="shared" si="203"/>
        <v>0</v>
      </c>
      <c r="K331" s="7">
        <f t="shared" si="203"/>
        <v>0</v>
      </c>
      <c r="L331" s="7">
        <f t="shared" si="203"/>
        <v>0</v>
      </c>
      <c r="M331" s="7" t="e">
        <f t="shared" si="165"/>
        <v>#DIV/0!</v>
      </c>
    </row>
    <row r="332" spans="1:13" ht="47.25" hidden="1">
      <c r="A332" s="26" t="s">
        <v>186</v>
      </c>
      <c r="B332" s="42" t="s">
        <v>287</v>
      </c>
      <c r="C332" s="42" t="s">
        <v>266</v>
      </c>
      <c r="D332" s="21" t="s">
        <v>773</v>
      </c>
      <c r="E332" s="42" t="s">
        <v>187</v>
      </c>
      <c r="F332" s="7">
        <f>'Прил.№4 ведомств.'!G951</f>
        <v>111.2</v>
      </c>
      <c r="G332" s="7">
        <f>'Прил.№4 ведомств.'!I951</f>
        <v>111.2</v>
      </c>
      <c r="H332" s="7">
        <f>'Прил.№4 ведомств.'!J951</f>
        <v>0</v>
      </c>
      <c r="I332" s="7">
        <f>'Прил.№4 ведомств.'!K951</f>
        <v>0</v>
      </c>
      <c r="J332" s="7">
        <f>'Прил.№4 ведомств.'!L951</f>
        <v>0</v>
      </c>
      <c r="K332" s="7">
        <f>'Прил.№4 ведомств.'!M951</f>
        <v>0</v>
      </c>
      <c r="L332" s="7">
        <f>'Прил.№4 ведомств.'!N951</f>
        <v>0</v>
      </c>
      <c r="M332" s="7" t="e">
        <f t="shared" si="165"/>
        <v>#DIV/0!</v>
      </c>
    </row>
    <row r="333" spans="1:13" ht="15.75">
      <c r="A333" s="31" t="s">
        <v>194</v>
      </c>
      <c r="B333" s="42" t="s">
        <v>287</v>
      </c>
      <c r="C333" s="42" t="s">
        <v>266</v>
      </c>
      <c r="D333" s="42" t="s">
        <v>195</v>
      </c>
      <c r="E333" s="8"/>
      <c r="F333" s="7">
        <f>F334+F340</f>
        <v>23171.999999999996</v>
      </c>
      <c r="G333" s="7">
        <f t="shared" ref="G333:J333" si="204">G334+G340</f>
        <v>13812.3</v>
      </c>
      <c r="H333" s="7">
        <f t="shared" si="204"/>
        <v>11416.3</v>
      </c>
      <c r="I333" s="7">
        <f t="shared" si="204"/>
        <v>11416.3</v>
      </c>
      <c r="J333" s="7">
        <f t="shared" si="204"/>
        <v>11416.3</v>
      </c>
      <c r="K333" s="7">
        <f>K334+K340+K343</f>
        <v>41991.8</v>
      </c>
      <c r="L333" s="7">
        <f t="shared" ref="L333" si="205">L334+L340+L343</f>
        <v>0</v>
      </c>
      <c r="M333" s="7">
        <f t="shared" ref="M333:M396" si="206">L333/K333*100</f>
        <v>0</v>
      </c>
    </row>
    <row r="334" spans="1:13" ht="15.75">
      <c r="A334" s="31" t="s">
        <v>591</v>
      </c>
      <c r="B334" s="42" t="s">
        <v>287</v>
      </c>
      <c r="C334" s="42" t="s">
        <v>266</v>
      </c>
      <c r="D334" s="42" t="s">
        <v>592</v>
      </c>
      <c r="E334" s="8"/>
      <c r="F334" s="7">
        <f>F335+F337</f>
        <v>20493.699999999997</v>
      </c>
      <c r="G334" s="7">
        <f t="shared" ref="G334:K334" si="207">G335+G337</f>
        <v>3493.7</v>
      </c>
      <c r="H334" s="7">
        <f t="shared" si="207"/>
        <v>0</v>
      </c>
      <c r="I334" s="7">
        <f t="shared" si="207"/>
        <v>0</v>
      </c>
      <c r="J334" s="7">
        <f t="shared" si="207"/>
        <v>0</v>
      </c>
      <c r="K334" s="7">
        <f t="shared" si="207"/>
        <v>13708.5</v>
      </c>
      <c r="L334" s="7">
        <f t="shared" ref="L334" si="208">L335+L337</f>
        <v>0</v>
      </c>
      <c r="M334" s="7">
        <f t="shared" si="206"/>
        <v>0</v>
      </c>
    </row>
    <row r="335" spans="1:13" ht="31.5">
      <c r="A335" s="31" t="s">
        <v>184</v>
      </c>
      <c r="B335" s="42" t="s">
        <v>287</v>
      </c>
      <c r="C335" s="42" t="s">
        <v>266</v>
      </c>
      <c r="D335" s="42" t="s">
        <v>592</v>
      </c>
      <c r="E335" s="42" t="s">
        <v>185</v>
      </c>
      <c r="F335" s="7">
        <f>F336</f>
        <v>20462.099999999999</v>
      </c>
      <c r="G335" s="7">
        <f t="shared" ref="G335:L335" si="209">G336</f>
        <v>3462.1</v>
      </c>
      <c r="H335" s="7">
        <f t="shared" si="209"/>
        <v>0</v>
      </c>
      <c r="I335" s="7">
        <f t="shared" si="209"/>
        <v>0</v>
      </c>
      <c r="J335" s="7">
        <f t="shared" si="209"/>
        <v>0</v>
      </c>
      <c r="K335" s="7">
        <f t="shared" si="209"/>
        <v>13708.5</v>
      </c>
      <c r="L335" s="7">
        <f t="shared" si="209"/>
        <v>0</v>
      </c>
      <c r="M335" s="7">
        <f t="shared" si="206"/>
        <v>0</v>
      </c>
    </row>
    <row r="336" spans="1:13" ht="47.25">
      <c r="A336" s="31" t="s">
        <v>186</v>
      </c>
      <c r="B336" s="42" t="s">
        <v>287</v>
      </c>
      <c r="C336" s="42" t="s">
        <v>266</v>
      </c>
      <c r="D336" s="42" t="s">
        <v>592</v>
      </c>
      <c r="E336" s="42" t="s">
        <v>187</v>
      </c>
      <c r="F336" s="7">
        <f>'Прил.№4 ведомств.'!G955</f>
        <v>20462.099999999999</v>
      </c>
      <c r="G336" s="7">
        <f>'Прил.№4 ведомств.'!I955</f>
        <v>3462.1</v>
      </c>
      <c r="H336" s="7">
        <f>'Прил.№4 ведомств.'!J955</f>
        <v>0</v>
      </c>
      <c r="I336" s="7">
        <f>'Прил.№4 ведомств.'!K955</f>
        <v>0</v>
      </c>
      <c r="J336" s="7">
        <f>'Прил.№4 ведомств.'!L955</f>
        <v>0</v>
      </c>
      <c r="K336" s="7">
        <f>'Прил.№4 ведомств.'!M955</f>
        <v>13708.5</v>
      </c>
      <c r="L336" s="7">
        <f>'Прил.№4 ведомств.'!N955</f>
        <v>0</v>
      </c>
      <c r="M336" s="7">
        <f t="shared" si="206"/>
        <v>0</v>
      </c>
    </row>
    <row r="337" spans="1:13" ht="15.75" hidden="1">
      <c r="A337" s="31" t="s">
        <v>188</v>
      </c>
      <c r="B337" s="42" t="s">
        <v>287</v>
      </c>
      <c r="C337" s="42" t="s">
        <v>266</v>
      </c>
      <c r="D337" s="42" t="s">
        <v>592</v>
      </c>
      <c r="E337" s="42" t="s">
        <v>198</v>
      </c>
      <c r="F337" s="7">
        <f>F339+F338</f>
        <v>31.6</v>
      </c>
      <c r="G337" s="7">
        <f t="shared" ref="G337:K337" si="210">G339+G338</f>
        <v>31.6</v>
      </c>
      <c r="H337" s="7">
        <f t="shared" si="210"/>
        <v>0</v>
      </c>
      <c r="I337" s="7">
        <f t="shared" si="210"/>
        <v>0</v>
      </c>
      <c r="J337" s="7">
        <f t="shared" si="210"/>
        <v>0</v>
      </c>
      <c r="K337" s="7">
        <f t="shared" si="210"/>
        <v>0</v>
      </c>
      <c r="L337" s="7">
        <f t="shared" ref="L337" si="211">L339+L338</f>
        <v>0</v>
      </c>
      <c r="M337" s="7" t="e">
        <f t="shared" si="206"/>
        <v>#DIV/0!</v>
      </c>
    </row>
    <row r="338" spans="1:13" ht="47.25" hidden="1" customHeight="1">
      <c r="A338" s="31" t="s">
        <v>237</v>
      </c>
      <c r="B338" s="42" t="s">
        <v>287</v>
      </c>
      <c r="C338" s="42" t="s">
        <v>266</v>
      </c>
      <c r="D338" s="42" t="s">
        <v>592</v>
      </c>
      <c r="E338" s="42" t="s">
        <v>213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 t="e">
        <f t="shared" si="206"/>
        <v>#DIV/0!</v>
      </c>
    </row>
    <row r="339" spans="1:13" ht="15.75" hidden="1">
      <c r="A339" s="31" t="s">
        <v>622</v>
      </c>
      <c r="B339" s="42" t="s">
        <v>287</v>
      </c>
      <c r="C339" s="42" t="s">
        <v>266</v>
      </c>
      <c r="D339" s="42" t="s">
        <v>592</v>
      </c>
      <c r="E339" s="42" t="s">
        <v>191</v>
      </c>
      <c r="F339" s="7">
        <f>'Прил.№4 ведомств.'!G958</f>
        <v>31.6</v>
      </c>
      <c r="G339" s="7">
        <f>'Прил.№4 ведомств.'!I958</f>
        <v>31.6</v>
      </c>
      <c r="H339" s="7">
        <f>'Прил.№4 ведомств.'!J958</f>
        <v>0</v>
      </c>
      <c r="I339" s="7">
        <f>'Прил.№4 ведомств.'!K958</f>
        <v>0</v>
      </c>
      <c r="J339" s="7">
        <f>'Прил.№4 ведомств.'!L958</f>
        <v>0</v>
      </c>
      <c r="K339" s="7">
        <f>'Прил.№4 ведомств.'!M958</f>
        <v>0</v>
      </c>
      <c r="L339" s="7">
        <f>'Прил.№4 ведомств.'!N958</f>
        <v>0</v>
      </c>
      <c r="M339" s="7" t="e">
        <f t="shared" si="206"/>
        <v>#DIV/0!</v>
      </c>
    </row>
    <row r="340" spans="1:13" ht="15.75">
      <c r="A340" s="31" t="s">
        <v>593</v>
      </c>
      <c r="B340" s="42" t="s">
        <v>287</v>
      </c>
      <c r="C340" s="42" t="s">
        <v>266</v>
      </c>
      <c r="D340" s="42" t="s">
        <v>594</v>
      </c>
      <c r="E340" s="42"/>
      <c r="F340" s="7">
        <f>F341</f>
        <v>2678.3</v>
      </c>
      <c r="G340" s="7">
        <f t="shared" ref="G340:L341" si="212">G341</f>
        <v>10318.6</v>
      </c>
      <c r="H340" s="7">
        <f t="shared" si="212"/>
        <v>11416.3</v>
      </c>
      <c r="I340" s="7">
        <f t="shared" si="212"/>
        <v>11416.3</v>
      </c>
      <c r="J340" s="7">
        <f t="shared" si="212"/>
        <v>11416.3</v>
      </c>
      <c r="K340" s="7">
        <f t="shared" si="212"/>
        <v>8283.2999999999993</v>
      </c>
      <c r="L340" s="7">
        <f t="shared" si="212"/>
        <v>0</v>
      </c>
      <c r="M340" s="7">
        <f t="shared" si="206"/>
        <v>0</v>
      </c>
    </row>
    <row r="341" spans="1:13" ht="15.75">
      <c r="A341" s="31" t="s">
        <v>188</v>
      </c>
      <c r="B341" s="42" t="s">
        <v>287</v>
      </c>
      <c r="C341" s="42" t="s">
        <v>266</v>
      </c>
      <c r="D341" s="42" t="s">
        <v>594</v>
      </c>
      <c r="E341" s="42" t="s">
        <v>198</v>
      </c>
      <c r="F341" s="7">
        <f>F342</f>
        <v>2678.3</v>
      </c>
      <c r="G341" s="7">
        <f t="shared" si="212"/>
        <v>10318.6</v>
      </c>
      <c r="H341" s="7">
        <f t="shared" si="212"/>
        <v>11416.3</v>
      </c>
      <c r="I341" s="7">
        <f t="shared" si="212"/>
        <v>11416.3</v>
      </c>
      <c r="J341" s="7">
        <f t="shared" si="212"/>
        <v>11416.3</v>
      </c>
      <c r="K341" s="7">
        <f t="shared" si="212"/>
        <v>8283.2999999999993</v>
      </c>
      <c r="L341" s="7">
        <f t="shared" si="212"/>
        <v>0</v>
      </c>
      <c r="M341" s="7">
        <f t="shared" si="206"/>
        <v>0</v>
      </c>
    </row>
    <row r="342" spans="1:13" ht="15.75">
      <c r="A342" s="31" t="s">
        <v>199</v>
      </c>
      <c r="B342" s="42" t="s">
        <v>287</v>
      </c>
      <c r="C342" s="42" t="s">
        <v>266</v>
      </c>
      <c r="D342" s="42" t="s">
        <v>594</v>
      </c>
      <c r="E342" s="42" t="s">
        <v>200</v>
      </c>
      <c r="F342" s="7">
        <f>'Прил.№4 ведомств.'!G961</f>
        <v>2678.3</v>
      </c>
      <c r="G342" s="7">
        <f>'Прил.№4 ведомств.'!I961</f>
        <v>10318.6</v>
      </c>
      <c r="H342" s="7">
        <f>'Прил.№4 ведомств.'!J961</f>
        <v>11416.3</v>
      </c>
      <c r="I342" s="7">
        <f>'Прил.№4 ведомств.'!K961</f>
        <v>11416.3</v>
      </c>
      <c r="J342" s="7">
        <f>'Прил.№4 ведомств.'!L961</f>
        <v>11416.3</v>
      </c>
      <c r="K342" s="7">
        <f>'Прил.№4 ведомств.'!M961</f>
        <v>8283.2999999999993</v>
      </c>
      <c r="L342" s="7">
        <f>'Прил.№4 ведомств.'!N961</f>
        <v>0</v>
      </c>
      <c r="M342" s="7">
        <f t="shared" si="206"/>
        <v>0</v>
      </c>
    </row>
    <row r="343" spans="1:13" ht="77.25" customHeight="1">
      <c r="A343" s="26" t="s">
        <v>979</v>
      </c>
      <c r="B343" s="42" t="s">
        <v>287</v>
      </c>
      <c r="C343" s="42" t="s">
        <v>266</v>
      </c>
      <c r="D343" s="21" t="s">
        <v>981</v>
      </c>
      <c r="E343" s="42"/>
      <c r="F343" s="7">
        <f>F344</f>
        <v>0</v>
      </c>
      <c r="G343" s="7">
        <f t="shared" ref="G343:L344" si="213">G344</f>
        <v>0</v>
      </c>
      <c r="H343" s="7">
        <f t="shared" si="213"/>
        <v>0</v>
      </c>
      <c r="I343" s="7">
        <f t="shared" si="213"/>
        <v>0</v>
      </c>
      <c r="J343" s="7">
        <f t="shared" si="213"/>
        <v>0</v>
      </c>
      <c r="K343" s="7">
        <f t="shared" si="213"/>
        <v>20000</v>
      </c>
      <c r="L343" s="7">
        <f t="shared" si="213"/>
        <v>0</v>
      </c>
      <c r="M343" s="7">
        <f t="shared" si="206"/>
        <v>0</v>
      </c>
    </row>
    <row r="344" spans="1:13" ht="31.5" customHeight="1">
      <c r="A344" s="26" t="s">
        <v>184</v>
      </c>
      <c r="B344" s="42" t="s">
        <v>287</v>
      </c>
      <c r="C344" s="42" t="s">
        <v>266</v>
      </c>
      <c r="D344" s="21" t="s">
        <v>981</v>
      </c>
      <c r="E344" s="42" t="s">
        <v>185</v>
      </c>
      <c r="F344" s="7">
        <f>F345</f>
        <v>0</v>
      </c>
      <c r="G344" s="7">
        <f t="shared" si="213"/>
        <v>0</v>
      </c>
      <c r="H344" s="7">
        <f t="shared" si="213"/>
        <v>0</v>
      </c>
      <c r="I344" s="7">
        <f t="shared" si="213"/>
        <v>0</v>
      </c>
      <c r="J344" s="7">
        <f t="shared" si="213"/>
        <v>0</v>
      </c>
      <c r="K344" s="7">
        <f t="shared" si="213"/>
        <v>20000</v>
      </c>
      <c r="L344" s="7">
        <f t="shared" si="213"/>
        <v>0</v>
      </c>
      <c r="M344" s="7">
        <f t="shared" si="206"/>
        <v>0</v>
      </c>
    </row>
    <row r="345" spans="1:13" ht="47.25" customHeight="1">
      <c r="A345" s="26" t="s">
        <v>186</v>
      </c>
      <c r="B345" s="42" t="s">
        <v>287</v>
      </c>
      <c r="C345" s="42" t="s">
        <v>266</v>
      </c>
      <c r="D345" s="21" t="s">
        <v>981</v>
      </c>
      <c r="E345" s="42" t="s">
        <v>187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f>'Прил.№4 ведомств.'!M964</f>
        <v>20000</v>
      </c>
      <c r="L345" s="7">
        <f>'Прил.№4 ведомств.'!N964</f>
        <v>0</v>
      </c>
      <c r="M345" s="7">
        <f t="shared" si="206"/>
        <v>0</v>
      </c>
    </row>
    <row r="346" spans="1:13" ht="15.75">
      <c r="A346" s="43" t="s">
        <v>595</v>
      </c>
      <c r="B346" s="8" t="s">
        <v>287</v>
      </c>
      <c r="C346" s="8" t="s">
        <v>268</v>
      </c>
      <c r="D346" s="8"/>
      <c r="E346" s="8"/>
      <c r="F346" s="4">
        <f t="shared" ref="F346:K346" si="214">F347+F382+F378</f>
        <v>25464.6</v>
      </c>
      <c r="G346" s="4">
        <f t="shared" si="214"/>
        <v>16228</v>
      </c>
      <c r="H346" s="4">
        <f t="shared" si="214"/>
        <v>19935.400000000001</v>
      </c>
      <c r="I346" s="4">
        <f t="shared" si="214"/>
        <v>20104</v>
      </c>
      <c r="J346" s="4">
        <f t="shared" si="214"/>
        <v>22018.100000000002</v>
      </c>
      <c r="K346" s="4">
        <f t="shared" si="214"/>
        <v>21685.1</v>
      </c>
      <c r="L346" s="4">
        <f t="shared" ref="L346" si="215">L347+L382+L378</f>
        <v>1602.8</v>
      </c>
      <c r="M346" s="4">
        <f t="shared" si="206"/>
        <v>7.3912502132800872</v>
      </c>
    </row>
    <row r="347" spans="1:13" ht="48" customHeight="1">
      <c r="A347" s="26" t="s">
        <v>596</v>
      </c>
      <c r="B347" s="42" t="s">
        <v>287</v>
      </c>
      <c r="C347" s="42" t="s">
        <v>268</v>
      </c>
      <c r="D347" s="42" t="s">
        <v>597</v>
      </c>
      <c r="E347" s="42"/>
      <c r="F347" s="7">
        <f t="shared" ref="F347:K347" si="216">F348+F363</f>
        <v>12375.499999999998</v>
      </c>
      <c r="G347" s="7">
        <f t="shared" si="216"/>
        <v>3394.8</v>
      </c>
      <c r="H347" s="7">
        <f t="shared" si="216"/>
        <v>16123</v>
      </c>
      <c r="I347" s="7">
        <f t="shared" si="216"/>
        <v>16291.599999999999</v>
      </c>
      <c r="J347" s="7">
        <f t="shared" si="216"/>
        <v>18205.7</v>
      </c>
      <c r="K347" s="7">
        <f t="shared" si="216"/>
        <v>18293.899999999998</v>
      </c>
      <c r="L347" s="7">
        <f t="shared" ref="L347" si="217">L348+L363</f>
        <v>1602.8</v>
      </c>
      <c r="M347" s="7">
        <f t="shared" si="206"/>
        <v>8.7613904088248002</v>
      </c>
    </row>
    <row r="348" spans="1:13" ht="47.25">
      <c r="A348" s="26" t="s">
        <v>598</v>
      </c>
      <c r="B348" s="21" t="s">
        <v>287</v>
      </c>
      <c r="C348" s="21" t="s">
        <v>268</v>
      </c>
      <c r="D348" s="21" t="s">
        <v>599</v>
      </c>
      <c r="E348" s="21"/>
      <c r="F348" s="7">
        <f>F352+F349+F357</f>
        <v>8697.2999999999993</v>
      </c>
      <c r="G348" s="7">
        <f t="shared" ref="G348:J348" si="218">G352+G349+G357</f>
        <v>1853.4</v>
      </c>
      <c r="H348" s="7">
        <f t="shared" si="218"/>
        <v>11055.8</v>
      </c>
      <c r="I348" s="7">
        <f t="shared" si="218"/>
        <v>10998</v>
      </c>
      <c r="J348" s="7">
        <f t="shared" si="218"/>
        <v>12675.6</v>
      </c>
      <c r="K348" s="7">
        <f>K352+K349+K357+K360</f>
        <v>13226.699999999999</v>
      </c>
      <c r="L348" s="7">
        <f t="shared" ref="L348" si="219">L352+L349+L357+L360</f>
        <v>1587.7</v>
      </c>
      <c r="M348" s="7">
        <f t="shared" si="206"/>
        <v>12.003749990549419</v>
      </c>
    </row>
    <row r="349" spans="1:13" ht="24" customHeight="1">
      <c r="A349" s="26" t="s">
        <v>600</v>
      </c>
      <c r="B349" s="21" t="s">
        <v>287</v>
      </c>
      <c r="C349" s="21" t="s">
        <v>268</v>
      </c>
      <c r="D349" s="21" t="s">
        <v>601</v>
      </c>
      <c r="E349" s="21"/>
      <c r="F349" s="7">
        <f>F350</f>
        <v>253.4</v>
      </c>
      <c r="G349" s="7">
        <f t="shared" ref="G349:L350" si="220">G350</f>
        <v>253.4</v>
      </c>
      <c r="H349" s="7">
        <f t="shared" si="220"/>
        <v>356</v>
      </c>
      <c r="I349" s="7">
        <f t="shared" si="220"/>
        <v>371</v>
      </c>
      <c r="J349" s="7">
        <f t="shared" si="220"/>
        <v>378</v>
      </c>
      <c r="K349" s="7">
        <f t="shared" si="220"/>
        <v>356</v>
      </c>
      <c r="L349" s="7">
        <f t="shared" si="220"/>
        <v>0</v>
      </c>
      <c r="M349" s="7">
        <f t="shared" si="206"/>
        <v>0</v>
      </c>
    </row>
    <row r="350" spans="1:13" ht="31.5">
      <c r="A350" s="26" t="s">
        <v>184</v>
      </c>
      <c r="B350" s="21" t="s">
        <v>287</v>
      </c>
      <c r="C350" s="21" t="s">
        <v>268</v>
      </c>
      <c r="D350" s="21" t="s">
        <v>601</v>
      </c>
      <c r="E350" s="21" t="s">
        <v>185</v>
      </c>
      <c r="F350" s="7">
        <f>F351</f>
        <v>253.4</v>
      </c>
      <c r="G350" s="7">
        <f t="shared" si="220"/>
        <v>253.4</v>
      </c>
      <c r="H350" s="7">
        <f t="shared" si="220"/>
        <v>356</v>
      </c>
      <c r="I350" s="7">
        <f t="shared" si="220"/>
        <v>371</v>
      </c>
      <c r="J350" s="7">
        <f t="shared" si="220"/>
        <v>378</v>
      </c>
      <c r="K350" s="7">
        <f t="shared" si="220"/>
        <v>356</v>
      </c>
      <c r="L350" s="7">
        <f t="shared" si="220"/>
        <v>0</v>
      </c>
      <c r="M350" s="7">
        <f t="shared" si="206"/>
        <v>0</v>
      </c>
    </row>
    <row r="351" spans="1:13" ht="47.25">
      <c r="A351" s="26" t="s">
        <v>186</v>
      </c>
      <c r="B351" s="21" t="s">
        <v>287</v>
      </c>
      <c r="C351" s="21" t="s">
        <v>268</v>
      </c>
      <c r="D351" s="21" t="s">
        <v>601</v>
      </c>
      <c r="E351" s="21" t="s">
        <v>187</v>
      </c>
      <c r="F351" s="7">
        <f>'Прил.№4 ведомств.'!G970</f>
        <v>253.4</v>
      </c>
      <c r="G351" s="7">
        <f>'Прил.№4 ведомств.'!I970</f>
        <v>253.4</v>
      </c>
      <c r="H351" s="7">
        <f>'Прил.№4 ведомств.'!J970</f>
        <v>356</v>
      </c>
      <c r="I351" s="7">
        <f>'Прил.№4 ведомств.'!K970</f>
        <v>371</v>
      </c>
      <c r="J351" s="7">
        <f>'Прил.№4 ведомств.'!L970</f>
        <v>378</v>
      </c>
      <c r="K351" s="7">
        <f>'Прил.№4 ведомств.'!M970</f>
        <v>356</v>
      </c>
      <c r="L351" s="7">
        <f>'Прил.№4 ведомств.'!N970</f>
        <v>0</v>
      </c>
      <c r="M351" s="7">
        <f t="shared" si="206"/>
        <v>0</v>
      </c>
    </row>
    <row r="352" spans="1:13" ht="15.75">
      <c r="A352" s="26" t="s">
        <v>602</v>
      </c>
      <c r="B352" s="21" t="s">
        <v>287</v>
      </c>
      <c r="C352" s="21" t="s">
        <v>268</v>
      </c>
      <c r="D352" s="21" t="s">
        <v>603</v>
      </c>
      <c r="E352" s="21"/>
      <c r="F352" s="7">
        <f>F353</f>
        <v>5258.6</v>
      </c>
      <c r="G352" s="7">
        <f t="shared" ref="G352:L353" si="221">G353</f>
        <v>1500</v>
      </c>
      <c r="H352" s="7">
        <f t="shared" si="221"/>
        <v>6383</v>
      </c>
      <c r="I352" s="7">
        <f t="shared" si="221"/>
        <v>6266.6</v>
      </c>
      <c r="J352" s="7">
        <f t="shared" si="221"/>
        <v>6060</v>
      </c>
      <c r="K352" s="7">
        <f>K353+K355</f>
        <v>6383</v>
      </c>
      <c r="L352" s="7">
        <f t="shared" ref="L352" si="222">L353+L355</f>
        <v>4.7</v>
      </c>
      <c r="M352" s="7">
        <f t="shared" si="206"/>
        <v>7.363308788970703E-2</v>
      </c>
    </row>
    <row r="353" spans="1:13" ht="31.5">
      <c r="A353" s="26" t="s">
        <v>184</v>
      </c>
      <c r="B353" s="21" t="s">
        <v>287</v>
      </c>
      <c r="C353" s="21" t="s">
        <v>268</v>
      </c>
      <c r="D353" s="21" t="s">
        <v>603</v>
      </c>
      <c r="E353" s="21" t="s">
        <v>185</v>
      </c>
      <c r="F353" s="7">
        <f>F354</f>
        <v>5258.6</v>
      </c>
      <c r="G353" s="7">
        <f t="shared" si="221"/>
        <v>1500</v>
      </c>
      <c r="H353" s="7">
        <f t="shared" si="221"/>
        <v>6383</v>
      </c>
      <c r="I353" s="7">
        <f t="shared" si="221"/>
        <v>6266.6</v>
      </c>
      <c r="J353" s="7">
        <f t="shared" si="221"/>
        <v>6060</v>
      </c>
      <c r="K353" s="7">
        <f t="shared" si="221"/>
        <v>6379.6</v>
      </c>
      <c r="L353" s="7">
        <f t="shared" si="221"/>
        <v>4.7</v>
      </c>
      <c r="M353" s="7">
        <f t="shared" si="206"/>
        <v>7.3672330553639725E-2</v>
      </c>
    </row>
    <row r="354" spans="1:13" ht="47.25">
      <c r="A354" s="26" t="s">
        <v>186</v>
      </c>
      <c r="B354" s="21" t="s">
        <v>287</v>
      </c>
      <c r="C354" s="21" t="s">
        <v>268</v>
      </c>
      <c r="D354" s="21" t="s">
        <v>603</v>
      </c>
      <c r="E354" s="21" t="s">
        <v>187</v>
      </c>
      <c r="F354" s="7">
        <f>'Прил.№4 ведомств.'!G973</f>
        <v>5258.6</v>
      </c>
      <c r="G354" s="7">
        <f>'Прил.№4 ведомств.'!I973</f>
        <v>1500</v>
      </c>
      <c r="H354" s="7">
        <f>'Прил.№4 ведомств.'!J973</f>
        <v>6383</v>
      </c>
      <c r="I354" s="7">
        <f>'Прил.№4 ведомств.'!K973</f>
        <v>6266.6</v>
      </c>
      <c r="J354" s="7">
        <f>'Прил.№4 ведомств.'!L973</f>
        <v>6060</v>
      </c>
      <c r="K354" s="7">
        <f>'Прил.№4 ведомств.'!M973</f>
        <v>6379.6</v>
      </c>
      <c r="L354" s="7">
        <f>'Прил.№4 ведомств.'!N973</f>
        <v>4.7</v>
      </c>
      <c r="M354" s="7">
        <f t="shared" si="206"/>
        <v>7.3672330553639725E-2</v>
      </c>
    </row>
    <row r="355" spans="1:13" ht="15.75">
      <c r="A355" s="31" t="s">
        <v>188</v>
      </c>
      <c r="B355" s="21" t="s">
        <v>287</v>
      </c>
      <c r="C355" s="21" t="s">
        <v>268</v>
      </c>
      <c r="D355" s="21" t="s">
        <v>603</v>
      </c>
      <c r="E355" s="21" t="s">
        <v>198</v>
      </c>
      <c r="F355" s="7"/>
      <c r="G355" s="7"/>
      <c r="H355" s="7"/>
      <c r="I355" s="7"/>
      <c r="J355" s="7"/>
      <c r="K355" s="7">
        <f>K356</f>
        <v>3.4</v>
      </c>
      <c r="L355" s="7">
        <f t="shared" ref="L355" si="223">L356</f>
        <v>0</v>
      </c>
      <c r="M355" s="7">
        <f t="shared" si="206"/>
        <v>0</v>
      </c>
    </row>
    <row r="356" spans="1:13" ht="15.75">
      <c r="A356" s="31" t="s">
        <v>622</v>
      </c>
      <c r="B356" s="21" t="s">
        <v>287</v>
      </c>
      <c r="C356" s="21" t="s">
        <v>268</v>
      </c>
      <c r="D356" s="21" t="s">
        <v>603</v>
      </c>
      <c r="E356" s="21" t="s">
        <v>191</v>
      </c>
      <c r="F356" s="7"/>
      <c r="G356" s="7"/>
      <c r="H356" s="7"/>
      <c r="I356" s="7"/>
      <c r="J356" s="7"/>
      <c r="K356" s="7">
        <f>'Прил.№4 ведомств.'!M975</f>
        <v>3.4</v>
      </c>
      <c r="L356" s="7">
        <f>'Прил.№4 ведомств.'!N975</f>
        <v>0</v>
      </c>
      <c r="M356" s="7">
        <f t="shared" si="206"/>
        <v>0</v>
      </c>
    </row>
    <row r="357" spans="1:13" ht="15.75">
      <c r="A357" s="26" t="s">
        <v>604</v>
      </c>
      <c r="B357" s="21" t="s">
        <v>287</v>
      </c>
      <c r="C357" s="21" t="s">
        <v>268</v>
      </c>
      <c r="D357" s="21" t="s">
        <v>605</v>
      </c>
      <c r="E357" s="21"/>
      <c r="F357" s="7">
        <f>F358</f>
        <v>3185.3</v>
      </c>
      <c r="G357" s="7">
        <f t="shared" ref="G357:L358" si="224">G358</f>
        <v>100</v>
      </c>
      <c r="H357" s="7">
        <f t="shared" si="224"/>
        <v>4316.8</v>
      </c>
      <c r="I357" s="7">
        <f t="shared" si="224"/>
        <v>4360.3999999999996</v>
      </c>
      <c r="J357" s="7">
        <f t="shared" si="224"/>
        <v>6237.6</v>
      </c>
      <c r="K357" s="7">
        <f t="shared" si="224"/>
        <v>4316.8</v>
      </c>
      <c r="L357" s="7">
        <f t="shared" si="224"/>
        <v>0</v>
      </c>
      <c r="M357" s="7">
        <f t="shared" si="206"/>
        <v>0</v>
      </c>
    </row>
    <row r="358" spans="1:13" ht="31.5">
      <c r="A358" s="26" t="s">
        <v>184</v>
      </c>
      <c r="B358" s="21" t="s">
        <v>287</v>
      </c>
      <c r="C358" s="21" t="s">
        <v>268</v>
      </c>
      <c r="D358" s="21" t="s">
        <v>605</v>
      </c>
      <c r="E358" s="21" t="s">
        <v>185</v>
      </c>
      <c r="F358" s="7">
        <f>F359</f>
        <v>3185.3</v>
      </c>
      <c r="G358" s="7">
        <f t="shared" si="224"/>
        <v>100</v>
      </c>
      <c r="H358" s="7">
        <f t="shared" si="224"/>
        <v>4316.8</v>
      </c>
      <c r="I358" s="7">
        <f t="shared" si="224"/>
        <v>4360.3999999999996</v>
      </c>
      <c r="J358" s="7">
        <f t="shared" si="224"/>
        <v>6237.6</v>
      </c>
      <c r="K358" s="7">
        <f t="shared" si="224"/>
        <v>4316.8</v>
      </c>
      <c r="L358" s="7">
        <f t="shared" si="224"/>
        <v>0</v>
      </c>
      <c r="M358" s="7">
        <f t="shared" si="206"/>
        <v>0</v>
      </c>
    </row>
    <row r="359" spans="1:13" ht="47.25">
      <c r="A359" s="26" t="s">
        <v>186</v>
      </c>
      <c r="B359" s="21" t="s">
        <v>287</v>
      </c>
      <c r="C359" s="21" t="s">
        <v>268</v>
      </c>
      <c r="D359" s="21" t="s">
        <v>605</v>
      </c>
      <c r="E359" s="21" t="s">
        <v>187</v>
      </c>
      <c r="F359" s="7">
        <f>'Прил.№4 ведомств.'!G978</f>
        <v>3185.3</v>
      </c>
      <c r="G359" s="7">
        <f>'Прил.№4 ведомств.'!I978</f>
        <v>100</v>
      </c>
      <c r="H359" s="7">
        <f>'Прил.№4 ведомств.'!J978</f>
        <v>4316.8</v>
      </c>
      <c r="I359" s="7">
        <f>'Прил.№4 ведомств.'!K978</f>
        <v>4360.3999999999996</v>
      </c>
      <c r="J359" s="7">
        <f>'Прил.№4 ведомств.'!L978</f>
        <v>6237.6</v>
      </c>
      <c r="K359" s="7">
        <f>'Прил.№4 ведомств.'!M978</f>
        <v>4316.8</v>
      </c>
      <c r="L359" s="7">
        <f>'Прил.№4 ведомств.'!N978</f>
        <v>0</v>
      </c>
      <c r="M359" s="7">
        <f t="shared" si="206"/>
        <v>0</v>
      </c>
    </row>
    <row r="360" spans="1:13" ht="31.5">
      <c r="A360" s="26" t="s">
        <v>615</v>
      </c>
      <c r="B360" s="21" t="s">
        <v>287</v>
      </c>
      <c r="C360" s="21" t="s">
        <v>268</v>
      </c>
      <c r="D360" s="21" t="s">
        <v>991</v>
      </c>
      <c r="E360" s="21"/>
      <c r="F360" s="7"/>
      <c r="G360" s="7"/>
      <c r="H360" s="7"/>
      <c r="I360" s="7"/>
      <c r="J360" s="7"/>
      <c r="K360" s="7">
        <f>K361</f>
        <v>2170.9</v>
      </c>
      <c r="L360" s="7">
        <f t="shared" ref="L360:L361" si="225">L361</f>
        <v>1583</v>
      </c>
      <c r="M360" s="7">
        <f t="shared" si="206"/>
        <v>72.919065825233773</v>
      </c>
    </row>
    <row r="361" spans="1:13" ht="31.5">
      <c r="A361" s="26" t="s">
        <v>184</v>
      </c>
      <c r="B361" s="21" t="s">
        <v>287</v>
      </c>
      <c r="C361" s="21" t="s">
        <v>268</v>
      </c>
      <c r="D361" s="21" t="s">
        <v>991</v>
      </c>
      <c r="E361" s="21" t="s">
        <v>185</v>
      </c>
      <c r="F361" s="7"/>
      <c r="G361" s="7"/>
      <c r="H361" s="7"/>
      <c r="I361" s="7"/>
      <c r="J361" s="7"/>
      <c r="K361" s="7">
        <f>K362</f>
        <v>2170.9</v>
      </c>
      <c r="L361" s="7">
        <f t="shared" si="225"/>
        <v>1583</v>
      </c>
      <c r="M361" s="7">
        <f t="shared" si="206"/>
        <v>72.919065825233773</v>
      </c>
    </row>
    <row r="362" spans="1:13" ht="47.25">
      <c r="A362" s="26" t="s">
        <v>186</v>
      </c>
      <c r="B362" s="21" t="s">
        <v>287</v>
      </c>
      <c r="C362" s="21" t="s">
        <v>268</v>
      </c>
      <c r="D362" s="21" t="s">
        <v>991</v>
      </c>
      <c r="E362" s="21" t="s">
        <v>187</v>
      </c>
      <c r="F362" s="7"/>
      <c r="G362" s="7"/>
      <c r="H362" s="7"/>
      <c r="I362" s="7"/>
      <c r="J362" s="7"/>
      <c r="K362" s="7">
        <f>'Прил.№4 ведомств.'!M981</f>
        <v>2170.9</v>
      </c>
      <c r="L362" s="7">
        <f>'Прил.№4 ведомств.'!N981</f>
        <v>1583</v>
      </c>
      <c r="M362" s="7">
        <f t="shared" si="206"/>
        <v>72.919065825233773</v>
      </c>
    </row>
    <row r="363" spans="1:13" ht="47.25">
      <c r="A363" s="26" t="s">
        <v>606</v>
      </c>
      <c r="B363" s="21" t="s">
        <v>287</v>
      </c>
      <c r="C363" s="21" t="s">
        <v>268</v>
      </c>
      <c r="D363" s="21" t="s">
        <v>607</v>
      </c>
      <c r="E363" s="21"/>
      <c r="F363" s="7">
        <f>F364+F369+F372+F375</f>
        <v>3678.1999999999994</v>
      </c>
      <c r="G363" s="7">
        <f t="shared" ref="G363:K363" si="226">G364+G369+G372+G375</f>
        <v>1541.4</v>
      </c>
      <c r="H363" s="7">
        <f>H364+H369+H372+H375</f>
        <v>5067.2</v>
      </c>
      <c r="I363" s="7">
        <f t="shared" si="226"/>
        <v>5293.5999999999995</v>
      </c>
      <c r="J363" s="7">
        <f t="shared" si="226"/>
        <v>5530.0999999999995</v>
      </c>
      <c r="K363" s="7">
        <f t="shared" si="226"/>
        <v>5067.2</v>
      </c>
      <c r="L363" s="7">
        <f t="shared" ref="L363" si="227">L364+L369+L372+L375</f>
        <v>15.1</v>
      </c>
      <c r="M363" s="7">
        <f t="shared" si="206"/>
        <v>0.29799494790022102</v>
      </c>
    </row>
    <row r="364" spans="1:13" ht="15.75">
      <c r="A364" s="26" t="s">
        <v>604</v>
      </c>
      <c r="B364" s="21" t="s">
        <v>287</v>
      </c>
      <c r="C364" s="21" t="s">
        <v>268</v>
      </c>
      <c r="D364" s="21" t="s">
        <v>608</v>
      </c>
      <c r="E364" s="21"/>
      <c r="F364" s="7">
        <f>F365+F367</f>
        <v>1112.3999999999999</v>
      </c>
      <c r="G364" s="7">
        <f t="shared" ref="G364:K364" si="228">G365+G367</f>
        <v>992.8</v>
      </c>
      <c r="H364" s="7">
        <f t="shared" si="228"/>
        <v>1364</v>
      </c>
      <c r="I364" s="7">
        <f t="shared" si="228"/>
        <v>1430.3</v>
      </c>
      <c r="J364" s="7">
        <f t="shared" si="228"/>
        <v>1500</v>
      </c>
      <c r="K364" s="7">
        <f t="shared" si="228"/>
        <v>1364</v>
      </c>
      <c r="L364" s="7">
        <f t="shared" ref="L364" si="229">L365+L367</f>
        <v>0</v>
      </c>
      <c r="M364" s="7">
        <f t="shared" si="206"/>
        <v>0</v>
      </c>
    </row>
    <row r="365" spans="1:13" ht="78.75" hidden="1">
      <c r="A365" s="26" t="s">
        <v>180</v>
      </c>
      <c r="B365" s="21" t="s">
        <v>287</v>
      </c>
      <c r="C365" s="21" t="s">
        <v>268</v>
      </c>
      <c r="D365" s="21" t="s">
        <v>608</v>
      </c>
      <c r="E365" s="21" t="s">
        <v>181</v>
      </c>
      <c r="F365" s="7">
        <f>F366</f>
        <v>892.8</v>
      </c>
      <c r="G365" s="7">
        <f t="shared" ref="G365:L365" si="230">G366</f>
        <v>892.8</v>
      </c>
      <c r="H365" s="7">
        <f t="shared" si="230"/>
        <v>0</v>
      </c>
      <c r="I365" s="7">
        <f t="shared" si="230"/>
        <v>0</v>
      </c>
      <c r="J365" s="7">
        <f t="shared" si="230"/>
        <v>0</v>
      </c>
      <c r="K365" s="7">
        <f t="shared" si="230"/>
        <v>0</v>
      </c>
      <c r="L365" s="7">
        <f t="shared" si="230"/>
        <v>0</v>
      </c>
      <c r="M365" s="7" t="e">
        <f t="shared" si="206"/>
        <v>#DIV/0!</v>
      </c>
    </row>
    <row r="366" spans="1:13" ht="31.5" hidden="1">
      <c r="A366" s="48" t="s">
        <v>395</v>
      </c>
      <c r="B366" s="21" t="s">
        <v>287</v>
      </c>
      <c r="C366" s="21" t="s">
        <v>268</v>
      </c>
      <c r="D366" s="21" t="s">
        <v>608</v>
      </c>
      <c r="E366" s="21" t="s">
        <v>262</v>
      </c>
      <c r="F366" s="7">
        <f>'Прил.№4 ведомств.'!G985</f>
        <v>892.8</v>
      </c>
      <c r="G366" s="7">
        <f>'Прил.№4 ведомств.'!I985</f>
        <v>892.8</v>
      </c>
      <c r="H366" s="7">
        <f>'Прил.№4 ведомств.'!J985</f>
        <v>0</v>
      </c>
      <c r="I366" s="7">
        <f>'Прил.№4 ведомств.'!K985</f>
        <v>0</v>
      </c>
      <c r="J366" s="7">
        <f>'Прил.№4 ведомств.'!L985</f>
        <v>0</v>
      </c>
      <c r="K366" s="7">
        <f>'Прил.№4 ведомств.'!M985</f>
        <v>0</v>
      </c>
      <c r="L366" s="7">
        <f>'Прил.№4 ведомств.'!N985</f>
        <v>0</v>
      </c>
      <c r="M366" s="7" t="e">
        <f t="shared" si="206"/>
        <v>#DIV/0!</v>
      </c>
    </row>
    <row r="367" spans="1:13" ht="31.5">
      <c r="A367" s="26" t="s">
        <v>184</v>
      </c>
      <c r="B367" s="21" t="s">
        <v>287</v>
      </c>
      <c r="C367" s="21" t="s">
        <v>268</v>
      </c>
      <c r="D367" s="21" t="s">
        <v>608</v>
      </c>
      <c r="E367" s="21" t="s">
        <v>185</v>
      </c>
      <c r="F367" s="7">
        <f>F368</f>
        <v>219.6</v>
      </c>
      <c r="G367" s="7">
        <f t="shared" ref="G367:L367" si="231">G368</f>
        <v>100</v>
      </c>
      <c r="H367" s="7">
        <f t="shared" si="231"/>
        <v>1364</v>
      </c>
      <c r="I367" s="7">
        <f t="shared" si="231"/>
        <v>1430.3</v>
      </c>
      <c r="J367" s="7">
        <f t="shared" si="231"/>
        <v>1500</v>
      </c>
      <c r="K367" s="7">
        <f t="shared" si="231"/>
        <v>1364</v>
      </c>
      <c r="L367" s="7">
        <f t="shared" si="231"/>
        <v>0</v>
      </c>
      <c r="M367" s="7">
        <f t="shared" si="206"/>
        <v>0</v>
      </c>
    </row>
    <row r="368" spans="1:13" ht="47.25">
      <c r="A368" s="26" t="s">
        <v>186</v>
      </c>
      <c r="B368" s="21" t="s">
        <v>287</v>
      </c>
      <c r="C368" s="21" t="s">
        <v>268</v>
      </c>
      <c r="D368" s="21" t="s">
        <v>608</v>
      </c>
      <c r="E368" s="21" t="s">
        <v>187</v>
      </c>
      <c r="F368" s="7">
        <f>'Прил.№4 ведомств.'!G987</f>
        <v>219.6</v>
      </c>
      <c r="G368" s="7">
        <f>'Прил.№4 ведомств.'!I987</f>
        <v>100</v>
      </c>
      <c r="H368" s="7">
        <f>'Прил.№4 ведомств.'!J987</f>
        <v>1364</v>
      </c>
      <c r="I368" s="7">
        <f>'Прил.№4 ведомств.'!K987</f>
        <v>1430.3</v>
      </c>
      <c r="J368" s="7">
        <f>'Прил.№4 ведомств.'!L987</f>
        <v>1500</v>
      </c>
      <c r="K368" s="7">
        <f>'Прил.№4 ведомств.'!M987</f>
        <v>1364</v>
      </c>
      <c r="L368" s="7">
        <f>'Прил.№4 ведомств.'!N987</f>
        <v>0</v>
      </c>
      <c r="M368" s="7">
        <f t="shared" si="206"/>
        <v>0</v>
      </c>
    </row>
    <row r="369" spans="1:13" ht="15.75">
      <c r="A369" s="26" t="s">
        <v>609</v>
      </c>
      <c r="B369" s="21" t="s">
        <v>287</v>
      </c>
      <c r="C369" s="21" t="s">
        <v>268</v>
      </c>
      <c r="D369" s="21" t="s">
        <v>610</v>
      </c>
      <c r="E369" s="21"/>
      <c r="F369" s="7">
        <f>F370</f>
        <v>86.6</v>
      </c>
      <c r="G369" s="7">
        <f t="shared" ref="G369:L370" si="232">G370</f>
        <v>0</v>
      </c>
      <c r="H369" s="7">
        <f t="shared" si="232"/>
        <v>115.8</v>
      </c>
      <c r="I369" s="7">
        <f t="shared" si="232"/>
        <v>121.6</v>
      </c>
      <c r="J369" s="7">
        <f t="shared" si="232"/>
        <v>127.6</v>
      </c>
      <c r="K369" s="7">
        <f t="shared" si="232"/>
        <v>115.8</v>
      </c>
      <c r="L369" s="7">
        <f t="shared" si="232"/>
        <v>0</v>
      </c>
      <c r="M369" s="7">
        <f t="shared" si="206"/>
        <v>0</v>
      </c>
    </row>
    <row r="370" spans="1:13" ht="31.5">
      <c r="A370" s="26" t="s">
        <v>184</v>
      </c>
      <c r="B370" s="21" t="s">
        <v>287</v>
      </c>
      <c r="C370" s="21" t="s">
        <v>268</v>
      </c>
      <c r="D370" s="21" t="s">
        <v>610</v>
      </c>
      <c r="E370" s="21" t="s">
        <v>185</v>
      </c>
      <c r="F370" s="7">
        <f>F371</f>
        <v>86.6</v>
      </c>
      <c r="G370" s="7">
        <f t="shared" si="232"/>
        <v>0</v>
      </c>
      <c r="H370" s="7">
        <f t="shared" si="232"/>
        <v>115.8</v>
      </c>
      <c r="I370" s="7">
        <f t="shared" si="232"/>
        <v>121.6</v>
      </c>
      <c r="J370" s="7">
        <f t="shared" si="232"/>
        <v>127.6</v>
      </c>
      <c r="K370" s="7">
        <f t="shared" si="232"/>
        <v>115.8</v>
      </c>
      <c r="L370" s="7">
        <f t="shared" si="232"/>
        <v>0</v>
      </c>
      <c r="M370" s="7">
        <f t="shared" si="206"/>
        <v>0</v>
      </c>
    </row>
    <row r="371" spans="1:13" ht="47.25">
      <c r="A371" s="26" t="s">
        <v>186</v>
      </c>
      <c r="B371" s="21" t="s">
        <v>287</v>
      </c>
      <c r="C371" s="21" t="s">
        <v>268</v>
      </c>
      <c r="D371" s="21" t="s">
        <v>610</v>
      </c>
      <c r="E371" s="21" t="s">
        <v>187</v>
      </c>
      <c r="F371" s="7">
        <f>'Прил.№4 ведомств.'!G990</f>
        <v>86.6</v>
      </c>
      <c r="G371" s="7">
        <f>'Прил.№4 ведомств.'!I990</f>
        <v>0</v>
      </c>
      <c r="H371" s="7">
        <f>'Прил.№4 ведомств.'!J990</f>
        <v>115.8</v>
      </c>
      <c r="I371" s="7">
        <f>'Прил.№4 ведомств.'!K990</f>
        <v>121.6</v>
      </c>
      <c r="J371" s="7">
        <f>'Прил.№4 ведомств.'!L990</f>
        <v>127.6</v>
      </c>
      <c r="K371" s="7">
        <f>'Прил.№4 ведомств.'!M990</f>
        <v>115.8</v>
      </c>
      <c r="L371" s="7">
        <f>'Прил.№4 ведомств.'!N990</f>
        <v>0</v>
      </c>
      <c r="M371" s="7">
        <f t="shared" si="206"/>
        <v>0</v>
      </c>
    </row>
    <row r="372" spans="1:13" ht="47.25">
      <c r="A372" s="123" t="s">
        <v>611</v>
      </c>
      <c r="B372" s="21" t="s">
        <v>287</v>
      </c>
      <c r="C372" s="21" t="s">
        <v>268</v>
      </c>
      <c r="D372" s="21" t="s">
        <v>612</v>
      </c>
      <c r="E372" s="21"/>
      <c r="F372" s="7">
        <f>F373</f>
        <v>2130.6</v>
      </c>
      <c r="G372" s="7">
        <f t="shared" ref="G372:L373" si="233">G373</f>
        <v>200</v>
      </c>
      <c r="H372" s="7">
        <f t="shared" si="233"/>
        <v>3124.2</v>
      </c>
      <c r="I372" s="7">
        <f t="shared" si="233"/>
        <v>3258.5</v>
      </c>
      <c r="J372" s="7">
        <f t="shared" si="233"/>
        <v>3398.6</v>
      </c>
      <c r="K372" s="7">
        <f t="shared" si="233"/>
        <v>3124.2</v>
      </c>
      <c r="L372" s="7">
        <f t="shared" si="233"/>
        <v>0</v>
      </c>
      <c r="M372" s="7">
        <f t="shared" si="206"/>
        <v>0</v>
      </c>
    </row>
    <row r="373" spans="1:13" ht="31.5">
      <c r="A373" s="26" t="s">
        <v>184</v>
      </c>
      <c r="B373" s="21" t="s">
        <v>287</v>
      </c>
      <c r="C373" s="21" t="s">
        <v>268</v>
      </c>
      <c r="D373" s="21" t="s">
        <v>612</v>
      </c>
      <c r="E373" s="21" t="s">
        <v>185</v>
      </c>
      <c r="F373" s="7">
        <f>F374</f>
        <v>2130.6</v>
      </c>
      <c r="G373" s="7">
        <f t="shared" si="233"/>
        <v>200</v>
      </c>
      <c r="H373" s="7">
        <f t="shared" si="233"/>
        <v>3124.2</v>
      </c>
      <c r="I373" s="7">
        <f t="shared" si="233"/>
        <v>3258.5</v>
      </c>
      <c r="J373" s="7">
        <f t="shared" si="233"/>
        <v>3398.6</v>
      </c>
      <c r="K373" s="7">
        <f t="shared" si="233"/>
        <v>3124.2</v>
      </c>
      <c r="L373" s="7">
        <f t="shared" si="233"/>
        <v>0</v>
      </c>
      <c r="M373" s="7">
        <f t="shared" si="206"/>
        <v>0</v>
      </c>
    </row>
    <row r="374" spans="1:13" ht="47.25">
      <c r="A374" s="26" t="s">
        <v>186</v>
      </c>
      <c r="B374" s="21" t="s">
        <v>287</v>
      </c>
      <c r="C374" s="21" t="s">
        <v>268</v>
      </c>
      <c r="D374" s="21" t="s">
        <v>612</v>
      </c>
      <c r="E374" s="21" t="s">
        <v>187</v>
      </c>
      <c r="F374" s="7">
        <f>'Прил.№4 ведомств.'!G993</f>
        <v>2130.6</v>
      </c>
      <c r="G374" s="7">
        <f>'Прил.№4 ведомств.'!I993</f>
        <v>200</v>
      </c>
      <c r="H374" s="7">
        <f>'Прил.№4 ведомств.'!J993</f>
        <v>3124.2</v>
      </c>
      <c r="I374" s="7">
        <f>'Прил.№4 ведомств.'!K993</f>
        <v>3258.5</v>
      </c>
      <c r="J374" s="7">
        <f>'Прил.№4 ведомств.'!L993</f>
        <v>3398.6</v>
      </c>
      <c r="K374" s="7">
        <f>'Прил.№4 ведомств.'!M993</f>
        <v>3124.2</v>
      </c>
      <c r="L374" s="7">
        <f>'Прил.№4 ведомств.'!N993</f>
        <v>0</v>
      </c>
      <c r="M374" s="7">
        <f t="shared" si="206"/>
        <v>0</v>
      </c>
    </row>
    <row r="375" spans="1:13" ht="15.75">
      <c r="A375" s="123" t="s">
        <v>613</v>
      </c>
      <c r="B375" s="21" t="s">
        <v>287</v>
      </c>
      <c r="C375" s="21" t="s">
        <v>268</v>
      </c>
      <c r="D375" s="21" t="s">
        <v>614</v>
      </c>
      <c r="E375" s="21"/>
      <c r="F375" s="7">
        <f>F376</f>
        <v>348.6</v>
      </c>
      <c r="G375" s="7">
        <f t="shared" ref="G375:L376" si="234">G376</f>
        <v>348.6</v>
      </c>
      <c r="H375" s="7">
        <f t="shared" si="234"/>
        <v>463.2</v>
      </c>
      <c r="I375" s="7">
        <f t="shared" si="234"/>
        <v>483.2</v>
      </c>
      <c r="J375" s="7">
        <f t="shared" si="234"/>
        <v>503.9</v>
      </c>
      <c r="K375" s="7">
        <f t="shared" si="234"/>
        <v>463.2</v>
      </c>
      <c r="L375" s="7">
        <f t="shared" si="234"/>
        <v>15.1</v>
      </c>
      <c r="M375" s="7">
        <f t="shared" si="206"/>
        <v>3.2599309153713301</v>
      </c>
    </row>
    <row r="376" spans="1:13" ht="31.5">
      <c r="A376" s="26" t="s">
        <v>184</v>
      </c>
      <c r="B376" s="21" t="s">
        <v>287</v>
      </c>
      <c r="C376" s="21" t="s">
        <v>268</v>
      </c>
      <c r="D376" s="21" t="s">
        <v>614</v>
      </c>
      <c r="E376" s="21" t="s">
        <v>185</v>
      </c>
      <c r="F376" s="7">
        <f>F377</f>
        <v>348.6</v>
      </c>
      <c r="G376" s="7">
        <f t="shared" si="234"/>
        <v>348.6</v>
      </c>
      <c r="H376" s="7">
        <f t="shared" si="234"/>
        <v>463.2</v>
      </c>
      <c r="I376" s="7">
        <f t="shared" si="234"/>
        <v>483.2</v>
      </c>
      <c r="J376" s="7">
        <f t="shared" si="234"/>
        <v>503.9</v>
      </c>
      <c r="K376" s="7">
        <f t="shared" si="234"/>
        <v>463.2</v>
      </c>
      <c r="L376" s="7">
        <f t="shared" si="234"/>
        <v>15.1</v>
      </c>
      <c r="M376" s="7">
        <f t="shared" si="206"/>
        <v>3.2599309153713301</v>
      </c>
    </row>
    <row r="377" spans="1:13" ht="47.25">
      <c r="A377" s="26" t="s">
        <v>186</v>
      </c>
      <c r="B377" s="21" t="s">
        <v>287</v>
      </c>
      <c r="C377" s="21" t="s">
        <v>268</v>
      </c>
      <c r="D377" s="21" t="s">
        <v>614</v>
      </c>
      <c r="E377" s="21" t="s">
        <v>187</v>
      </c>
      <c r="F377" s="7">
        <f>'Прил.№4 ведомств.'!G996</f>
        <v>348.6</v>
      </c>
      <c r="G377" s="7">
        <f>'Прил.№4 ведомств.'!I996</f>
        <v>348.6</v>
      </c>
      <c r="H377" s="7">
        <f>'Прил.№4 ведомств.'!J996</f>
        <v>463.2</v>
      </c>
      <c r="I377" s="7">
        <f>'Прил.№4 ведомств.'!K996</f>
        <v>483.2</v>
      </c>
      <c r="J377" s="7">
        <f>'Прил.№4 ведомств.'!L996</f>
        <v>503.9</v>
      </c>
      <c r="K377" s="7">
        <f>'Прил.№4 ведомств.'!M996</f>
        <v>463.2</v>
      </c>
      <c r="L377" s="7">
        <f>'Прил.№4 ведомств.'!N996</f>
        <v>15.1</v>
      </c>
      <c r="M377" s="7">
        <f t="shared" si="206"/>
        <v>3.2599309153713301</v>
      </c>
    </row>
    <row r="378" spans="1:13" ht="63">
      <c r="A378" s="26" t="s">
        <v>809</v>
      </c>
      <c r="B378" s="21" t="s">
        <v>287</v>
      </c>
      <c r="C378" s="21" t="s">
        <v>268</v>
      </c>
      <c r="D378" s="21" t="s">
        <v>811</v>
      </c>
      <c r="E378" s="21"/>
      <c r="F378" s="7">
        <f>F379</f>
        <v>600</v>
      </c>
      <c r="G378" s="7">
        <f t="shared" ref="G378:L380" si="235">G379</f>
        <v>600</v>
      </c>
      <c r="H378" s="7">
        <f t="shared" si="235"/>
        <v>0</v>
      </c>
      <c r="I378" s="7">
        <f t="shared" si="235"/>
        <v>0</v>
      </c>
      <c r="J378" s="7">
        <f t="shared" si="235"/>
        <v>0</v>
      </c>
      <c r="K378" s="7">
        <f t="shared" si="235"/>
        <v>500</v>
      </c>
      <c r="L378" s="7">
        <f t="shared" si="235"/>
        <v>0</v>
      </c>
      <c r="M378" s="7">
        <f t="shared" si="206"/>
        <v>0</v>
      </c>
    </row>
    <row r="379" spans="1:13" ht="31.5">
      <c r="A379" s="151" t="s">
        <v>810</v>
      </c>
      <c r="B379" s="21" t="s">
        <v>287</v>
      </c>
      <c r="C379" s="21" t="s">
        <v>268</v>
      </c>
      <c r="D379" s="21" t="s">
        <v>812</v>
      </c>
      <c r="E379" s="21"/>
      <c r="F379" s="7">
        <f>F380</f>
        <v>600</v>
      </c>
      <c r="G379" s="7">
        <f t="shared" si="235"/>
        <v>600</v>
      </c>
      <c r="H379" s="7">
        <f t="shared" si="235"/>
        <v>0</v>
      </c>
      <c r="I379" s="7">
        <f t="shared" si="235"/>
        <v>0</v>
      </c>
      <c r="J379" s="7">
        <f t="shared" si="235"/>
        <v>0</v>
      </c>
      <c r="K379" s="7">
        <f t="shared" si="235"/>
        <v>500</v>
      </c>
      <c r="L379" s="7">
        <f t="shared" si="235"/>
        <v>0</v>
      </c>
      <c r="M379" s="7">
        <f t="shared" si="206"/>
        <v>0</v>
      </c>
    </row>
    <row r="380" spans="1:13" ht="31.5">
      <c r="A380" s="26" t="s">
        <v>184</v>
      </c>
      <c r="B380" s="21" t="s">
        <v>287</v>
      </c>
      <c r="C380" s="21" t="s">
        <v>268</v>
      </c>
      <c r="D380" s="21" t="s">
        <v>812</v>
      </c>
      <c r="E380" s="21" t="s">
        <v>185</v>
      </c>
      <c r="F380" s="7">
        <f>F381</f>
        <v>600</v>
      </c>
      <c r="G380" s="7">
        <f t="shared" si="235"/>
        <v>600</v>
      </c>
      <c r="H380" s="7">
        <f t="shared" si="235"/>
        <v>0</v>
      </c>
      <c r="I380" s="7">
        <f t="shared" si="235"/>
        <v>0</v>
      </c>
      <c r="J380" s="7">
        <f t="shared" si="235"/>
        <v>0</v>
      </c>
      <c r="K380" s="7">
        <f t="shared" si="235"/>
        <v>500</v>
      </c>
      <c r="L380" s="7">
        <f t="shared" si="235"/>
        <v>0</v>
      </c>
      <c r="M380" s="7">
        <f t="shared" si="206"/>
        <v>0</v>
      </c>
    </row>
    <row r="381" spans="1:13" ht="47.25">
      <c r="A381" s="26" t="s">
        <v>186</v>
      </c>
      <c r="B381" s="21" t="s">
        <v>287</v>
      </c>
      <c r="C381" s="21" t="s">
        <v>268</v>
      </c>
      <c r="D381" s="21" t="s">
        <v>812</v>
      </c>
      <c r="E381" s="21" t="s">
        <v>187</v>
      </c>
      <c r="F381" s="7">
        <f>'Прил.№4 ведомств.'!G1000</f>
        <v>600</v>
      </c>
      <c r="G381" s="7">
        <f>'Прил.№4 ведомств.'!I1000</f>
        <v>600</v>
      </c>
      <c r="H381" s="7">
        <f>'Прил.№4 ведомств.'!J1000</f>
        <v>0</v>
      </c>
      <c r="I381" s="7">
        <f>'Прил.№4 ведомств.'!K1000</f>
        <v>0</v>
      </c>
      <c r="J381" s="7">
        <f>'Прил.№4 ведомств.'!L1000</f>
        <v>0</v>
      </c>
      <c r="K381" s="7">
        <f>'Прил.№4 ведомств.'!M1000</f>
        <v>500</v>
      </c>
      <c r="L381" s="7">
        <f>'Прил.№4 ведомств.'!N1000</f>
        <v>0</v>
      </c>
      <c r="M381" s="7">
        <f t="shared" si="206"/>
        <v>0</v>
      </c>
    </row>
    <row r="382" spans="1:13" ht="15.75">
      <c r="A382" s="31" t="s">
        <v>174</v>
      </c>
      <c r="B382" s="42" t="s">
        <v>287</v>
      </c>
      <c r="C382" s="42" t="s">
        <v>268</v>
      </c>
      <c r="D382" s="42" t="s">
        <v>175</v>
      </c>
      <c r="E382" s="8"/>
      <c r="F382" s="7">
        <f>F383+F396</f>
        <v>12489.099999999999</v>
      </c>
      <c r="G382" s="7">
        <f t="shared" ref="G382:K382" si="236">G383+G396</f>
        <v>12233.199999999999</v>
      </c>
      <c r="H382" s="7">
        <f t="shared" si="236"/>
        <v>3812.4</v>
      </c>
      <c r="I382" s="7">
        <f t="shared" si="236"/>
        <v>3812.4</v>
      </c>
      <c r="J382" s="7">
        <f t="shared" si="236"/>
        <v>3812.4</v>
      </c>
      <c r="K382" s="7">
        <f t="shared" si="236"/>
        <v>2891.2</v>
      </c>
      <c r="L382" s="7">
        <f t="shared" ref="L382" si="237">L383+L396</f>
        <v>0</v>
      </c>
      <c r="M382" s="7">
        <f t="shared" si="206"/>
        <v>0</v>
      </c>
    </row>
    <row r="383" spans="1:13" ht="31.5">
      <c r="A383" s="31" t="s">
        <v>238</v>
      </c>
      <c r="B383" s="42" t="s">
        <v>287</v>
      </c>
      <c r="C383" s="42" t="s">
        <v>268</v>
      </c>
      <c r="D383" s="42" t="s">
        <v>239</v>
      </c>
      <c r="E383" s="8"/>
      <c r="F383" s="7">
        <f>F384+F387+F390+F393</f>
        <v>12033.199999999999</v>
      </c>
      <c r="G383" s="7">
        <f t="shared" ref="G383:K383" si="238">G384+G387+G390+G393</f>
        <v>12033.199999999999</v>
      </c>
      <c r="H383" s="7">
        <f t="shared" si="238"/>
        <v>0</v>
      </c>
      <c r="I383" s="7">
        <f t="shared" si="238"/>
        <v>0</v>
      </c>
      <c r="J383" s="7">
        <f t="shared" si="238"/>
        <v>0</v>
      </c>
      <c r="K383" s="7">
        <f t="shared" si="238"/>
        <v>2501.1999999999998</v>
      </c>
      <c r="L383" s="7">
        <f t="shared" ref="L383" si="239">L384+L387+L390+L393</f>
        <v>0</v>
      </c>
      <c r="M383" s="7">
        <f t="shared" si="206"/>
        <v>0</v>
      </c>
    </row>
    <row r="384" spans="1:13" ht="35.25" hidden="1" customHeight="1">
      <c r="A384" s="48" t="s">
        <v>615</v>
      </c>
      <c r="B384" s="42" t="s">
        <v>287</v>
      </c>
      <c r="C384" s="42" t="s">
        <v>268</v>
      </c>
      <c r="D384" s="42" t="s">
        <v>616</v>
      </c>
      <c r="E384" s="8"/>
      <c r="F384" s="7">
        <f>F385</f>
        <v>6302.4</v>
      </c>
      <c r="G384" s="7">
        <f t="shared" ref="G384:L385" si="240">G385</f>
        <v>6302.4</v>
      </c>
      <c r="H384" s="7">
        <f t="shared" si="240"/>
        <v>0</v>
      </c>
      <c r="I384" s="7">
        <f t="shared" si="240"/>
        <v>0</v>
      </c>
      <c r="J384" s="7">
        <f t="shared" si="240"/>
        <v>0</v>
      </c>
      <c r="K384" s="7">
        <f t="shared" si="240"/>
        <v>0</v>
      </c>
      <c r="L384" s="7">
        <f t="shared" si="240"/>
        <v>0</v>
      </c>
      <c r="M384" s="7" t="e">
        <f t="shared" si="206"/>
        <v>#DIV/0!</v>
      </c>
    </row>
    <row r="385" spans="1:13" ht="31.5" hidden="1">
      <c r="A385" s="31" t="s">
        <v>184</v>
      </c>
      <c r="B385" s="42" t="s">
        <v>287</v>
      </c>
      <c r="C385" s="42" t="s">
        <v>268</v>
      </c>
      <c r="D385" s="42" t="s">
        <v>616</v>
      </c>
      <c r="E385" s="42" t="s">
        <v>185</v>
      </c>
      <c r="F385" s="7">
        <f>F386</f>
        <v>6302.4</v>
      </c>
      <c r="G385" s="7">
        <f t="shared" si="240"/>
        <v>6302.4</v>
      </c>
      <c r="H385" s="7">
        <f t="shared" si="240"/>
        <v>0</v>
      </c>
      <c r="I385" s="7">
        <f t="shared" si="240"/>
        <v>0</v>
      </c>
      <c r="J385" s="7">
        <f t="shared" si="240"/>
        <v>0</v>
      </c>
      <c r="K385" s="7">
        <f t="shared" si="240"/>
        <v>0</v>
      </c>
      <c r="L385" s="7">
        <f t="shared" si="240"/>
        <v>0</v>
      </c>
      <c r="M385" s="7" t="e">
        <f t="shared" si="206"/>
        <v>#DIV/0!</v>
      </c>
    </row>
    <row r="386" spans="1:13" ht="47.25" hidden="1">
      <c r="A386" s="31" t="s">
        <v>186</v>
      </c>
      <c r="B386" s="42" t="s">
        <v>287</v>
      </c>
      <c r="C386" s="42" t="s">
        <v>268</v>
      </c>
      <c r="D386" s="42" t="s">
        <v>616</v>
      </c>
      <c r="E386" s="42" t="s">
        <v>187</v>
      </c>
      <c r="F386" s="7">
        <f>'Прил.№4 ведомств.'!G1005</f>
        <v>6302.4</v>
      </c>
      <c r="G386" s="7">
        <f>'Прил.№4 ведомств.'!I1005</f>
        <v>6302.4</v>
      </c>
      <c r="H386" s="7">
        <f>'Прил.№4 ведомств.'!J1005</f>
        <v>0</v>
      </c>
      <c r="I386" s="7">
        <f>'Прил.№4 ведомств.'!K1005</f>
        <v>0</v>
      </c>
      <c r="J386" s="7">
        <f>'Прил.№4 ведомств.'!L1005</f>
        <v>0</v>
      </c>
      <c r="K386" s="7">
        <f>'Прил.№4 ведомств.'!M1005</f>
        <v>0</v>
      </c>
      <c r="L386" s="7">
        <f>'Прил.№4 ведомств.'!N1005</f>
        <v>0</v>
      </c>
      <c r="M386" s="7" t="e">
        <f t="shared" si="206"/>
        <v>#DIV/0!</v>
      </c>
    </row>
    <row r="387" spans="1:13" ht="31.5">
      <c r="A387" s="26" t="s">
        <v>774</v>
      </c>
      <c r="B387" s="42" t="s">
        <v>287</v>
      </c>
      <c r="C387" s="42" t="s">
        <v>268</v>
      </c>
      <c r="D387" s="21" t="s">
        <v>775</v>
      </c>
      <c r="E387" s="42"/>
      <c r="F387" s="7">
        <f>F388</f>
        <v>2132</v>
      </c>
      <c r="G387" s="7">
        <f t="shared" ref="G387:L388" si="241">G388</f>
        <v>2132</v>
      </c>
      <c r="H387" s="7">
        <f t="shared" si="241"/>
        <v>0</v>
      </c>
      <c r="I387" s="7">
        <f t="shared" si="241"/>
        <v>0</v>
      </c>
      <c r="J387" s="7">
        <f t="shared" si="241"/>
        <v>0</v>
      </c>
      <c r="K387" s="7">
        <f t="shared" si="241"/>
        <v>976</v>
      </c>
      <c r="L387" s="7">
        <f t="shared" si="241"/>
        <v>0</v>
      </c>
      <c r="M387" s="7">
        <f t="shared" si="206"/>
        <v>0</v>
      </c>
    </row>
    <row r="388" spans="1:13" ht="31.5">
      <c r="A388" s="26" t="s">
        <v>184</v>
      </c>
      <c r="B388" s="42" t="s">
        <v>287</v>
      </c>
      <c r="C388" s="42" t="s">
        <v>268</v>
      </c>
      <c r="D388" s="21" t="s">
        <v>775</v>
      </c>
      <c r="E388" s="42" t="s">
        <v>185</v>
      </c>
      <c r="F388" s="7">
        <f>F389</f>
        <v>2132</v>
      </c>
      <c r="G388" s="7">
        <f t="shared" si="241"/>
        <v>2132</v>
      </c>
      <c r="H388" s="7">
        <f t="shared" si="241"/>
        <v>0</v>
      </c>
      <c r="I388" s="7">
        <f t="shared" si="241"/>
        <v>0</v>
      </c>
      <c r="J388" s="7">
        <f t="shared" si="241"/>
        <v>0</v>
      </c>
      <c r="K388" s="7">
        <f t="shared" si="241"/>
        <v>976</v>
      </c>
      <c r="L388" s="7">
        <f t="shared" si="241"/>
        <v>0</v>
      </c>
      <c r="M388" s="7">
        <f t="shared" si="206"/>
        <v>0</v>
      </c>
    </row>
    <row r="389" spans="1:13" ht="47.25">
      <c r="A389" s="26" t="s">
        <v>186</v>
      </c>
      <c r="B389" s="42" t="s">
        <v>287</v>
      </c>
      <c r="C389" s="42" t="s">
        <v>268</v>
      </c>
      <c r="D389" s="21" t="s">
        <v>775</v>
      </c>
      <c r="E389" s="42" t="s">
        <v>187</v>
      </c>
      <c r="F389" s="7">
        <f>'Прил.№4 ведомств.'!G1008</f>
        <v>2132</v>
      </c>
      <c r="G389" s="7">
        <f>'Прил.№4 ведомств.'!I1008</f>
        <v>2132</v>
      </c>
      <c r="H389" s="7">
        <f>'Прил.№4 ведомств.'!J1008</f>
        <v>0</v>
      </c>
      <c r="I389" s="7">
        <f>'Прил.№4 ведомств.'!K1008</f>
        <v>0</v>
      </c>
      <c r="J389" s="7">
        <f>'Прил.№4 ведомств.'!L1008</f>
        <v>0</v>
      </c>
      <c r="K389" s="7">
        <f>'Прил.№4 ведомств.'!M1008</f>
        <v>976</v>
      </c>
      <c r="L389" s="7">
        <f>'Прил.№4 ведомств.'!N1008</f>
        <v>0</v>
      </c>
      <c r="M389" s="7">
        <f t="shared" si="206"/>
        <v>0</v>
      </c>
    </row>
    <row r="390" spans="1:13" ht="47.25" hidden="1">
      <c r="A390" s="26" t="s">
        <v>776</v>
      </c>
      <c r="B390" s="42" t="s">
        <v>287</v>
      </c>
      <c r="C390" s="42" t="s">
        <v>268</v>
      </c>
      <c r="D390" s="42" t="s">
        <v>617</v>
      </c>
      <c r="E390" s="42"/>
      <c r="F390" s="7">
        <f>F391</f>
        <v>2000</v>
      </c>
      <c r="G390" s="7">
        <f t="shared" ref="G390:L391" si="242">G391</f>
        <v>2000</v>
      </c>
      <c r="H390" s="7">
        <f t="shared" si="242"/>
        <v>0</v>
      </c>
      <c r="I390" s="7">
        <f t="shared" si="242"/>
        <v>0</v>
      </c>
      <c r="J390" s="7">
        <f t="shared" si="242"/>
        <v>0</v>
      </c>
      <c r="K390" s="7">
        <f t="shared" si="242"/>
        <v>0</v>
      </c>
      <c r="L390" s="7">
        <f t="shared" si="242"/>
        <v>0</v>
      </c>
      <c r="M390" s="7" t="e">
        <f t="shared" si="206"/>
        <v>#DIV/0!</v>
      </c>
    </row>
    <row r="391" spans="1:13" ht="31.5" hidden="1">
      <c r="A391" s="31" t="s">
        <v>184</v>
      </c>
      <c r="B391" s="42" t="s">
        <v>287</v>
      </c>
      <c r="C391" s="42" t="s">
        <v>268</v>
      </c>
      <c r="D391" s="42" t="s">
        <v>617</v>
      </c>
      <c r="E391" s="42" t="s">
        <v>185</v>
      </c>
      <c r="F391" s="7">
        <f>F392</f>
        <v>2000</v>
      </c>
      <c r="G391" s="7">
        <f t="shared" si="242"/>
        <v>2000</v>
      </c>
      <c r="H391" s="7">
        <f t="shared" si="242"/>
        <v>0</v>
      </c>
      <c r="I391" s="7">
        <f t="shared" si="242"/>
        <v>0</v>
      </c>
      <c r="J391" s="7">
        <f t="shared" si="242"/>
        <v>0</v>
      </c>
      <c r="K391" s="7">
        <f t="shared" si="242"/>
        <v>0</v>
      </c>
      <c r="L391" s="7">
        <f t="shared" si="242"/>
        <v>0</v>
      </c>
      <c r="M391" s="7" t="e">
        <f t="shared" si="206"/>
        <v>#DIV/0!</v>
      </c>
    </row>
    <row r="392" spans="1:13" ht="47.25" hidden="1">
      <c r="A392" s="31" t="s">
        <v>186</v>
      </c>
      <c r="B392" s="42" t="s">
        <v>287</v>
      </c>
      <c r="C392" s="42" t="s">
        <v>268</v>
      </c>
      <c r="D392" s="42" t="s">
        <v>617</v>
      </c>
      <c r="E392" s="42" t="s">
        <v>187</v>
      </c>
      <c r="F392" s="7">
        <f>'Прил.№4 ведомств.'!G1011</f>
        <v>2000</v>
      </c>
      <c r="G392" s="7">
        <f>'Прил.№4 ведомств.'!I1011</f>
        <v>2000</v>
      </c>
      <c r="H392" s="7">
        <f>'Прил.№4 ведомств.'!J1011</f>
        <v>0</v>
      </c>
      <c r="I392" s="7">
        <f>'Прил.№4 ведомств.'!K1011</f>
        <v>0</v>
      </c>
      <c r="J392" s="7">
        <f>'Прил.№4 ведомств.'!L1011</f>
        <v>0</v>
      </c>
      <c r="K392" s="7">
        <f>'Прил.№4 ведомств.'!M1011</f>
        <v>0</v>
      </c>
      <c r="L392" s="7">
        <f>'Прил.№4 ведомств.'!N1011</f>
        <v>0</v>
      </c>
      <c r="M392" s="7" t="e">
        <f t="shared" si="206"/>
        <v>#DIV/0!</v>
      </c>
    </row>
    <row r="393" spans="1:13" ht="53.25" customHeight="1">
      <c r="A393" s="26" t="s">
        <v>777</v>
      </c>
      <c r="B393" s="42" t="s">
        <v>287</v>
      </c>
      <c r="C393" s="42" t="s">
        <v>268</v>
      </c>
      <c r="D393" s="21" t="s">
        <v>778</v>
      </c>
      <c r="E393" s="42"/>
      <c r="F393" s="7">
        <f>F394</f>
        <v>1598.8</v>
      </c>
      <c r="G393" s="7">
        <f t="shared" ref="G393:L394" si="243">G394</f>
        <v>1598.8</v>
      </c>
      <c r="H393" s="7">
        <f t="shared" si="243"/>
        <v>0</v>
      </c>
      <c r="I393" s="7">
        <f t="shared" si="243"/>
        <v>0</v>
      </c>
      <c r="J393" s="7">
        <f t="shared" si="243"/>
        <v>0</v>
      </c>
      <c r="K393" s="7">
        <f t="shared" si="243"/>
        <v>1525.2</v>
      </c>
      <c r="L393" s="7">
        <f t="shared" si="243"/>
        <v>0</v>
      </c>
      <c r="M393" s="7">
        <f t="shared" si="206"/>
        <v>0</v>
      </c>
    </row>
    <row r="394" spans="1:13" ht="31.5">
      <c r="A394" s="26" t="s">
        <v>184</v>
      </c>
      <c r="B394" s="42" t="s">
        <v>287</v>
      </c>
      <c r="C394" s="42" t="s">
        <v>268</v>
      </c>
      <c r="D394" s="21" t="s">
        <v>778</v>
      </c>
      <c r="E394" s="42" t="s">
        <v>185</v>
      </c>
      <c r="F394" s="7">
        <f>F395</f>
        <v>1598.8</v>
      </c>
      <c r="G394" s="7">
        <f t="shared" si="243"/>
        <v>1598.8</v>
      </c>
      <c r="H394" s="7">
        <f t="shared" si="243"/>
        <v>0</v>
      </c>
      <c r="I394" s="7">
        <f t="shared" si="243"/>
        <v>0</v>
      </c>
      <c r="J394" s="7">
        <f t="shared" si="243"/>
        <v>0</v>
      </c>
      <c r="K394" s="7">
        <f t="shared" si="243"/>
        <v>1525.2</v>
      </c>
      <c r="L394" s="7">
        <f t="shared" si="243"/>
        <v>0</v>
      </c>
      <c r="M394" s="7">
        <f t="shared" si="206"/>
        <v>0</v>
      </c>
    </row>
    <row r="395" spans="1:13" ht="47.25">
      <c r="A395" s="26" t="s">
        <v>186</v>
      </c>
      <c r="B395" s="42" t="s">
        <v>287</v>
      </c>
      <c r="C395" s="42" t="s">
        <v>268</v>
      </c>
      <c r="D395" s="21" t="s">
        <v>778</v>
      </c>
      <c r="E395" s="42" t="s">
        <v>187</v>
      </c>
      <c r="F395" s="7">
        <f>'Прил.№4 ведомств.'!G1014</f>
        <v>1598.8</v>
      </c>
      <c r="G395" s="7">
        <f>'Прил.№4 ведомств.'!I1014</f>
        <v>1598.8</v>
      </c>
      <c r="H395" s="7">
        <f>'Прил.№4 ведомств.'!J1014</f>
        <v>0</v>
      </c>
      <c r="I395" s="7">
        <f>'Прил.№4 ведомств.'!K1014</f>
        <v>0</v>
      </c>
      <c r="J395" s="7">
        <f>'Прил.№4 ведомств.'!L1014</f>
        <v>0</v>
      </c>
      <c r="K395" s="7">
        <f>'Прил.№4 ведомств.'!M1014</f>
        <v>1525.2</v>
      </c>
      <c r="L395" s="7">
        <f>'Прил.№4 ведомств.'!N1014</f>
        <v>0</v>
      </c>
      <c r="M395" s="7">
        <f t="shared" si="206"/>
        <v>0</v>
      </c>
    </row>
    <row r="396" spans="1:13" ht="15.75">
      <c r="A396" s="31" t="s">
        <v>194</v>
      </c>
      <c r="B396" s="42" t="s">
        <v>287</v>
      </c>
      <c r="C396" s="42" t="s">
        <v>268</v>
      </c>
      <c r="D396" s="42" t="s">
        <v>195</v>
      </c>
      <c r="E396" s="8"/>
      <c r="F396" s="7">
        <f>F397+F400</f>
        <v>455.9</v>
      </c>
      <c r="G396" s="7">
        <f t="shared" ref="G396:K396" si="244">G397+G400</f>
        <v>200</v>
      </c>
      <c r="H396" s="7">
        <f t="shared" si="244"/>
        <v>3812.4</v>
      </c>
      <c r="I396" s="7">
        <f t="shared" si="244"/>
        <v>3812.4</v>
      </c>
      <c r="J396" s="7">
        <f t="shared" si="244"/>
        <v>3812.4</v>
      </c>
      <c r="K396" s="7">
        <f t="shared" si="244"/>
        <v>390</v>
      </c>
      <c r="L396" s="7">
        <f t="shared" ref="L396" si="245">L397+L400</f>
        <v>0</v>
      </c>
      <c r="M396" s="7">
        <f t="shared" si="206"/>
        <v>0</v>
      </c>
    </row>
    <row r="397" spans="1:13" ht="15.75">
      <c r="A397" s="47" t="s">
        <v>658</v>
      </c>
      <c r="B397" s="42" t="s">
        <v>287</v>
      </c>
      <c r="C397" s="42" t="s">
        <v>268</v>
      </c>
      <c r="D397" s="42" t="s">
        <v>619</v>
      </c>
      <c r="E397" s="42"/>
      <c r="F397" s="7">
        <f>F398</f>
        <v>455.9</v>
      </c>
      <c r="G397" s="7">
        <f t="shared" ref="G397:L398" si="246">G398</f>
        <v>200</v>
      </c>
      <c r="H397" s="7">
        <f t="shared" si="246"/>
        <v>462.1</v>
      </c>
      <c r="I397" s="7">
        <f t="shared" si="246"/>
        <v>462.1</v>
      </c>
      <c r="J397" s="7">
        <f t="shared" si="246"/>
        <v>462.1</v>
      </c>
      <c r="K397" s="7">
        <f t="shared" si="246"/>
        <v>390</v>
      </c>
      <c r="L397" s="7">
        <f t="shared" si="246"/>
        <v>0</v>
      </c>
      <c r="M397" s="7">
        <f t="shared" ref="M397:M460" si="247">L397/K397*100</f>
        <v>0</v>
      </c>
    </row>
    <row r="398" spans="1:13" ht="31.5">
      <c r="A398" s="31" t="s">
        <v>184</v>
      </c>
      <c r="B398" s="42" t="s">
        <v>287</v>
      </c>
      <c r="C398" s="42" t="s">
        <v>268</v>
      </c>
      <c r="D398" s="42" t="s">
        <v>619</v>
      </c>
      <c r="E398" s="42" t="s">
        <v>185</v>
      </c>
      <c r="F398" s="7">
        <f>F399</f>
        <v>455.9</v>
      </c>
      <c r="G398" s="7">
        <f t="shared" si="246"/>
        <v>200</v>
      </c>
      <c r="H398" s="7">
        <f t="shared" si="246"/>
        <v>462.1</v>
      </c>
      <c r="I398" s="7">
        <f t="shared" si="246"/>
        <v>462.1</v>
      </c>
      <c r="J398" s="7">
        <f t="shared" si="246"/>
        <v>462.1</v>
      </c>
      <c r="K398" s="7">
        <f t="shared" si="246"/>
        <v>390</v>
      </c>
      <c r="L398" s="7">
        <f t="shared" si="246"/>
        <v>0</v>
      </c>
      <c r="M398" s="7">
        <f t="shared" si="247"/>
        <v>0</v>
      </c>
    </row>
    <row r="399" spans="1:13" ht="47.25">
      <c r="A399" s="31" t="s">
        <v>186</v>
      </c>
      <c r="B399" s="42" t="s">
        <v>287</v>
      </c>
      <c r="C399" s="42" t="s">
        <v>268</v>
      </c>
      <c r="D399" s="42" t="s">
        <v>619</v>
      </c>
      <c r="E399" s="42" t="s">
        <v>187</v>
      </c>
      <c r="F399" s="7">
        <f>'Прил.№4 ведомств.'!G1018</f>
        <v>455.9</v>
      </c>
      <c r="G399" s="7">
        <f>'Прил.№4 ведомств.'!I1018</f>
        <v>200</v>
      </c>
      <c r="H399" s="7">
        <f>'Прил.№4 ведомств.'!J1018</f>
        <v>462.1</v>
      </c>
      <c r="I399" s="7">
        <f>'Прил.№4 ведомств.'!K1018</f>
        <v>462.1</v>
      </c>
      <c r="J399" s="7">
        <f>'Прил.№4 ведомств.'!L1018</f>
        <v>462.1</v>
      </c>
      <c r="K399" s="7">
        <f>'Прил.№4 ведомств.'!M1018</f>
        <v>390</v>
      </c>
      <c r="L399" s="7">
        <f>'Прил.№4 ведомств.'!N1018</f>
        <v>0</v>
      </c>
      <c r="M399" s="7">
        <f t="shared" si="247"/>
        <v>0</v>
      </c>
    </row>
    <row r="400" spans="1:13" ht="15.75" hidden="1" customHeight="1">
      <c r="A400" s="31" t="s">
        <v>620</v>
      </c>
      <c r="B400" s="42" t="s">
        <v>287</v>
      </c>
      <c r="C400" s="42" t="s">
        <v>268</v>
      </c>
      <c r="D400" s="42" t="s">
        <v>621</v>
      </c>
      <c r="E400" s="8"/>
      <c r="F400" s="7">
        <f>F401</f>
        <v>0</v>
      </c>
      <c r="G400" s="7">
        <f t="shared" ref="G400:L401" si="248">G401</f>
        <v>0</v>
      </c>
      <c r="H400" s="7">
        <f t="shared" si="248"/>
        <v>3350.3</v>
      </c>
      <c r="I400" s="7">
        <f t="shared" si="248"/>
        <v>3350.3</v>
      </c>
      <c r="J400" s="7">
        <f t="shared" si="248"/>
        <v>3350.3</v>
      </c>
      <c r="K400" s="7">
        <f t="shared" si="248"/>
        <v>0</v>
      </c>
      <c r="L400" s="7">
        <f t="shared" si="248"/>
        <v>0</v>
      </c>
      <c r="M400" s="4" t="e">
        <f t="shared" si="247"/>
        <v>#DIV/0!</v>
      </c>
    </row>
    <row r="401" spans="1:13" ht="15.75" hidden="1" customHeight="1">
      <c r="A401" s="31" t="s">
        <v>188</v>
      </c>
      <c r="B401" s="42" t="s">
        <v>287</v>
      </c>
      <c r="C401" s="42" t="s">
        <v>268</v>
      </c>
      <c r="D401" s="42" t="s">
        <v>621</v>
      </c>
      <c r="E401" s="42" t="s">
        <v>198</v>
      </c>
      <c r="F401" s="7">
        <f>F402</f>
        <v>0</v>
      </c>
      <c r="G401" s="7">
        <f t="shared" si="248"/>
        <v>0</v>
      </c>
      <c r="H401" s="7">
        <f t="shared" si="248"/>
        <v>3350.3</v>
      </c>
      <c r="I401" s="7">
        <f t="shared" si="248"/>
        <v>3350.3</v>
      </c>
      <c r="J401" s="7">
        <f t="shared" si="248"/>
        <v>3350.3</v>
      </c>
      <c r="K401" s="7">
        <f t="shared" si="248"/>
        <v>0</v>
      </c>
      <c r="L401" s="7">
        <f t="shared" si="248"/>
        <v>0</v>
      </c>
      <c r="M401" s="4" t="e">
        <f t="shared" si="247"/>
        <v>#DIV/0!</v>
      </c>
    </row>
    <row r="402" spans="1:13" ht="15.75" hidden="1" customHeight="1">
      <c r="A402" s="31" t="s">
        <v>622</v>
      </c>
      <c r="B402" s="42" t="s">
        <v>287</v>
      </c>
      <c r="C402" s="42" t="s">
        <v>268</v>
      </c>
      <c r="D402" s="42" t="s">
        <v>621</v>
      </c>
      <c r="E402" s="42" t="s">
        <v>191</v>
      </c>
      <c r="F402" s="7">
        <f>'Прил.№4 ведомств.'!G1021</f>
        <v>0</v>
      </c>
      <c r="G402" s="7">
        <f>'Прил.№4 ведомств.'!I1021</f>
        <v>0</v>
      </c>
      <c r="H402" s="7">
        <f>'Прил.№4 ведомств.'!J1021</f>
        <v>3350.3</v>
      </c>
      <c r="I402" s="7">
        <f>'Прил.№4 ведомств.'!K1021</f>
        <v>3350.3</v>
      </c>
      <c r="J402" s="7">
        <f>'Прил.№4 ведомств.'!L1021</f>
        <v>3350.3</v>
      </c>
      <c r="K402" s="7">
        <f>'Прил.№4 ведомств.'!M1021</f>
        <v>0</v>
      </c>
      <c r="L402" s="7">
        <f>'Прил.№4 ведомств.'!N1021</f>
        <v>0</v>
      </c>
      <c r="M402" s="4" t="e">
        <f t="shared" si="247"/>
        <v>#DIV/0!</v>
      </c>
    </row>
    <row r="403" spans="1:13" ht="31.5">
      <c r="A403" s="43" t="s">
        <v>623</v>
      </c>
      <c r="B403" s="8" t="s">
        <v>287</v>
      </c>
      <c r="C403" s="8" t="s">
        <v>287</v>
      </c>
      <c r="D403" s="8"/>
      <c r="E403" s="8"/>
      <c r="F403" s="4">
        <f>F404</f>
        <v>21124.699999999997</v>
      </c>
      <c r="G403" s="4">
        <f t="shared" ref="G403:L403" si="249">G404</f>
        <v>21588.805882352943</v>
      </c>
      <c r="H403" s="4">
        <f t="shared" si="249"/>
        <v>24391.9</v>
      </c>
      <c r="I403" s="4">
        <f t="shared" si="249"/>
        <v>24520.199999999997</v>
      </c>
      <c r="J403" s="4">
        <f t="shared" si="249"/>
        <v>24626.1</v>
      </c>
      <c r="K403" s="4">
        <f t="shared" si="249"/>
        <v>20501</v>
      </c>
      <c r="L403" s="4">
        <f t="shared" si="249"/>
        <v>3981.7000000000003</v>
      </c>
      <c r="M403" s="4">
        <f t="shared" si="247"/>
        <v>19.421979415638262</v>
      </c>
    </row>
    <row r="404" spans="1:13" ht="15.75">
      <c r="A404" s="31" t="s">
        <v>174</v>
      </c>
      <c r="B404" s="42" t="s">
        <v>287</v>
      </c>
      <c r="C404" s="42" t="s">
        <v>287</v>
      </c>
      <c r="D404" s="42" t="s">
        <v>175</v>
      </c>
      <c r="E404" s="42"/>
      <c r="F404" s="7">
        <f>F413+F405</f>
        <v>21124.699999999997</v>
      </c>
      <c r="G404" s="7">
        <f t="shared" ref="G404:K404" si="250">G413+G405</f>
        <v>21588.805882352943</v>
      </c>
      <c r="H404" s="7">
        <f t="shared" si="250"/>
        <v>24391.9</v>
      </c>
      <c r="I404" s="7">
        <f t="shared" si="250"/>
        <v>24520.199999999997</v>
      </c>
      <c r="J404" s="7">
        <f t="shared" si="250"/>
        <v>24626.1</v>
      </c>
      <c r="K404" s="7">
        <f t="shared" si="250"/>
        <v>20501</v>
      </c>
      <c r="L404" s="7">
        <f t="shared" ref="L404" si="251">L413+L405</f>
        <v>3981.7000000000003</v>
      </c>
      <c r="M404" s="7">
        <f t="shared" si="247"/>
        <v>19.421979415638262</v>
      </c>
    </row>
    <row r="405" spans="1:13" ht="31.5">
      <c r="A405" s="31" t="s">
        <v>176</v>
      </c>
      <c r="B405" s="42" t="s">
        <v>287</v>
      </c>
      <c r="C405" s="42" t="s">
        <v>287</v>
      </c>
      <c r="D405" s="42" t="s">
        <v>177</v>
      </c>
      <c r="E405" s="42"/>
      <c r="F405" s="7">
        <f>F406</f>
        <v>12441.3</v>
      </c>
      <c r="G405" s="7">
        <f t="shared" ref="G405:L405" si="252">G406</f>
        <v>12947.405882352941</v>
      </c>
      <c r="H405" s="7">
        <f t="shared" si="252"/>
        <v>15665.4</v>
      </c>
      <c r="I405" s="7">
        <f t="shared" si="252"/>
        <v>15665.4</v>
      </c>
      <c r="J405" s="7">
        <f t="shared" si="252"/>
        <v>15665.4</v>
      </c>
      <c r="K405" s="7">
        <f t="shared" si="252"/>
        <v>12714.1</v>
      </c>
      <c r="L405" s="7">
        <f t="shared" si="252"/>
        <v>2608.8000000000002</v>
      </c>
      <c r="M405" s="7">
        <f t="shared" si="247"/>
        <v>20.518951400413716</v>
      </c>
    </row>
    <row r="406" spans="1:13" ht="31.5">
      <c r="A406" s="31" t="s">
        <v>659</v>
      </c>
      <c r="B406" s="42" t="s">
        <v>287</v>
      </c>
      <c r="C406" s="42" t="s">
        <v>287</v>
      </c>
      <c r="D406" s="42" t="s">
        <v>179</v>
      </c>
      <c r="E406" s="42"/>
      <c r="F406" s="7">
        <f>F407+F409+F411</f>
        <v>12441.3</v>
      </c>
      <c r="G406" s="7">
        <f t="shared" ref="G406:K406" si="253">G407+G409+G411</f>
        <v>12947.405882352941</v>
      </c>
      <c r="H406" s="7">
        <f t="shared" si="253"/>
        <v>15665.4</v>
      </c>
      <c r="I406" s="7">
        <f t="shared" si="253"/>
        <v>15665.4</v>
      </c>
      <c r="J406" s="7">
        <f t="shared" si="253"/>
        <v>15665.4</v>
      </c>
      <c r="K406" s="7">
        <f t="shared" si="253"/>
        <v>12714.1</v>
      </c>
      <c r="L406" s="7">
        <f t="shared" ref="L406" si="254">L407+L409+L411</f>
        <v>2608.8000000000002</v>
      </c>
      <c r="M406" s="7">
        <f t="shared" si="247"/>
        <v>20.518951400413716</v>
      </c>
    </row>
    <row r="407" spans="1:13" ht="87.75" customHeight="1">
      <c r="A407" s="31" t="s">
        <v>180</v>
      </c>
      <c r="B407" s="42" t="s">
        <v>287</v>
      </c>
      <c r="C407" s="42" t="s">
        <v>287</v>
      </c>
      <c r="D407" s="42" t="s">
        <v>179</v>
      </c>
      <c r="E407" s="42" t="s">
        <v>181</v>
      </c>
      <c r="F407" s="63">
        <f>F408</f>
        <v>12267.4</v>
      </c>
      <c r="G407" s="63">
        <f t="shared" ref="G407:L407" si="255">G408</f>
        <v>12773.505882352942</v>
      </c>
      <c r="H407" s="63">
        <f t="shared" si="255"/>
        <v>15284</v>
      </c>
      <c r="I407" s="63">
        <f t="shared" si="255"/>
        <v>15284</v>
      </c>
      <c r="J407" s="63">
        <f t="shared" si="255"/>
        <v>15284</v>
      </c>
      <c r="K407" s="63">
        <f t="shared" si="255"/>
        <v>12500.4</v>
      </c>
      <c r="L407" s="63">
        <f t="shared" si="255"/>
        <v>2605</v>
      </c>
      <c r="M407" s="7">
        <f t="shared" si="247"/>
        <v>20.839333141339477</v>
      </c>
    </row>
    <row r="408" spans="1:13" ht="31.5">
      <c r="A408" s="31" t="s">
        <v>182</v>
      </c>
      <c r="B408" s="42" t="s">
        <v>287</v>
      </c>
      <c r="C408" s="42" t="s">
        <v>287</v>
      </c>
      <c r="D408" s="42" t="s">
        <v>179</v>
      </c>
      <c r="E408" s="42" t="s">
        <v>183</v>
      </c>
      <c r="F408" s="63">
        <f>'Прил.№4 ведомств.'!G1027</f>
        <v>12267.4</v>
      </c>
      <c r="G408" s="63">
        <f>'Прил.№4 ведомств.'!I1027</f>
        <v>12773.505882352942</v>
      </c>
      <c r="H408" s="63">
        <f>'Прил.№4 ведомств.'!J1027</f>
        <v>15284</v>
      </c>
      <c r="I408" s="63">
        <f>'Прил.№4 ведомств.'!K1027</f>
        <v>15284</v>
      </c>
      <c r="J408" s="63">
        <f>'Прил.№4 ведомств.'!L1027</f>
        <v>15284</v>
      </c>
      <c r="K408" s="63">
        <f>'Прил.№4 ведомств.'!M1027</f>
        <v>12500.4</v>
      </c>
      <c r="L408" s="63">
        <f>'Прил.№4 ведомств.'!N1027</f>
        <v>2605</v>
      </c>
      <c r="M408" s="7">
        <f t="shared" si="247"/>
        <v>20.839333141339477</v>
      </c>
    </row>
    <row r="409" spans="1:13" ht="31.5">
      <c r="A409" s="31" t="s">
        <v>184</v>
      </c>
      <c r="B409" s="42" t="s">
        <v>287</v>
      </c>
      <c r="C409" s="42" t="s">
        <v>287</v>
      </c>
      <c r="D409" s="42" t="s">
        <v>179</v>
      </c>
      <c r="E409" s="42" t="s">
        <v>185</v>
      </c>
      <c r="F409" s="63">
        <f>F410</f>
        <v>25</v>
      </c>
      <c r="G409" s="63">
        <f t="shared" ref="G409:L409" si="256">G410</f>
        <v>25</v>
      </c>
      <c r="H409" s="63">
        <f t="shared" si="256"/>
        <v>232.49999999999997</v>
      </c>
      <c r="I409" s="63">
        <f t="shared" si="256"/>
        <v>232.49999999999997</v>
      </c>
      <c r="J409" s="63">
        <f t="shared" si="256"/>
        <v>232.49999999999997</v>
      </c>
      <c r="K409" s="63">
        <f t="shared" si="256"/>
        <v>25</v>
      </c>
      <c r="L409" s="63">
        <f t="shared" si="256"/>
        <v>0</v>
      </c>
      <c r="M409" s="7">
        <f t="shared" si="247"/>
        <v>0</v>
      </c>
    </row>
    <row r="410" spans="1:13" ht="47.25">
      <c r="A410" s="31" t="s">
        <v>186</v>
      </c>
      <c r="B410" s="42" t="s">
        <v>287</v>
      </c>
      <c r="C410" s="42" t="s">
        <v>287</v>
      </c>
      <c r="D410" s="42" t="s">
        <v>179</v>
      </c>
      <c r="E410" s="42" t="s">
        <v>187</v>
      </c>
      <c r="F410" s="63">
        <f>'Прил.№4 ведомств.'!G1029</f>
        <v>25</v>
      </c>
      <c r="G410" s="63">
        <f>'Прил.№4 ведомств.'!I1029</f>
        <v>25</v>
      </c>
      <c r="H410" s="63">
        <f>'Прил.№4 ведомств.'!J1029</f>
        <v>232.49999999999997</v>
      </c>
      <c r="I410" s="63">
        <f>'Прил.№4 ведомств.'!K1029</f>
        <v>232.49999999999997</v>
      </c>
      <c r="J410" s="63">
        <f>'Прил.№4 ведомств.'!L1029</f>
        <v>232.49999999999997</v>
      </c>
      <c r="K410" s="63">
        <f>'Прил.№4 ведомств.'!M1029</f>
        <v>25</v>
      </c>
      <c r="L410" s="63">
        <f>'Прил.№4 ведомств.'!N1029</f>
        <v>0</v>
      </c>
      <c r="M410" s="7">
        <f t="shared" si="247"/>
        <v>0</v>
      </c>
    </row>
    <row r="411" spans="1:13" ht="15.75">
      <c r="A411" s="31" t="s">
        <v>188</v>
      </c>
      <c r="B411" s="42" t="s">
        <v>287</v>
      </c>
      <c r="C411" s="42" t="s">
        <v>287</v>
      </c>
      <c r="D411" s="42" t="s">
        <v>179</v>
      </c>
      <c r="E411" s="42" t="s">
        <v>198</v>
      </c>
      <c r="F411" s="63">
        <f>F412</f>
        <v>148.9</v>
      </c>
      <c r="G411" s="63">
        <f t="shared" ref="G411:L411" si="257">G412</f>
        <v>148.9</v>
      </c>
      <c r="H411" s="63">
        <f t="shared" si="257"/>
        <v>148.9</v>
      </c>
      <c r="I411" s="63">
        <f t="shared" si="257"/>
        <v>148.9</v>
      </c>
      <c r="J411" s="63">
        <f t="shared" si="257"/>
        <v>148.9</v>
      </c>
      <c r="K411" s="63">
        <f t="shared" si="257"/>
        <v>188.7</v>
      </c>
      <c r="L411" s="63">
        <f t="shared" si="257"/>
        <v>3.8</v>
      </c>
      <c r="M411" s="7">
        <f t="shared" si="247"/>
        <v>2.0137784843667199</v>
      </c>
    </row>
    <row r="412" spans="1:13" ht="15.75">
      <c r="A412" s="31" t="s">
        <v>622</v>
      </c>
      <c r="B412" s="42" t="s">
        <v>287</v>
      </c>
      <c r="C412" s="42" t="s">
        <v>287</v>
      </c>
      <c r="D412" s="42" t="s">
        <v>179</v>
      </c>
      <c r="E412" s="42" t="s">
        <v>191</v>
      </c>
      <c r="F412" s="63">
        <f>'Прил.№4 ведомств.'!G1031</f>
        <v>148.9</v>
      </c>
      <c r="G412" s="63">
        <f>'Прил.№4 ведомств.'!I1031</f>
        <v>148.9</v>
      </c>
      <c r="H412" s="63">
        <f>'Прил.№4 ведомств.'!J1031</f>
        <v>148.9</v>
      </c>
      <c r="I412" s="63">
        <f>'Прил.№4 ведомств.'!K1031</f>
        <v>148.9</v>
      </c>
      <c r="J412" s="63">
        <f>'Прил.№4 ведомств.'!L1031</f>
        <v>148.9</v>
      </c>
      <c r="K412" s="63">
        <f>'Прил.№4 ведомств.'!M1031</f>
        <v>188.7</v>
      </c>
      <c r="L412" s="63">
        <f>'Прил.№4 ведомств.'!N1031</f>
        <v>3.8</v>
      </c>
      <c r="M412" s="7">
        <f t="shared" si="247"/>
        <v>2.0137784843667199</v>
      </c>
    </row>
    <row r="413" spans="1:13" ht="15.75">
      <c r="A413" s="31" t="s">
        <v>194</v>
      </c>
      <c r="B413" s="42" t="s">
        <v>287</v>
      </c>
      <c r="C413" s="42" t="s">
        <v>287</v>
      </c>
      <c r="D413" s="42" t="s">
        <v>195</v>
      </c>
      <c r="E413" s="42"/>
      <c r="F413" s="7">
        <f>F414+F417</f>
        <v>8683.4</v>
      </c>
      <c r="G413" s="7">
        <f t="shared" ref="G413:K413" si="258">G414+G417</f>
        <v>8641.4</v>
      </c>
      <c r="H413" s="7">
        <f t="shared" si="258"/>
        <v>8726.5</v>
      </c>
      <c r="I413" s="7">
        <f t="shared" si="258"/>
        <v>8854.7999999999993</v>
      </c>
      <c r="J413" s="7">
        <f t="shared" si="258"/>
        <v>8960.7000000000007</v>
      </c>
      <c r="K413" s="7">
        <f t="shared" si="258"/>
        <v>7786.9</v>
      </c>
      <c r="L413" s="7">
        <f t="shared" ref="L413" si="259">L414+L417</f>
        <v>1372.9</v>
      </c>
      <c r="M413" s="7">
        <f t="shared" si="247"/>
        <v>17.63089290988712</v>
      </c>
    </row>
    <row r="414" spans="1:13" ht="31.5">
      <c r="A414" s="31" t="s">
        <v>624</v>
      </c>
      <c r="B414" s="42" t="s">
        <v>287</v>
      </c>
      <c r="C414" s="42" t="s">
        <v>287</v>
      </c>
      <c r="D414" s="42" t="s">
        <v>625</v>
      </c>
      <c r="E414" s="42"/>
      <c r="F414" s="63">
        <f>F415</f>
        <v>1461</v>
      </c>
      <c r="G414" s="63">
        <f t="shared" ref="G414:L415" si="260">G415</f>
        <v>700</v>
      </c>
      <c r="H414" s="63">
        <f t="shared" si="260"/>
        <v>1541</v>
      </c>
      <c r="I414" s="63">
        <f t="shared" si="260"/>
        <v>1541</v>
      </c>
      <c r="J414" s="63">
        <f t="shared" si="260"/>
        <v>1541</v>
      </c>
      <c r="K414" s="63">
        <f t="shared" si="260"/>
        <v>982.2</v>
      </c>
      <c r="L414" s="63">
        <f t="shared" si="260"/>
        <v>0</v>
      </c>
      <c r="M414" s="7">
        <f t="shared" si="247"/>
        <v>0</v>
      </c>
    </row>
    <row r="415" spans="1:13" ht="15.75">
      <c r="A415" s="31" t="s">
        <v>188</v>
      </c>
      <c r="B415" s="42" t="s">
        <v>287</v>
      </c>
      <c r="C415" s="42" t="s">
        <v>287</v>
      </c>
      <c r="D415" s="42" t="s">
        <v>625</v>
      </c>
      <c r="E415" s="42" t="s">
        <v>198</v>
      </c>
      <c r="F415" s="63">
        <f>F416</f>
        <v>1461</v>
      </c>
      <c r="G415" s="63">
        <f t="shared" si="260"/>
        <v>700</v>
      </c>
      <c r="H415" s="63">
        <f t="shared" si="260"/>
        <v>1541</v>
      </c>
      <c r="I415" s="63">
        <f t="shared" si="260"/>
        <v>1541</v>
      </c>
      <c r="J415" s="63">
        <f t="shared" si="260"/>
        <v>1541</v>
      </c>
      <c r="K415" s="63">
        <f t="shared" si="260"/>
        <v>982.2</v>
      </c>
      <c r="L415" s="63">
        <f t="shared" si="260"/>
        <v>0</v>
      </c>
      <c r="M415" s="7">
        <f t="shared" si="247"/>
        <v>0</v>
      </c>
    </row>
    <row r="416" spans="1:13" ht="15.75">
      <c r="A416" s="31" t="s">
        <v>622</v>
      </c>
      <c r="B416" s="42" t="s">
        <v>287</v>
      </c>
      <c r="C416" s="42" t="s">
        <v>287</v>
      </c>
      <c r="D416" s="42" t="s">
        <v>625</v>
      </c>
      <c r="E416" s="42" t="s">
        <v>191</v>
      </c>
      <c r="F416" s="63">
        <f>'Прил.№4 ведомств.'!G1035</f>
        <v>1461</v>
      </c>
      <c r="G416" s="63">
        <f>'Прил.№4 ведомств.'!I1035</f>
        <v>700</v>
      </c>
      <c r="H416" s="63">
        <f>'Прил.№4 ведомств.'!J1035</f>
        <v>1541</v>
      </c>
      <c r="I416" s="63">
        <f>'Прил.№4 ведомств.'!K1035</f>
        <v>1541</v>
      </c>
      <c r="J416" s="63">
        <f>'Прил.№4 ведомств.'!L1035</f>
        <v>1541</v>
      </c>
      <c r="K416" s="63">
        <f>'Прил.№4 ведомств.'!M1035</f>
        <v>982.2</v>
      </c>
      <c r="L416" s="63">
        <f>'Прил.№4 ведомств.'!N1035</f>
        <v>0</v>
      </c>
      <c r="M416" s="7">
        <f t="shared" si="247"/>
        <v>0</v>
      </c>
    </row>
    <row r="417" spans="1:13" ht="31.5">
      <c r="A417" s="26" t="s">
        <v>393</v>
      </c>
      <c r="B417" s="42" t="s">
        <v>287</v>
      </c>
      <c r="C417" s="42" t="s">
        <v>287</v>
      </c>
      <c r="D417" s="42" t="s">
        <v>394</v>
      </c>
      <c r="E417" s="42"/>
      <c r="F417" s="7">
        <f>F418+F420</f>
        <v>7222.4</v>
      </c>
      <c r="G417" s="7">
        <f t="shared" ref="G417:K417" si="261">G418+G420</f>
        <v>7941.4</v>
      </c>
      <c r="H417" s="7">
        <f t="shared" si="261"/>
        <v>7185.5</v>
      </c>
      <c r="I417" s="7">
        <f t="shared" si="261"/>
        <v>7313.7999999999993</v>
      </c>
      <c r="J417" s="7">
        <f t="shared" si="261"/>
        <v>7419.7</v>
      </c>
      <c r="K417" s="7">
        <f t="shared" si="261"/>
        <v>6804.7</v>
      </c>
      <c r="L417" s="7">
        <f t="shared" ref="L417" si="262">L418+L420</f>
        <v>1372.9</v>
      </c>
      <c r="M417" s="7">
        <f t="shared" si="247"/>
        <v>20.175760871162581</v>
      </c>
    </row>
    <row r="418" spans="1:13" ht="78.75">
      <c r="A418" s="31" t="s">
        <v>180</v>
      </c>
      <c r="B418" s="42" t="s">
        <v>287</v>
      </c>
      <c r="C418" s="42" t="s">
        <v>287</v>
      </c>
      <c r="D418" s="42" t="s">
        <v>394</v>
      </c>
      <c r="E418" s="42" t="s">
        <v>181</v>
      </c>
      <c r="F418" s="63">
        <f>F419</f>
        <v>5565.9</v>
      </c>
      <c r="G418" s="63">
        <f t="shared" ref="G418:L418" si="263">G419</f>
        <v>6615.5</v>
      </c>
      <c r="H418" s="63">
        <f t="shared" si="263"/>
        <v>4547.3</v>
      </c>
      <c r="I418" s="63">
        <f t="shared" si="263"/>
        <v>4592.7</v>
      </c>
      <c r="J418" s="63">
        <f t="shared" si="263"/>
        <v>4638.7</v>
      </c>
      <c r="K418" s="63">
        <f t="shared" si="263"/>
        <v>4826.2</v>
      </c>
      <c r="L418" s="63">
        <f t="shared" si="263"/>
        <v>1051.4000000000001</v>
      </c>
      <c r="M418" s="7">
        <f t="shared" si="247"/>
        <v>21.785255480502261</v>
      </c>
    </row>
    <row r="419" spans="1:13" ht="31.5">
      <c r="A419" s="48" t="s">
        <v>395</v>
      </c>
      <c r="B419" s="42" t="s">
        <v>287</v>
      </c>
      <c r="C419" s="42" t="s">
        <v>287</v>
      </c>
      <c r="D419" s="42" t="s">
        <v>394</v>
      </c>
      <c r="E419" s="42" t="s">
        <v>262</v>
      </c>
      <c r="F419" s="63">
        <f>'Прил.№4 ведомств.'!G1038</f>
        <v>5565.9</v>
      </c>
      <c r="G419" s="63">
        <f>'Прил.№4 ведомств.'!I1038</f>
        <v>6615.5</v>
      </c>
      <c r="H419" s="63">
        <f>'Прил.№4 ведомств.'!J1038</f>
        <v>4547.3</v>
      </c>
      <c r="I419" s="63">
        <f>'Прил.№4 ведомств.'!K1038</f>
        <v>4592.7</v>
      </c>
      <c r="J419" s="63">
        <f>'Прил.№4 ведомств.'!L1038</f>
        <v>4638.7</v>
      </c>
      <c r="K419" s="63">
        <f>'Прил.№4 ведомств.'!M1038</f>
        <v>4826.2</v>
      </c>
      <c r="L419" s="63">
        <f>'Прил.№4 ведомств.'!N1038</f>
        <v>1051.4000000000001</v>
      </c>
      <c r="M419" s="7">
        <f t="shared" si="247"/>
        <v>21.785255480502261</v>
      </c>
    </row>
    <row r="420" spans="1:13" ht="31.5">
      <c r="A420" s="31" t="s">
        <v>184</v>
      </c>
      <c r="B420" s="42" t="s">
        <v>287</v>
      </c>
      <c r="C420" s="42" t="s">
        <v>287</v>
      </c>
      <c r="D420" s="42" t="s">
        <v>394</v>
      </c>
      <c r="E420" s="42" t="s">
        <v>185</v>
      </c>
      <c r="F420" s="63">
        <f>F421</f>
        <v>1656.5</v>
      </c>
      <c r="G420" s="63">
        <f t="shared" ref="G420:L420" si="264">G421</f>
        <v>1325.9</v>
      </c>
      <c r="H420" s="63">
        <f t="shared" si="264"/>
        <v>2638.2</v>
      </c>
      <c r="I420" s="63">
        <f t="shared" si="264"/>
        <v>2721.1</v>
      </c>
      <c r="J420" s="63">
        <f t="shared" si="264"/>
        <v>2781</v>
      </c>
      <c r="K420" s="63">
        <f t="shared" si="264"/>
        <v>1978.5</v>
      </c>
      <c r="L420" s="63">
        <f t="shared" si="264"/>
        <v>321.5</v>
      </c>
      <c r="M420" s="7">
        <f t="shared" si="247"/>
        <v>16.249684104119282</v>
      </c>
    </row>
    <row r="421" spans="1:13" ht="47.25">
      <c r="A421" s="31" t="s">
        <v>186</v>
      </c>
      <c r="B421" s="42" t="s">
        <v>287</v>
      </c>
      <c r="C421" s="42" t="s">
        <v>287</v>
      </c>
      <c r="D421" s="42" t="s">
        <v>394</v>
      </c>
      <c r="E421" s="42" t="s">
        <v>187</v>
      </c>
      <c r="F421" s="63">
        <f>'Прил.№4 ведомств.'!G1040</f>
        <v>1656.5</v>
      </c>
      <c r="G421" s="63">
        <f>'Прил.№4 ведомств.'!I1040</f>
        <v>1325.9</v>
      </c>
      <c r="H421" s="63">
        <f>'Прил.№4 ведомств.'!J1040</f>
        <v>2638.2</v>
      </c>
      <c r="I421" s="63">
        <f>'Прил.№4 ведомств.'!K1040</f>
        <v>2721.1</v>
      </c>
      <c r="J421" s="63">
        <f>'Прил.№4 ведомств.'!L1040</f>
        <v>2781</v>
      </c>
      <c r="K421" s="63">
        <f>'Прил.№4 ведомств.'!M1040</f>
        <v>1978.5</v>
      </c>
      <c r="L421" s="63">
        <f>'Прил.№4 ведомств.'!N1040</f>
        <v>321.5</v>
      </c>
      <c r="M421" s="7">
        <f t="shared" si="247"/>
        <v>16.249684104119282</v>
      </c>
    </row>
    <row r="422" spans="1:13" ht="15.75">
      <c r="A422" s="43" t="s">
        <v>316</v>
      </c>
      <c r="B422" s="8" t="s">
        <v>317</v>
      </c>
      <c r="C422" s="42"/>
      <c r="D422" s="42"/>
      <c r="E422" s="42"/>
      <c r="F422" s="4">
        <f t="shared" ref="F422:K422" si="265">F423+F468+F615+F626+F545</f>
        <v>290484.60000000003</v>
      </c>
      <c r="G422" s="4">
        <f t="shared" si="265"/>
        <v>286378.90000000002</v>
      </c>
      <c r="H422" s="4">
        <f t="shared" si="265"/>
        <v>351290</v>
      </c>
      <c r="I422" s="4">
        <f t="shared" si="265"/>
        <v>343706.89999999997</v>
      </c>
      <c r="J422" s="4">
        <f t="shared" si="265"/>
        <v>337520.6</v>
      </c>
      <c r="K422" s="4">
        <f t="shared" si="265"/>
        <v>296561.09999999998</v>
      </c>
      <c r="L422" s="4">
        <f t="shared" ref="L422" si="266">L423+L468+L615+L626+L545</f>
        <v>95327.4</v>
      </c>
      <c r="M422" s="4">
        <f t="shared" si="247"/>
        <v>32.144269764308262</v>
      </c>
    </row>
    <row r="423" spans="1:13" ht="15.75">
      <c r="A423" s="43" t="s">
        <v>458</v>
      </c>
      <c r="B423" s="8" t="s">
        <v>317</v>
      </c>
      <c r="C423" s="8" t="s">
        <v>171</v>
      </c>
      <c r="D423" s="8"/>
      <c r="E423" s="8"/>
      <c r="F423" s="4">
        <f t="shared" ref="F423:K423" si="267">F424+F451</f>
        <v>84659.4</v>
      </c>
      <c r="G423" s="4">
        <f t="shared" si="267"/>
        <v>85381.2</v>
      </c>
      <c r="H423" s="4">
        <f t="shared" si="267"/>
        <v>122402.5</v>
      </c>
      <c r="I423" s="4">
        <f t="shared" si="267"/>
        <v>117666.8</v>
      </c>
      <c r="J423" s="4">
        <f t="shared" si="267"/>
        <v>112203.8</v>
      </c>
      <c r="K423" s="4">
        <f t="shared" si="267"/>
        <v>92326.5</v>
      </c>
      <c r="L423" s="4">
        <f t="shared" ref="L423" si="268">L424+L451</f>
        <v>32610.799999999999</v>
      </c>
      <c r="M423" s="4">
        <f t="shared" si="247"/>
        <v>35.321169978283592</v>
      </c>
    </row>
    <row r="424" spans="1:13" ht="47.25">
      <c r="A424" s="31" t="s">
        <v>480</v>
      </c>
      <c r="B424" s="42" t="s">
        <v>317</v>
      </c>
      <c r="C424" s="42" t="s">
        <v>171</v>
      </c>
      <c r="D424" s="42" t="s">
        <v>460</v>
      </c>
      <c r="E424" s="42"/>
      <c r="F424" s="7">
        <f>F425+F429</f>
        <v>23453.4</v>
      </c>
      <c r="G424" s="7">
        <f t="shared" ref="G424:K424" si="269">G425+G429</f>
        <v>24175.200000000001</v>
      </c>
      <c r="H424" s="7">
        <f t="shared" si="269"/>
        <v>61196.5</v>
      </c>
      <c r="I424" s="7">
        <f t="shared" si="269"/>
        <v>56460.800000000003</v>
      </c>
      <c r="J424" s="7">
        <f t="shared" si="269"/>
        <v>50997.8</v>
      </c>
      <c r="K424" s="7">
        <f t="shared" si="269"/>
        <v>25384.9</v>
      </c>
      <c r="L424" s="7">
        <f t="shared" ref="L424" si="270">L425+L429</f>
        <v>12535</v>
      </c>
      <c r="M424" s="7">
        <f t="shared" si="247"/>
        <v>49.379749378567574</v>
      </c>
    </row>
    <row r="425" spans="1:13" ht="31.5">
      <c r="A425" s="31" t="s">
        <v>461</v>
      </c>
      <c r="B425" s="42" t="s">
        <v>317</v>
      </c>
      <c r="C425" s="42" t="s">
        <v>171</v>
      </c>
      <c r="D425" s="42" t="s">
        <v>462</v>
      </c>
      <c r="E425" s="42"/>
      <c r="F425" s="7">
        <f>F426</f>
        <v>15578.400000000001</v>
      </c>
      <c r="G425" s="7">
        <f t="shared" ref="G425:L425" si="271">G426</f>
        <v>16300.2</v>
      </c>
      <c r="H425" s="7">
        <f t="shared" si="271"/>
        <v>35498.199999999997</v>
      </c>
      <c r="I425" s="7">
        <f t="shared" si="271"/>
        <v>36442.5</v>
      </c>
      <c r="J425" s="7">
        <f t="shared" si="271"/>
        <v>37029.5</v>
      </c>
      <c r="K425" s="7">
        <f t="shared" si="271"/>
        <v>15316.6</v>
      </c>
      <c r="L425" s="7">
        <f t="shared" si="271"/>
        <v>7100</v>
      </c>
      <c r="M425" s="7">
        <f t="shared" si="247"/>
        <v>46.354935168379399</v>
      </c>
    </row>
    <row r="426" spans="1:13" ht="47.25">
      <c r="A426" s="31" t="s">
        <v>463</v>
      </c>
      <c r="B426" s="42" t="s">
        <v>317</v>
      </c>
      <c r="C426" s="42" t="s">
        <v>171</v>
      </c>
      <c r="D426" s="42" t="s">
        <v>464</v>
      </c>
      <c r="E426" s="42"/>
      <c r="F426" s="7">
        <f>SUM(F427:F427)</f>
        <v>15578.400000000001</v>
      </c>
      <c r="G426" s="7">
        <f t="shared" ref="G426:L426" si="272">SUM(G427:G427)</f>
        <v>16300.2</v>
      </c>
      <c r="H426" s="7">
        <f t="shared" si="272"/>
        <v>35498.199999999997</v>
      </c>
      <c r="I426" s="7">
        <f t="shared" si="272"/>
        <v>36442.5</v>
      </c>
      <c r="J426" s="7">
        <f t="shared" si="272"/>
        <v>37029.5</v>
      </c>
      <c r="K426" s="7">
        <f t="shared" si="272"/>
        <v>15316.6</v>
      </c>
      <c r="L426" s="7">
        <f t="shared" si="272"/>
        <v>7100</v>
      </c>
      <c r="M426" s="7">
        <f t="shared" si="247"/>
        <v>46.354935168379399</v>
      </c>
    </row>
    <row r="427" spans="1:13" ht="47.25">
      <c r="A427" s="31" t="s">
        <v>325</v>
      </c>
      <c r="B427" s="42" t="s">
        <v>317</v>
      </c>
      <c r="C427" s="42" t="s">
        <v>171</v>
      </c>
      <c r="D427" s="42" t="s">
        <v>464</v>
      </c>
      <c r="E427" s="42" t="s">
        <v>326</v>
      </c>
      <c r="F427" s="7">
        <f>F428</f>
        <v>15578.400000000001</v>
      </c>
      <c r="G427" s="7">
        <f t="shared" ref="G427:L427" si="273">G428</f>
        <v>16300.2</v>
      </c>
      <c r="H427" s="7">
        <f t="shared" si="273"/>
        <v>35498.199999999997</v>
      </c>
      <c r="I427" s="7">
        <f t="shared" si="273"/>
        <v>36442.5</v>
      </c>
      <c r="J427" s="7">
        <f t="shared" si="273"/>
        <v>37029.5</v>
      </c>
      <c r="K427" s="7">
        <f t="shared" si="273"/>
        <v>15316.6</v>
      </c>
      <c r="L427" s="7">
        <f t="shared" si="273"/>
        <v>7100</v>
      </c>
      <c r="M427" s="7">
        <f t="shared" si="247"/>
        <v>46.354935168379399</v>
      </c>
    </row>
    <row r="428" spans="1:13" ht="15.75">
      <c r="A428" s="31" t="s">
        <v>327</v>
      </c>
      <c r="B428" s="42" t="s">
        <v>317</v>
      </c>
      <c r="C428" s="42" t="s">
        <v>171</v>
      </c>
      <c r="D428" s="42" t="s">
        <v>464</v>
      </c>
      <c r="E428" s="42" t="s">
        <v>328</v>
      </c>
      <c r="F428" s="63">
        <f>'Прил.№4 ведомств.'!G596</f>
        <v>15578.400000000001</v>
      </c>
      <c r="G428" s="63">
        <f>'Прил.№4 ведомств.'!I596</f>
        <v>16300.2</v>
      </c>
      <c r="H428" s="63">
        <f>'Прил.№4 ведомств.'!J596</f>
        <v>35498.199999999997</v>
      </c>
      <c r="I428" s="63">
        <f>'Прил.№4 ведомств.'!K596</f>
        <v>36442.5</v>
      </c>
      <c r="J428" s="63">
        <f>'Прил.№4 ведомств.'!L596</f>
        <v>37029.5</v>
      </c>
      <c r="K428" s="63">
        <f>'Прил.№4 ведомств.'!M596</f>
        <v>15316.6</v>
      </c>
      <c r="L428" s="63">
        <f>'Прил.№4 ведомств.'!N596</f>
        <v>7100</v>
      </c>
      <c r="M428" s="7">
        <f t="shared" si="247"/>
        <v>46.354935168379399</v>
      </c>
    </row>
    <row r="429" spans="1:13" ht="31.5">
      <c r="A429" s="31" t="s">
        <v>465</v>
      </c>
      <c r="B429" s="42" t="s">
        <v>317</v>
      </c>
      <c r="C429" s="42" t="s">
        <v>171</v>
      </c>
      <c r="D429" s="42" t="s">
        <v>466</v>
      </c>
      <c r="E429" s="42"/>
      <c r="F429" s="7">
        <f t="shared" ref="F429:K429" si="274">F430+F433+F436+F442+F439+F445+F448</f>
        <v>7875</v>
      </c>
      <c r="G429" s="7">
        <f t="shared" si="274"/>
        <v>7875</v>
      </c>
      <c r="H429" s="7">
        <f t="shared" si="274"/>
        <v>25698.3</v>
      </c>
      <c r="I429" s="7">
        <f t="shared" si="274"/>
        <v>20018.3</v>
      </c>
      <c r="J429" s="7">
        <f t="shared" si="274"/>
        <v>13968.3</v>
      </c>
      <c r="K429" s="7">
        <f t="shared" si="274"/>
        <v>10068.300000000001</v>
      </c>
      <c r="L429" s="7">
        <f t="shared" ref="L429" si="275">L430+L433+L436+L442+L439+L445+L448</f>
        <v>5435</v>
      </c>
      <c r="M429" s="7">
        <f t="shared" si="247"/>
        <v>53.981307668623302</v>
      </c>
    </row>
    <row r="430" spans="1:13" ht="47.25" hidden="1" customHeight="1">
      <c r="A430" s="31" t="s">
        <v>660</v>
      </c>
      <c r="B430" s="42" t="s">
        <v>317</v>
      </c>
      <c r="C430" s="42" t="s">
        <v>171</v>
      </c>
      <c r="D430" s="42" t="s">
        <v>661</v>
      </c>
      <c r="E430" s="42"/>
      <c r="F430" s="7">
        <f>F431</f>
        <v>0</v>
      </c>
      <c r="G430" s="7">
        <f t="shared" ref="G430:L431" si="276">G431</f>
        <v>0</v>
      </c>
      <c r="H430" s="7">
        <f t="shared" si="276"/>
        <v>0</v>
      </c>
      <c r="I430" s="7">
        <f t="shared" si="276"/>
        <v>0</v>
      </c>
      <c r="J430" s="7">
        <f t="shared" si="276"/>
        <v>0</v>
      </c>
      <c r="K430" s="7">
        <f t="shared" si="276"/>
        <v>0</v>
      </c>
      <c r="L430" s="7">
        <f t="shared" si="276"/>
        <v>0</v>
      </c>
      <c r="M430" s="7" t="e">
        <f t="shared" si="247"/>
        <v>#DIV/0!</v>
      </c>
    </row>
    <row r="431" spans="1:13" ht="47.25" hidden="1" customHeight="1">
      <c r="A431" s="31" t="s">
        <v>325</v>
      </c>
      <c r="B431" s="42" t="s">
        <v>317</v>
      </c>
      <c r="C431" s="42" t="s">
        <v>171</v>
      </c>
      <c r="D431" s="42" t="s">
        <v>661</v>
      </c>
      <c r="E431" s="42" t="s">
        <v>326</v>
      </c>
      <c r="F431" s="7">
        <f>F432</f>
        <v>0</v>
      </c>
      <c r="G431" s="7">
        <f t="shared" si="276"/>
        <v>0</v>
      </c>
      <c r="H431" s="7">
        <f t="shared" si="276"/>
        <v>0</v>
      </c>
      <c r="I431" s="7">
        <f t="shared" si="276"/>
        <v>0</v>
      </c>
      <c r="J431" s="7">
        <f t="shared" si="276"/>
        <v>0</v>
      </c>
      <c r="K431" s="7">
        <f t="shared" si="276"/>
        <v>0</v>
      </c>
      <c r="L431" s="7">
        <f t="shared" si="276"/>
        <v>0</v>
      </c>
      <c r="M431" s="7" t="e">
        <f t="shared" si="247"/>
        <v>#DIV/0!</v>
      </c>
    </row>
    <row r="432" spans="1:13" ht="15.75" hidden="1" customHeight="1">
      <c r="A432" s="31" t="s">
        <v>327</v>
      </c>
      <c r="B432" s="42" t="s">
        <v>317</v>
      </c>
      <c r="C432" s="42" t="s">
        <v>171</v>
      </c>
      <c r="D432" s="42" t="s">
        <v>661</v>
      </c>
      <c r="E432" s="42" t="s">
        <v>328</v>
      </c>
      <c r="F432" s="7"/>
      <c r="G432" s="7"/>
      <c r="H432" s="7"/>
      <c r="I432" s="7"/>
      <c r="J432" s="7"/>
      <c r="K432" s="7"/>
      <c r="L432" s="7"/>
      <c r="M432" s="7" t="e">
        <f t="shared" si="247"/>
        <v>#DIV/0!</v>
      </c>
    </row>
    <row r="433" spans="1:13" ht="31.5" customHeight="1">
      <c r="A433" s="31" t="s">
        <v>331</v>
      </c>
      <c r="B433" s="42" t="s">
        <v>317</v>
      </c>
      <c r="C433" s="42" t="s">
        <v>171</v>
      </c>
      <c r="D433" s="42" t="s">
        <v>467</v>
      </c>
      <c r="E433" s="42"/>
      <c r="F433" s="7">
        <f>F434</f>
        <v>0</v>
      </c>
      <c r="G433" s="7">
        <f t="shared" ref="G433:L434" si="277">G434</f>
        <v>0</v>
      </c>
      <c r="H433" s="7">
        <f t="shared" si="277"/>
        <v>15330</v>
      </c>
      <c r="I433" s="7">
        <f t="shared" si="277"/>
        <v>10100</v>
      </c>
      <c r="J433" s="7">
        <f t="shared" si="277"/>
        <v>3600</v>
      </c>
      <c r="K433" s="7">
        <f t="shared" si="277"/>
        <v>200</v>
      </c>
      <c r="L433" s="7">
        <f t="shared" si="277"/>
        <v>0</v>
      </c>
      <c r="M433" s="7">
        <f t="shared" si="247"/>
        <v>0</v>
      </c>
    </row>
    <row r="434" spans="1:13" ht="47.25" customHeight="1">
      <c r="A434" s="31" t="s">
        <v>325</v>
      </c>
      <c r="B434" s="42" t="s">
        <v>317</v>
      </c>
      <c r="C434" s="42" t="s">
        <v>171</v>
      </c>
      <c r="D434" s="42" t="s">
        <v>467</v>
      </c>
      <c r="E434" s="42" t="s">
        <v>326</v>
      </c>
      <c r="F434" s="7">
        <f>F435</f>
        <v>0</v>
      </c>
      <c r="G434" s="7">
        <f t="shared" si="277"/>
        <v>0</v>
      </c>
      <c r="H434" s="7">
        <f t="shared" si="277"/>
        <v>15330</v>
      </c>
      <c r="I434" s="7">
        <f t="shared" si="277"/>
        <v>10100</v>
      </c>
      <c r="J434" s="7">
        <f t="shared" si="277"/>
        <v>3600</v>
      </c>
      <c r="K434" s="7">
        <f t="shared" si="277"/>
        <v>200</v>
      </c>
      <c r="L434" s="7">
        <f t="shared" si="277"/>
        <v>0</v>
      </c>
      <c r="M434" s="7">
        <f t="shared" si="247"/>
        <v>0</v>
      </c>
    </row>
    <row r="435" spans="1:13" ht="15.75" customHeight="1">
      <c r="A435" s="31" t="s">
        <v>327</v>
      </c>
      <c r="B435" s="42" t="s">
        <v>317</v>
      </c>
      <c r="C435" s="42" t="s">
        <v>171</v>
      </c>
      <c r="D435" s="42" t="s">
        <v>467</v>
      </c>
      <c r="E435" s="42" t="s">
        <v>328</v>
      </c>
      <c r="F435" s="7">
        <f>'Прил.№4 ведомств.'!G600</f>
        <v>0</v>
      </c>
      <c r="G435" s="7">
        <f>'Прил.№4 ведомств.'!I600</f>
        <v>0</v>
      </c>
      <c r="H435" s="7">
        <f>'Прил.№4 ведомств.'!J600</f>
        <v>15330</v>
      </c>
      <c r="I435" s="7">
        <f>'Прил.№4 ведомств.'!K600</f>
        <v>10100</v>
      </c>
      <c r="J435" s="7">
        <f>'Прил.№4 ведомств.'!L600</f>
        <v>3600</v>
      </c>
      <c r="K435" s="7">
        <f>'Прил.№4 ведомств.'!M600</f>
        <v>200</v>
      </c>
      <c r="L435" s="7">
        <f>'Прил.№4 ведомств.'!N600</f>
        <v>0</v>
      </c>
      <c r="M435" s="7">
        <f t="shared" si="247"/>
        <v>0</v>
      </c>
    </row>
    <row r="436" spans="1:13" ht="31.5" hidden="1">
      <c r="A436" s="31" t="s">
        <v>333</v>
      </c>
      <c r="B436" s="42" t="s">
        <v>317</v>
      </c>
      <c r="C436" s="42" t="s">
        <v>171</v>
      </c>
      <c r="D436" s="42" t="s">
        <v>468</v>
      </c>
      <c r="E436" s="42"/>
      <c r="F436" s="7">
        <f>F437</f>
        <v>1145</v>
      </c>
      <c r="G436" s="7">
        <f t="shared" ref="G436:L437" si="278">G437</f>
        <v>1145</v>
      </c>
      <c r="H436" s="7">
        <f t="shared" si="278"/>
        <v>0</v>
      </c>
      <c r="I436" s="7">
        <f t="shared" si="278"/>
        <v>0</v>
      </c>
      <c r="J436" s="7">
        <f t="shared" si="278"/>
        <v>0</v>
      </c>
      <c r="K436" s="7">
        <f t="shared" si="278"/>
        <v>0</v>
      </c>
      <c r="L436" s="7">
        <f t="shared" si="278"/>
        <v>0</v>
      </c>
      <c r="M436" s="7" t="e">
        <f t="shared" si="247"/>
        <v>#DIV/0!</v>
      </c>
    </row>
    <row r="437" spans="1:13" ht="47.25" hidden="1">
      <c r="A437" s="31" t="s">
        <v>325</v>
      </c>
      <c r="B437" s="42" t="s">
        <v>317</v>
      </c>
      <c r="C437" s="42" t="s">
        <v>171</v>
      </c>
      <c r="D437" s="42" t="s">
        <v>468</v>
      </c>
      <c r="E437" s="42" t="s">
        <v>326</v>
      </c>
      <c r="F437" s="7">
        <f>F438</f>
        <v>1145</v>
      </c>
      <c r="G437" s="7">
        <f t="shared" si="278"/>
        <v>1145</v>
      </c>
      <c r="H437" s="7">
        <f t="shared" si="278"/>
        <v>0</v>
      </c>
      <c r="I437" s="7">
        <f t="shared" si="278"/>
        <v>0</v>
      </c>
      <c r="J437" s="7">
        <f t="shared" si="278"/>
        <v>0</v>
      </c>
      <c r="K437" s="7">
        <f t="shared" si="278"/>
        <v>0</v>
      </c>
      <c r="L437" s="7">
        <f t="shared" si="278"/>
        <v>0</v>
      </c>
      <c r="M437" s="7" t="e">
        <f t="shared" si="247"/>
        <v>#DIV/0!</v>
      </c>
    </row>
    <row r="438" spans="1:13" ht="15.75" hidden="1">
      <c r="A438" s="31" t="s">
        <v>327</v>
      </c>
      <c r="B438" s="42" t="s">
        <v>317</v>
      </c>
      <c r="C438" s="42" t="s">
        <v>171</v>
      </c>
      <c r="D438" s="42" t="s">
        <v>468</v>
      </c>
      <c r="E438" s="42" t="s">
        <v>328</v>
      </c>
      <c r="F438" s="7">
        <f>'Прил.№4 ведомств.'!G603</f>
        <v>1145</v>
      </c>
      <c r="G438" s="7">
        <f>'Прил.№4 ведомств.'!I603</f>
        <v>1145</v>
      </c>
      <c r="H438" s="7">
        <f>'Прил.№4 ведомств.'!J603</f>
        <v>0</v>
      </c>
      <c r="I438" s="7">
        <f>'Прил.№4 ведомств.'!K603</f>
        <v>0</v>
      </c>
      <c r="J438" s="7">
        <f>'Прил.№4 ведомств.'!L603</f>
        <v>0</v>
      </c>
      <c r="K438" s="7">
        <f>'Прил.№4 ведомств.'!M603</f>
        <v>0</v>
      </c>
      <c r="L438" s="7">
        <f>'Прил.№4 ведомств.'!N603</f>
        <v>0</v>
      </c>
      <c r="M438" s="7" t="e">
        <f t="shared" si="247"/>
        <v>#DIV/0!</v>
      </c>
    </row>
    <row r="439" spans="1:13" ht="47.25">
      <c r="A439" s="31" t="s">
        <v>469</v>
      </c>
      <c r="B439" s="42" t="s">
        <v>317</v>
      </c>
      <c r="C439" s="42" t="s">
        <v>171</v>
      </c>
      <c r="D439" s="42" t="s">
        <v>470</v>
      </c>
      <c r="E439" s="42"/>
      <c r="F439" s="7">
        <f>F440</f>
        <v>6730</v>
      </c>
      <c r="G439" s="7">
        <f t="shared" ref="G439:L440" si="279">G440</f>
        <v>6730</v>
      </c>
      <c r="H439" s="7">
        <f t="shared" si="279"/>
        <v>5168.8</v>
      </c>
      <c r="I439" s="7">
        <f t="shared" si="279"/>
        <v>5168.8</v>
      </c>
      <c r="J439" s="7">
        <f t="shared" si="279"/>
        <v>5168.8</v>
      </c>
      <c r="K439" s="7">
        <f t="shared" si="279"/>
        <v>5168.8</v>
      </c>
      <c r="L439" s="7">
        <f t="shared" si="279"/>
        <v>2100</v>
      </c>
      <c r="M439" s="7">
        <f t="shared" si="247"/>
        <v>40.628385698808231</v>
      </c>
    </row>
    <row r="440" spans="1:13" ht="47.25">
      <c r="A440" s="31" t="s">
        <v>325</v>
      </c>
      <c r="B440" s="42" t="s">
        <v>317</v>
      </c>
      <c r="C440" s="42" t="s">
        <v>171</v>
      </c>
      <c r="D440" s="42" t="s">
        <v>470</v>
      </c>
      <c r="E440" s="42" t="s">
        <v>326</v>
      </c>
      <c r="F440" s="7">
        <f>F441</f>
        <v>6730</v>
      </c>
      <c r="G440" s="7">
        <f t="shared" si="279"/>
        <v>6730</v>
      </c>
      <c r="H440" s="7">
        <f t="shared" si="279"/>
        <v>5168.8</v>
      </c>
      <c r="I440" s="7">
        <f t="shared" si="279"/>
        <v>5168.8</v>
      </c>
      <c r="J440" s="7">
        <f t="shared" si="279"/>
        <v>5168.8</v>
      </c>
      <c r="K440" s="7">
        <f t="shared" si="279"/>
        <v>5168.8</v>
      </c>
      <c r="L440" s="7">
        <f t="shared" si="279"/>
        <v>2100</v>
      </c>
      <c r="M440" s="7">
        <f t="shared" si="247"/>
        <v>40.628385698808231</v>
      </c>
    </row>
    <row r="441" spans="1:13" ht="15.75">
      <c r="A441" s="31" t="s">
        <v>327</v>
      </c>
      <c r="B441" s="42" t="s">
        <v>317</v>
      </c>
      <c r="C441" s="42" t="s">
        <v>171</v>
      </c>
      <c r="D441" s="42" t="s">
        <v>470</v>
      </c>
      <c r="E441" s="42" t="s">
        <v>328</v>
      </c>
      <c r="F441" s="7">
        <f>'Прил.№4 ведомств.'!G606</f>
        <v>6730</v>
      </c>
      <c r="G441" s="7">
        <f>'Прил.№4 ведомств.'!I606</f>
        <v>6730</v>
      </c>
      <c r="H441" s="7">
        <f>'Прил.№4 ведомств.'!J606</f>
        <v>5168.8</v>
      </c>
      <c r="I441" s="7">
        <f>'Прил.№4 ведомств.'!K606</f>
        <v>5168.8</v>
      </c>
      <c r="J441" s="7">
        <f>'Прил.№4 ведомств.'!L606</f>
        <v>5168.8</v>
      </c>
      <c r="K441" s="7">
        <f>'Прил.№4 ведомств.'!M606</f>
        <v>5168.8</v>
      </c>
      <c r="L441" s="7">
        <f>'Прил.№4 ведомств.'!N606</f>
        <v>2100</v>
      </c>
      <c r="M441" s="7">
        <f t="shared" si="247"/>
        <v>40.628385698808231</v>
      </c>
    </row>
    <row r="442" spans="1:13" ht="31.5" hidden="1" customHeight="1">
      <c r="A442" s="31" t="s">
        <v>337</v>
      </c>
      <c r="B442" s="42" t="s">
        <v>317</v>
      </c>
      <c r="C442" s="42" t="s">
        <v>171</v>
      </c>
      <c r="D442" s="42" t="s">
        <v>471</v>
      </c>
      <c r="E442" s="42"/>
      <c r="F442" s="7">
        <f>F443</f>
        <v>0</v>
      </c>
      <c r="G442" s="7">
        <f t="shared" ref="G442:L443" si="280">G443</f>
        <v>0</v>
      </c>
      <c r="H442" s="7">
        <f t="shared" si="280"/>
        <v>500</v>
      </c>
      <c r="I442" s="7">
        <f t="shared" si="280"/>
        <v>50</v>
      </c>
      <c r="J442" s="7">
        <f t="shared" si="280"/>
        <v>500</v>
      </c>
      <c r="K442" s="7">
        <f t="shared" si="280"/>
        <v>0</v>
      </c>
      <c r="L442" s="7">
        <f t="shared" si="280"/>
        <v>0</v>
      </c>
      <c r="M442" s="7" t="e">
        <f t="shared" si="247"/>
        <v>#DIV/0!</v>
      </c>
    </row>
    <row r="443" spans="1:13" ht="47.25" hidden="1" customHeight="1">
      <c r="A443" s="31" t="s">
        <v>325</v>
      </c>
      <c r="B443" s="42" t="s">
        <v>317</v>
      </c>
      <c r="C443" s="42" t="s">
        <v>171</v>
      </c>
      <c r="D443" s="42" t="s">
        <v>471</v>
      </c>
      <c r="E443" s="42" t="s">
        <v>326</v>
      </c>
      <c r="F443" s="7">
        <f>F444</f>
        <v>0</v>
      </c>
      <c r="G443" s="7">
        <f t="shared" si="280"/>
        <v>0</v>
      </c>
      <c r="H443" s="7">
        <f t="shared" si="280"/>
        <v>500</v>
      </c>
      <c r="I443" s="7">
        <f t="shared" si="280"/>
        <v>50</v>
      </c>
      <c r="J443" s="7">
        <f t="shared" si="280"/>
        <v>500</v>
      </c>
      <c r="K443" s="7">
        <f t="shared" si="280"/>
        <v>0</v>
      </c>
      <c r="L443" s="7">
        <f t="shared" si="280"/>
        <v>0</v>
      </c>
      <c r="M443" s="7" t="e">
        <f t="shared" si="247"/>
        <v>#DIV/0!</v>
      </c>
    </row>
    <row r="444" spans="1:13" ht="15.75" hidden="1" customHeight="1">
      <c r="A444" s="31" t="s">
        <v>327</v>
      </c>
      <c r="B444" s="42" t="s">
        <v>317</v>
      </c>
      <c r="C444" s="42" t="s">
        <v>171</v>
      </c>
      <c r="D444" s="42" t="s">
        <v>471</v>
      </c>
      <c r="E444" s="42" t="s">
        <v>328</v>
      </c>
      <c r="F444" s="7">
        <f>'Прил.№4 ведомств.'!G609</f>
        <v>0</v>
      </c>
      <c r="G444" s="7">
        <f>'Прил.№4 ведомств.'!I609</f>
        <v>0</v>
      </c>
      <c r="H444" s="7">
        <f>'Прил.№4 ведомств.'!J609</f>
        <v>500</v>
      </c>
      <c r="I444" s="7">
        <f>'Прил.№4 ведомств.'!K609</f>
        <v>50</v>
      </c>
      <c r="J444" s="7">
        <f>'Прил.№4 ведомств.'!L609</f>
        <v>500</v>
      </c>
      <c r="K444" s="7">
        <f>'Прил.№4 ведомств.'!M609</f>
        <v>0</v>
      </c>
      <c r="L444" s="7">
        <f>'Прил.№4 ведомств.'!N609</f>
        <v>0</v>
      </c>
      <c r="M444" s="7" t="e">
        <f t="shared" si="247"/>
        <v>#DIV/0!</v>
      </c>
    </row>
    <row r="445" spans="1:13" ht="42" customHeight="1">
      <c r="A445" s="70" t="s">
        <v>871</v>
      </c>
      <c r="B445" s="21" t="s">
        <v>317</v>
      </c>
      <c r="C445" s="21" t="s">
        <v>171</v>
      </c>
      <c r="D445" s="21" t="s">
        <v>874</v>
      </c>
      <c r="E445" s="21"/>
      <c r="F445" s="7">
        <f>F446</f>
        <v>0</v>
      </c>
      <c r="G445" s="7">
        <f t="shared" ref="G445:L446" si="281">G446</f>
        <v>0</v>
      </c>
      <c r="H445" s="7">
        <f t="shared" si="281"/>
        <v>3468.9</v>
      </c>
      <c r="I445" s="7">
        <f t="shared" si="281"/>
        <v>3468.9</v>
      </c>
      <c r="J445" s="7">
        <f t="shared" si="281"/>
        <v>3468.9</v>
      </c>
      <c r="K445" s="7">
        <f t="shared" si="281"/>
        <v>3468.9</v>
      </c>
      <c r="L445" s="7">
        <f t="shared" si="281"/>
        <v>3000</v>
      </c>
      <c r="M445" s="7">
        <f t="shared" si="247"/>
        <v>86.482746692034937</v>
      </c>
    </row>
    <row r="446" spans="1:13" ht="46.5" customHeight="1">
      <c r="A446" s="31" t="s">
        <v>325</v>
      </c>
      <c r="B446" s="21" t="s">
        <v>317</v>
      </c>
      <c r="C446" s="21" t="s">
        <v>171</v>
      </c>
      <c r="D446" s="21" t="s">
        <v>874</v>
      </c>
      <c r="E446" s="21" t="s">
        <v>326</v>
      </c>
      <c r="F446" s="7">
        <f>F447</f>
        <v>0</v>
      </c>
      <c r="G446" s="7">
        <f t="shared" si="281"/>
        <v>0</v>
      </c>
      <c r="H446" s="7">
        <f t="shared" si="281"/>
        <v>3468.9</v>
      </c>
      <c r="I446" s="7">
        <f t="shared" si="281"/>
        <v>3468.9</v>
      </c>
      <c r="J446" s="7">
        <f t="shared" si="281"/>
        <v>3468.9</v>
      </c>
      <c r="K446" s="7">
        <f t="shared" si="281"/>
        <v>3468.9</v>
      </c>
      <c r="L446" s="7">
        <f t="shared" si="281"/>
        <v>3000</v>
      </c>
      <c r="M446" s="7">
        <f t="shared" si="247"/>
        <v>86.482746692034937</v>
      </c>
    </row>
    <row r="447" spans="1:13" ht="15.75" customHeight="1">
      <c r="A447" s="258" t="s">
        <v>327</v>
      </c>
      <c r="B447" s="21" t="s">
        <v>317</v>
      </c>
      <c r="C447" s="21" t="s">
        <v>171</v>
      </c>
      <c r="D447" s="21" t="s">
        <v>874</v>
      </c>
      <c r="E447" s="21" t="s">
        <v>328</v>
      </c>
      <c r="F447" s="7">
        <f>'Прил.№4 ведомств.'!G612</f>
        <v>0</v>
      </c>
      <c r="G447" s="7">
        <f>'Прил.№4 ведомств.'!I612</f>
        <v>0</v>
      </c>
      <c r="H447" s="7">
        <f>'Прил.№4 ведомств.'!J612</f>
        <v>3468.9</v>
      </c>
      <c r="I447" s="7">
        <f>'Прил.№4 ведомств.'!K612</f>
        <v>3468.9</v>
      </c>
      <c r="J447" s="7">
        <f>'Прил.№4 ведомств.'!L612</f>
        <v>3468.9</v>
      </c>
      <c r="K447" s="7">
        <f>'Прил.№4 ведомств.'!M612</f>
        <v>3468.9</v>
      </c>
      <c r="L447" s="7">
        <f>'Прил.№4 ведомств.'!N612</f>
        <v>3000</v>
      </c>
      <c r="M447" s="7">
        <f t="shared" si="247"/>
        <v>86.482746692034937</v>
      </c>
    </row>
    <row r="448" spans="1:13" ht="48.75" customHeight="1">
      <c r="A448" s="70" t="s">
        <v>880</v>
      </c>
      <c r="B448" s="21" t="s">
        <v>317</v>
      </c>
      <c r="C448" s="21" t="s">
        <v>171</v>
      </c>
      <c r="D448" s="21" t="s">
        <v>875</v>
      </c>
      <c r="E448" s="21"/>
      <c r="F448" s="7">
        <f>F449</f>
        <v>0</v>
      </c>
      <c r="G448" s="7">
        <f t="shared" ref="G448:L449" si="282">G449</f>
        <v>0</v>
      </c>
      <c r="H448" s="7">
        <f t="shared" si="282"/>
        <v>1230.5999999999999</v>
      </c>
      <c r="I448" s="7">
        <f t="shared" si="282"/>
        <v>1230.5999999999999</v>
      </c>
      <c r="J448" s="7">
        <f t="shared" si="282"/>
        <v>1230.5999999999999</v>
      </c>
      <c r="K448" s="7">
        <f t="shared" si="282"/>
        <v>1230.5999999999999</v>
      </c>
      <c r="L448" s="7">
        <f t="shared" si="282"/>
        <v>335</v>
      </c>
      <c r="M448" s="7">
        <f t="shared" si="247"/>
        <v>27.22249309280026</v>
      </c>
    </row>
    <row r="449" spans="1:13" ht="49.5" customHeight="1">
      <c r="A449" s="31" t="s">
        <v>325</v>
      </c>
      <c r="B449" s="21" t="s">
        <v>317</v>
      </c>
      <c r="C449" s="21" t="s">
        <v>171</v>
      </c>
      <c r="D449" s="21" t="s">
        <v>875</v>
      </c>
      <c r="E449" s="21" t="s">
        <v>326</v>
      </c>
      <c r="F449" s="7">
        <f>F450</f>
        <v>0</v>
      </c>
      <c r="G449" s="7">
        <f t="shared" si="282"/>
        <v>0</v>
      </c>
      <c r="H449" s="7">
        <f t="shared" si="282"/>
        <v>1230.5999999999999</v>
      </c>
      <c r="I449" s="7">
        <f t="shared" si="282"/>
        <v>1230.5999999999999</v>
      </c>
      <c r="J449" s="7">
        <f t="shared" si="282"/>
        <v>1230.5999999999999</v>
      </c>
      <c r="K449" s="7">
        <f t="shared" si="282"/>
        <v>1230.5999999999999</v>
      </c>
      <c r="L449" s="7">
        <f t="shared" si="282"/>
        <v>335</v>
      </c>
      <c r="M449" s="7">
        <f t="shared" si="247"/>
        <v>27.22249309280026</v>
      </c>
    </row>
    <row r="450" spans="1:13" ht="15.75" customHeight="1">
      <c r="A450" s="258" t="s">
        <v>327</v>
      </c>
      <c r="B450" s="21" t="s">
        <v>317</v>
      </c>
      <c r="C450" s="21" t="s">
        <v>171</v>
      </c>
      <c r="D450" s="21" t="s">
        <v>875</v>
      </c>
      <c r="E450" s="21" t="s">
        <v>328</v>
      </c>
      <c r="F450" s="7">
        <f>'Прил.№4 ведомств.'!G615</f>
        <v>0</v>
      </c>
      <c r="G450" s="7">
        <f>'Прил.№4 ведомств.'!I615</f>
        <v>0</v>
      </c>
      <c r="H450" s="7">
        <f>'Прил.№4 ведомств.'!J615</f>
        <v>1230.5999999999999</v>
      </c>
      <c r="I450" s="7">
        <f>'Прил.№4 ведомств.'!K615</f>
        <v>1230.5999999999999</v>
      </c>
      <c r="J450" s="7">
        <f>'Прил.№4 ведомств.'!L615</f>
        <v>1230.5999999999999</v>
      </c>
      <c r="K450" s="7">
        <f>'Прил.№4 ведомств.'!M615</f>
        <v>1230.5999999999999</v>
      </c>
      <c r="L450" s="7">
        <f>'Прил.№4 ведомств.'!N615</f>
        <v>335</v>
      </c>
      <c r="M450" s="7">
        <f t="shared" si="247"/>
        <v>27.22249309280026</v>
      </c>
    </row>
    <row r="451" spans="1:13" ht="15.75">
      <c r="A451" s="31" t="s">
        <v>174</v>
      </c>
      <c r="B451" s="42" t="s">
        <v>317</v>
      </c>
      <c r="C451" s="42" t="s">
        <v>171</v>
      </c>
      <c r="D451" s="42" t="s">
        <v>175</v>
      </c>
      <c r="E451" s="42"/>
      <c r="F451" s="7">
        <f>F452</f>
        <v>61206</v>
      </c>
      <c r="G451" s="7">
        <f t="shared" ref="G451:L451" si="283">G452</f>
        <v>61206</v>
      </c>
      <c r="H451" s="7">
        <f t="shared" si="283"/>
        <v>61206</v>
      </c>
      <c r="I451" s="7">
        <f t="shared" si="283"/>
        <v>61206</v>
      </c>
      <c r="J451" s="7">
        <f t="shared" si="283"/>
        <v>61206</v>
      </c>
      <c r="K451" s="7">
        <f t="shared" si="283"/>
        <v>66941.600000000006</v>
      </c>
      <c r="L451" s="7">
        <f t="shared" si="283"/>
        <v>20075.8</v>
      </c>
      <c r="M451" s="7">
        <f t="shared" si="247"/>
        <v>29.990021152765991</v>
      </c>
    </row>
    <row r="452" spans="1:13" ht="31.5">
      <c r="A452" s="31" t="s">
        <v>238</v>
      </c>
      <c r="B452" s="42" t="s">
        <v>317</v>
      </c>
      <c r="C452" s="42" t="s">
        <v>171</v>
      </c>
      <c r="D452" s="42" t="s">
        <v>239</v>
      </c>
      <c r="E452" s="42"/>
      <c r="F452" s="7">
        <f>F453+F456+F459+F462+F465</f>
        <v>61206</v>
      </c>
      <c r="G452" s="7">
        <f t="shared" ref="G452:K452" si="284">G453+G456+G459+G462+G465</f>
        <v>61206</v>
      </c>
      <c r="H452" s="7">
        <f t="shared" si="284"/>
        <v>61206</v>
      </c>
      <c r="I452" s="7">
        <f t="shared" si="284"/>
        <v>61206</v>
      </c>
      <c r="J452" s="7">
        <f t="shared" si="284"/>
        <v>61206</v>
      </c>
      <c r="K452" s="7">
        <f t="shared" si="284"/>
        <v>66941.600000000006</v>
      </c>
      <c r="L452" s="7">
        <f t="shared" ref="L452" si="285">L453+L456+L459+L462+L465</f>
        <v>20075.8</v>
      </c>
      <c r="M452" s="7">
        <f t="shared" si="247"/>
        <v>29.990021152765991</v>
      </c>
    </row>
    <row r="453" spans="1:13" ht="63">
      <c r="A453" s="47" t="s">
        <v>342</v>
      </c>
      <c r="B453" s="42" t="s">
        <v>317</v>
      </c>
      <c r="C453" s="42" t="s">
        <v>171</v>
      </c>
      <c r="D453" s="42" t="s">
        <v>343</v>
      </c>
      <c r="E453" s="42"/>
      <c r="F453" s="7">
        <f>F454</f>
        <v>310.2</v>
      </c>
      <c r="G453" s="7">
        <f t="shared" ref="G453:L454" si="286">G454</f>
        <v>310.2</v>
      </c>
      <c r="H453" s="7">
        <f t="shared" si="286"/>
        <v>310.2</v>
      </c>
      <c r="I453" s="7">
        <f t="shared" si="286"/>
        <v>310.2</v>
      </c>
      <c r="J453" s="7">
        <f t="shared" si="286"/>
        <v>310.2</v>
      </c>
      <c r="K453" s="7">
        <f t="shared" si="286"/>
        <v>310.2</v>
      </c>
      <c r="L453" s="7">
        <f t="shared" si="286"/>
        <v>86.1</v>
      </c>
      <c r="M453" s="7">
        <f t="shared" si="247"/>
        <v>27.756286266924562</v>
      </c>
    </row>
    <row r="454" spans="1:13" ht="47.25">
      <c r="A454" s="31" t="s">
        <v>325</v>
      </c>
      <c r="B454" s="42" t="s">
        <v>317</v>
      </c>
      <c r="C454" s="42" t="s">
        <v>171</v>
      </c>
      <c r="D454" s="42" t="s">
        <v>343</v>
      </c>
      <c r="E454" s="42" t="s">
        <v>326</v>
      </c>
      <c r="F454" s="7">
        <f>F455</f>
        <v>310.2</v>
      </c>
      <c r="G454" s="7">
        <f t="shared" si="286"/>
        <v>310.2</v>
      </c>
      <c r="H454" s="7">
        <f t="shared" si="286"/>
        <v>310.2</v>
      </c>
      <c r="I454" s="7">
        <f t="shared" si="286"/>
        <v>310.2</v>
      </c>
      <c r="J454" s="7">
        <f t="shared" si="286"/>
        <v>310.2</v>
      </c>
      <c r="K454" s="7">
        <f t="shared" si="286"/>
        <v>310.2</v>
      </c>
      <c r="L454" s="7">
        <f t="shared" si="286"/>
        <v>86.1</v>
      </c>
      <c r="M454" s="7">
        <f t="shared" si="247"/>
        <v>27.756286266924562</v>
      </c>
    </row>
    <row r="455" spans="1:13" ht="15.75">
      <c r="A455" s="31" t="s">
        <v>327</v>
      </c>
      <c r="B455" s="42" t="s">
        <v>317</v>
      </c>
      <c r="C455" s="42" t="s">
        <v>171</v>
      </c>
      <c r="D455" s="42" t="s">
        <v>343</v>
      </c>
      <c r="E455" s="42" t="s">
        <v>328</v>
      </c>
      <c r="F455" s="7">
        <f>'Прил.№4 ведомств.'!G623</f>
        <v>310.2</v>
      </c>
      <c r="G455" s="7">
        <f>'Прил.№4 ведомств.'!I623</f>
        <v>310.2</v>
      </c>
      <c r="H455" s="7">
        <f>'Прил.№4 ведомств.'!J623</f>
        <v>310.2</v>
      </c>
      <c r="I455" s="7">
        <f>'Прил.№4 ведомств.'!K623</f>
        <v>310.2</v>
      </c>
      <c r="J455" s="7">
        <f>'Прил.№4 ведомств.'!L623</f>
        <v>310.2</v>
      </c>
      <c r="K455" s="7">
        <f>'Прил.№4 ведомств.'!M623</f>
        <v>310.2</v>
      </c>
      <c r="L455" s="7">
        <f>'Прил.№4 ведомств.'!N623</f>
        <v>86.1</v>
      </c>
      <c r="M455" s="7">
        <f t="shared" si="247"/>
        <v>27.756286266924562</v>
      </c>
    </row>
    <row r="456" spans="1:13" ht="63">
      <c r="A456" s="47" t="s">
        <v>474</v>
      </c>
      <c r="B456" s="42" t="s">
        <v>317</v>
      </c>
      <c r="C456" s="42" t="s">
        <v>171</v>
      </c>
      <c r="D456" s="42" t="s">
        <v>345</v>
      </c>
      <c r="E456" s="42"/>
      <c r="F456" s="7">
        <f>F457</f>
        <v>1696.8</v>
      </c>
      <c r="G456" s="7">
        <f t="shared" ref="G456:L457" si="287">G457</f>
        <v>1696.8</v>
      </c>
      <c r="H456" s="7">
        <f t="shared" si="287"/>
        <v>1696.8</v>
      </c>
      <c r="I456" s="7">
        <f t="shared" si="287"/>
        <v>1696.8</v>
      </c>
      <c r="J456" s="7">
        <f t="shared" si="287"/>
        <v>1696.8</v>
      </c>
      <c r="K456" s="7">
        <f t="shared" si="287"/>
        <v>1755.8</v>
      </c>
      <c r="L456" s="7">
        <f t="shared" si="287"/>
        <v>293.2</v>
      </c>
      <c r="M456" s="7">
        <f t="shared" si="247"/>
        <v>16.698940653833009</v>
      </c>
    </row>
    <row r="457" spans="1:13" ht="47.25">
      <c r="A457" s="31" t="s">
        <v>325</v>
      </c>
      <c r="B457" s="42" t="s">
        <v>317</v>
      </c>
      <c r="C457" s="42" t="s">
        <v>171</v>
      </c>
      <c r="D457" s="42" t="s">
        <v>345</v>
      </c>
      <c r="E457" s="42" t="s">
        <v>326</v>
      </c>
      <c r="F457" s="7">
        <f>F458</f>
        <v>1696.8</v>
      </c>
      <c r="G457" s="7">
        <f t="shared" si="287"/>
        <v>1696.8</v>
      </c>
      <c r="H457" s="7">
        <f t="shared" si="287"/>
        <v>1696.8</v>
      </c>
      <c r="I457" s="7">
        <f t="shared" si="287"/>
        <v>1696.8</v>
      </c>
      <c r="J457" s="7">
        <f t="shared" si="287"/>
        <v>1696.8</v>
      </c>
      <c r="K457" s="7">
        <f t="shared" si="287"/>
        <v>1755.8</v>
      </c>
      <c r="L457" s="7">
        <f t="shared" si="287"/>
        <v>293.2</v>
      </c>
      <c r="M457" s="7">
        <f t="shared" si="247"/>
        <v>16.698940653833009</v>
      </c>
    </row>
    <row r="458" spans="1:13" ht="15.75">
      <c r="A458" s="31" t="s">
        <v>327</v>
      </c>
      <c r="B458" s="42" t="s">
        <v>317</v>
      </c>
      <c r="C458" s="42" t="s">
        <v>171</v>
      </c>
      <c r="D458" s="42" t="s">
        <v>345</v>
      </c>
      <c r="E458" s="42" t="s">
        <v>328</v>
      </c>
      <c r="F458" s="7">
        <f>'Прил.№4 ведомств.'!G626</f>
        <v>1696.8</v>
      </c>
      <c r="G458" s="7">
        <f>'Прил.№4 ведомств.'!I626</f>
        <v>1696.8</v>
      </c>
      <c r="H458" s="7">
        <f>'Прил.№4 ведомств.'!J626</f>
        <v>1696.8</v>
      </c>
      <c r="I458" s="7">
        <f>'Прил.№4 ведомств.'!K626</f>
        <v>1696.8</v>
      </c>
      <c r="J458" s="7">
        <f>'Прил.№4 ведомств.'!L626</f>
        <v>1696.8</v>
      </c>
      <c r="K458" s="7">
        <f>'Прил.№4 ведомств.'!M626</f>
        <v>1755.8</v>
      </c>
      <c r="L458" s="7">
        <f>'Прил.№4 ведомств.'!N626</f>
        <v>293.2</v>
      </c>
      <c r="M458" s="7">
        <f t="shared" si="247"/>
        <v>16.698940653833009</v>
      </c>
    </row>
    <row r="459" spans="1:13" ht="94.5">
      <c r="A459" s="33" t="s">
        <v>475</v>
      </c>
      <c r="B459" s="42" t="s">
        <v>317</v>
      </c>
      <c r="C459" s="42" t="s">
        <v>171</v>
      </c>
      <c r="D459" s="42" t="s">
        <v>476</v>
      </c>
      <c r="E459" s="42"/>
      <c r="F459" s="7">
        <f>F460</f>
        <v>56320</v>
      </c>
      <c r="G459" s="7">
        <f t="shared" ref="G459:L460" si="288">G460</f>
        <v>56320</v>
      </c>
      <c r="H459" s="7">
        <f t="shared" si="288"/>
        <v>56320</v>
      </c>
      <c r="I459" s="7">
        <f t="shared" si="288"/>
        <v>56320</v>
      </c>
      <c r="J459" s="7">
        <f t="shared" si="288"/>
        <v>56320</v>
      </c>
      <c r="K459" s="7">
        <f t="shared" si="288"/>
        <v>62045.599999999999</v>
      </c>
      <c r="L459" s="7">
        <f t="shared" si="288"/>
        <v>19010</v>
      </c>
      <c r="M459" s="7">
        <f t="shared" si="247"/>
        <v>30.638756011707518</v>
      </c>
    </row>
    <row r="460" spans="1:13" ht="47.25">
      <c r="A460" s="31" t="s">
        <v>325</v>
      </c>
      <c r="B460" s="42" t="s">
        <v>317</v>
      </c>
      <c r="C460" s="42" t="s">
        <v>171</v>
      </c>
      <c r="D460" s="42" t="s">
        <v>476</v>
      </c>
      <c r="E460" s="42" t="s">
        <v>326</v>
      </c>
      <c r="F460" s="7">
        <f>F461</f>
        <v>56320</v>
      </c>
      <c r="G460" s="7">
        <f t="shared" si="288"/>
        <v>56320</v>
      </c>
      <c r="H460" s="7">
        <f t="shared" si="288"/>
        <v>56320</v>
      </c>
      <c r="I460" s="7">
        <f t="shared" si="288"/>
        <v>56320</v>
      </c>
      <c r="J460" s="7">
        <f t="shared" si="288"/>
        <v>56320</v>
      </c>
      <c r="K460" s="7">
        <f t="shared" si="288"/>
        <v>62045.599999999999</v>
      </c>
      <c r="L460" s="7">
        <f t="shared" si="288"/>
        <v>19010</v>
      </c>
      <c r="M460" s="7">
        <f t="shared" si="247"/>
        <v>30.638756011707518</v>
      </c>
    </row>
    <row r="461" spans="1:13" ht="15.75">
      <c r="A461" s="31" t="s">
        <v>327</v>
      </c>
      <c r="B461" s="42" t="s">
        <v>317</v>
      </c>
      <c r="C461" s="42" t="s">
        <v>171</v>
      </c>
      <c r="D461" s="42" t="s">
        <v>476</v>
      </c>
      <c r="E461" s="42" t="s">
        <v>328</v>
      </c>
      <c r="F461" s="7">
        <f>'Прил.№4 ведомств.'!G629</f>
        <v>56320</v>
      </c>
      <c r="G461" s="7">
        <f>'Прил.№4 ведомств.'!I629</f>
        <v>56320</v>
      </c>
      <c r="H461" s="7">
        <f>'Прил.№4 ведомств.'!J629</f>
        <v>56320</v>
      </c>
      <c r="I461" s="7">
        <f>'Прил.№4 ведомств.'!K629</f>
        <v>56320</v>
      </c>
      <c r="J461" s="7">
        <f>'Прил.№4 ведомств.'!L629</f>
        <v>56320</v>
      </c>
      <c r="K461" s="7">
        <f>'Прил.№4 ведомств.'!M629</f>
        <v>62045.599999999999</v>
      </c>
      <c r="L461" s="7">
        <f>'Прил.№4 ведомств.'!N629</f>
        <v>19010</v>
      </c>
      <c r="M461" s="7">
        <f t="shared" ref="M461:M524" si="289">L461/K461*100</f>
        <v>30.638756011707518</v>
      </c>
    </row>
    <row r="462" spans="1:13" ht="94.5">
      <c r="A462" s="47" t="s">
        <v>346</v>
      </c>
      <c r="B462" s="42" t="s">
        <v>317</v>
      </c>
      <c r="C462" s="42" t="s">
        <v>171</v>
      </c>
      <c r="D462" s="21" t="s">
        <v>347</v>
      </c>
      <c r="E462" s="42"/>
      <c r="F462" s="7">
        <f>F463</f>
        <v>2879</v>
      </c>
      <c r="G462" s="7">
        <f t="shared" ref="G462:L463" si="290">G463</f>
        <v>2879</v>
      </c>
      <c r="H462" s="7">
        <f t="shared" si="290"/>
        <v>2879</v>
      </c>
      <c r="I462" s="7">
        <f t="shared" si="290"/>
        <v>2879</v>
      </c>
      <c r="J462" s="7">
        <f t="shared" si="290"/>
        <v>2879</v>
      </c>
      <c r="K462" s="7">
        <f t="shared" si="290"/>
        <v>2830</v>
      </c>
      <c r="L462" s="7">
        <f t="shared" si="290"/>
        <v>686.5</v>
      </c>
      <c r="M462" s="7">
        <f t="shared" si="289"/>
        <v>24.257950530035334</v>
      </c>
    </row>
    <row r="463" spans="1:13" ht="47.25">
      <c r="A463" s="31" t="s">
        <v>325</v>
      </c>
      <c r="B463" s="42" t="s">
        <v>317</v>
      </c>
      <c r="C463" s="42" t="s">
        <v>171</v>
      </c>
      <c r="D463" s="21" t="s">
        <v>347</v>
      </c>
      <c r="E463" s="42" t="s">
        <v>326</v>
      </c>
      <c r="F463" s="7">
        <f>F464</f>
        <v>2879</v>
      </c>
      <c r="G463" s="7">
        <f t="shared" si="290"/>
        <v>2879</v>
      </c>
      <c r="H463" s="7">
        <f t="shared" si="290"/>
        <v>2879</v>
      </c>
      <c r="I463" s="7">
        <f t="shared" si="290"/>
        <v>2879</v>
      </c>
      <c r="J463" s="7">
        <f t="shared" si="290"/>
        <v>2879</v>
      </c>
      <c r="K463" s="7">
        <f t="shared" si="290"/>
        <v>2830</v>
      </c>
      <c r="L463" s="7">
        <f t="shared" si="290"/>
        <v>686.5</v>
      </c>
      <c r="M463" s="7">
        <f t="shared" si="289"/>
        <v>24.257950530035334</v>
      </c>
    </row>
    <row r="464" spans="1:13" ht="15.75">
      <c r="A464" s="31" t="s">
        <v>327</v>
      </c>
      <c r="B464" s="42" t="s">
        <v>317</v>
      </c>
      <c r="C464" s="42" t="s">
        <v>171</v>
      </c>
      <c r="D464" s="21" t="s">
        <v>347</v>
      </c>
      <c r="E464" s="42" t="s">
        <v>328</v>
      </c>
      <c r="F464" s="7">
        <f>'Прил.№4 ведомств.'!G632</f>
        <v>2879</v>
      </c>
      <c r="G464" s="7">
        <f>'Прил.№4 ведомств.'!I632</f>
        <v>2879</v>
      </c>
      <c r="H464" s="7">
        <f>'Прил.№4 ведомств.'!J632</f>
        <v>2879</v>
      </c>
      <c r="I464" s="7">
        <f>'Прил.№4 ведомств.'!K632</f>
        <v>2879</v>
      </c>
      <c r="J464" s="7">
        <f>'Прил.№4 ведомств.'!L632</f>
        <v>2879</v>
      </c>
      <c r="K464" s="7">
        <f>'Прил.№4 ведомств.'!M632</f>
        <v>2830</v>
      </c>
      <c r="L464" s="7">
        <f>'Прил.№4 ведомств.'!N632</f>
        <v>686.5</v>
      </c>
      <c r="M464" s="7">
        <f t="shared" si="289"/>
        <v>24.257950530035334</v>
      </c>
    </row>
    <row r="465" spans="1:13" ht="141.75" hidden="1" customHeight="1">
      <c r="A465" s="26" t="s">
        <v>477</v>
      </c>
      <c r="B465" s="42" t="s">
        <v>317</v>
      </c>
      <c r="C465" s="42" t="s">
        <v>171</v>
      </c>
      <c r="D465" s="21" t="s">
        <v>478</v>
      </c>
      <c r="E465" s="42"/>
      <c r="F465" s="7">
        <f>F466</f>
        <v>0</v>
      </c>
      <c r="G465" s="7">
        <f t="shared" ref="G465:L466" si="291">G466</f>
        <v>0</v>
      </c>
      <c r="H465" s="7">
        <f t="shared" si="291"/>
        <v>0</v>
      </c>
      <c r="I465" s="7">
        <f t="shared" si="291"/>
        <v>0</v>
      </c>
      <c r="J465" s="7">
        <f t="shared" si="291"/>
        <v>0</v>
      </c>
      <c r="K465" s="7">
        <f t="shared" si="291"/>
        <v>0</v>
      </c>
      <c r="L465" s="7">
        <f t="shared" si="291"/>
        <v>0</v>
      </c>
      <c r="M465" s="4" t="e">
        <f t="shared" si="289"/>
        <v>#DIV/0!</v>
      </c>
    </row>
    <row r="466" spans="1:13" ht="47.25" hidden="1" customHeight="1">
      <c r="A466" s="26" t="s">
        <v>325</v>
      </c>
      <c r="B466" s="42" t="s">
        <v>317</v>
      </c>
      <c r="C466" s="42" t="s">
        <v>171</v>
      </c>
      <c r="D466" s="21" t="s">
        <v>478</v>
      </c>
      <c r="E466" s="42" t="s">
        <v>326</v>
      </c>
      <c r="F466" s="7">
        <f>F467</f>
        <v>0</v>
      </c>
      <c r="G466" s="7">
        <f t="shared" si="291"/>
        <v>0</v>
      </c>
      <c r="H466" s="7">
        <f t="shared" si="291"/>
        <v>0</v>
      </c>
      <c r="I466" s="7">
        <f t="shared" si="291"/>
        <v>0</v>
      </c>
      <c r="J466" s="7">
        <f t="shared" si="291"/>
        <v>0</v>
      </c>
      <c r="K466" s="7">
        <f t="shared" si="291"/>
        <v>0</v>
      </c>
      <c r="L466" s="7">
        <f t="shared" si="291"/>
        <v>0</v>
      </c>
      <c r="M466" s="4" t="e">
        <f t="shared" si="289"/>
        <v>#DIV/0!</v>
      </c>
    </row>
    <row r="467" spans="1:13" ht="15.75" hidden="1" customHeight="1">
      <c r="A467" s="26" t="s">
        <v>327</v>
      </c>
      <c r="B467" s="42" t="s">
        <v>317</v>
      </c>
      <c r="C467" s="42" t="s">
        <v>171</v>
      </c>
      <c r="D467" s="21" t="s">
        <v>478</v>
      </c>
      <c r="E467" s="42" t="s">
        <v>328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4" t="e">
        <f t="shared" si="289"/>
        <v>#DIV/0!</v>
      </c>
    </row>
    <row r="468" spans="1:13" ht="15.75">
      <c r="A468" s="43" t="s">
        <v>479</v>
      </c>
      <c r="B468" s="8" t="s">
        <v>317</v>
      </c>
      <c r="C468" s="8" t="s">
        <v>266</v>
      </c>
      <c r="D468" s="8"/>
      <c r="E468" s="8"/>
      <c r="F468" s="4">
        <f t="shared" ref="F468:K468" si="292">F469+F513</f>
        <v>130684.4</v>
      </c>
      <c r="G468" s="4">
        <f t="shared" si="292"/>
        <v>129899.26666666666</v>
      </c>
      <c r="H468" s="4">
        <f t="shared" si="292"/>
        <v>135586.40000000002</v>
      </c>
      <c r="I468" s="4">
        <f t="shared" si="292"/>
        <v>132510.29999999999</v>
      </c>
      <c r="J468" s="4">
        <f t="shared" si="292"/>
        <v>131125.70000000001</v>
      </c>
      <c r="K468" s="4">
        <f t="shared" si="292"/>
        <v>127073.4</v>
      </c>
      <c r="L468" s="4">
        <f t="shared" ref="L468" si="293">L469+L513</f>
        <v>40216.199999999997</v>
      </c>
      <c r="M468" s="4">
        <f t="shared" si="289"/>
        <v>31.648008159063973</v>
      </c>
    </row>
    <row r="469" spans="1:13" ht="47.25">
      <c r="A469" s="31" t="s">
        <v>480</v>
      </c>
      <c r="B469" s="42" t="s">
        <v>317</v>
      </c>
      <c r="C469" s="42" t="s">
        <v>266</v>
      </c>
      <c r="D469" s="42" t="s">
        <v>460</v>
      </c>
      <c r="E469" s="42"/>
      <c r="F469" s="7">
        <f>F470+F474</f>
        <v>40826.6</v>
      </c>
      <c r="G469" s="7">
        <f t="shared" ref="G469:K469" si="294">G470+G474</f>
        <v>40041.466666666667</v>
      </c>
      <c r="H469" s="7">
        <f t="shared" si="294"/>
        <v>45728.600000000006</v>
      </c>
      <c r="I469" s="7">
        <f t="shared" si="294"/>
        <v>42652.5</v>
      </c>
      <c r="J469" s="7">
        <f t="shared" si="294"/>
        <v>41267.9</v>
      </c>
      <c r="K469" s="7">
        <f t="shared" si="294"/>
        <v>37506.199999999997</v>
      </c>
      <c r="L469" s="7">
        <f t="shared" ref="L469" si="295">L470+L474</f>
        <v>14652.1</v>
      </c>
      <c r="M469" s="7">
        <f t="shared" si="289"/>
        <v>39.06580778644598</v>
      </c>
    </row>
    <row r="470" spans="1:13" ht="31.5">
      <c r="A470" s="31" t="s">
        <v>461</v>
      </c>
      <c r="B470" s="42" t="s">
        <v>317</v>
      </c>
      <c r="C470" s="42" t="s">
        <v>266</v>
      </c>
      <c r="D470" s="42" t="s">
        <v>462</v>
      </c>
      <c r="E470" s="42"/>
      <c r="F470" s="7">
        <f>F471</f>
        <v>34151.199999999997</v>
      </c>
      <c r="G470" s="7">
        <f t="shared" ref="G470:L472" si="296">G471</f>
        <v>33366.1</v>
      </c>
      <c r="H470" s="7">
        <f t="shared" si="296"/>
        <v>29080.799999999999</v>
      </c>
      <c r="I470" s="7">
        <f t="shared" si="296"/>
        <v>30905.8</v>
      </c>
      <c r="J470" s="7">
        <f t="shared" si="296"/>
        <v>32021.200000000001</v>
      </c>
      <c r="K470" s="7">
        <f t="shared" si="296"/>
        <v>30890.3</v>
      </c>
      <c r="L470" s="7">
        <f t="shared" si="296"/>
        <v>10885</v>
      </c>
      <c r="M470" s="7">
        <f t="shared" si="289"/>
        <v>35.2375988578939</v>
      </c>
    </row>
    <row r="471" spans="1:13" ht="47.25">
      <c r="A471" s="31" t="s">
        <v>481</v>
      </c>
      <c r="B471" s="42" t="s">
        <v>317</v>
      </c>
      <c r="C471" s="42" t="s">
        <v>266</v>
      </c>
      <c r="D471" s="42" t="s">
        <v>482</v>
      </c>
      <c r="E471" s="42"/>
      <c r="F471" s="7">
        <f>F472</f>
        <v>34151.199999999997</v>
      </c>
      <c r="G471" s="7">
        <f t="shared" si="296"/>
        <v>33366.1</v>
      </c>
      <c r="H471" s="7">
        <f t="shared" si="296"/>
        <v>29080.799999999999</v>
      </c>
      <c r="I471" s="7">
        <f t="shared" si="296"/>
        <v>30905.8</v>
      </c>
      <c r="J471" s="7">
        <f t="shared" si="296"/>
        <v>32021.200000000001</v>
      </c>
      <c r="K471" s="7">
        <f t="shared" si="296"/>
        <v>30890.3</v>
      </c>
      <c r="L471" s="7">
        <f t="shared" si="296"/>
        <v>10885</v>
      </c>
      <c r="M471" s="7">
        <f t="shared" si="289"/>
        <v>35.2375988578939</v>
      </c>
    </row>
    <row r="472" spans="1:13" ht="47.25">
      <c r="A472" s="31" t="s">
        <v>325</v>
      </c>
      <c r="B472" s="42" t="s">
        <v>317</v>
      </c>
      <c r="C472" s="42" t="s">
        <v>266</v>
      </c>
      <c r="D472" s="42" t="s">
        <v>482</v>
      </c>
      <c r="E472" s="42" t="s">
        <v>326</v>
      </c>
      <c r="F472" s="63">
        <f>F473</f>
        <v>34151.199999999997</v>
      </c>
      <c r="G472" s="63">
        <f t="shared" si="296"/>
        <v>33366.1</v>
      </c>
      <c r="H472" s="63">
        <f t="shared" si="296"/>
        <v>29080.799999999999</v>
      </c>
      <c r="I472" s="63">
        <f t="shared" si="296"/>
        <v>30905.8</v>
      </c>
      <c r="J472" s="63">
        <f t="shared" si="296"/>
        <v>32021.200000000001</v>
      </c>
      <c r="K472" s="63">
        <f t="shared" si="296"/>
        <v>30890.3</v>
      </c>
      <c r="L472" s="63">
        <f t="shared" si="296"/>
        <v>10885</v>
      </c>
      <c r="M472" s="7">
        <f t="shared" si="289"/>
        <v>35.2375988578939</v>
      </c>
    </row>
    <row r="473" spans="1:13" ht="15.75">
      <c r="A473" s="31" t="s">
        <v>327</v>
      </c>
      <c r="B473" s="42" t="s">
        <v>317</v>
      </c>
      <c r="C473" s="42" t="s">
        <v>266</v>
      </c>
      <c r="D473" s="42" t="s">
        <v>482</v>
      </c>
      <c r="E473" s="42" t="s">
        <v>328</v>
      </c>
      <c r="F473" s="63">
        <f>'Прил.№4 ведомств.'!G641</f>
        <v>34151.199999999997</v>
      </c>
      <c r="G473" s="63">
        <f>'Прил.№4 ведомств.'!I641</f>
        <v>33366.1</v>
      </c>
      <c r="H473" s="63">
        <f>'Прил.№4 ведомств.'!J641</f>
        <v>29080.799999999999</v>
      </c>
      <c r="I473" s="63">
        <f>'Прил.№4 ведомств.'!K641</f>
        <v>30905.8</v>
      </c>
      <c r="J473" s="63">
        <f>'Прил.№4 ведомств.'!L641</f>
        <v>32021.200000000001</v>
      </c>
      <c r="K473" s="63">
        <f>'Прил.№4 ведомств.'!M641</f>
        <v>30890.3</v>
      </c>
      <c r="L473" s="63">
        <f>'Прил.№4 ведомств.'!N641</f>
        <v>10885</v>
      </c>
      <c r="M473" s="7">
        <f t="shared" si="289"/>
        <v>35.2375988578939</v>
      </c>
    </row>
    <row r="474" spans="1:13" ht="31.5">
      <c r="A474" s="31" t="s">
        <v>484</v>
      </c>
      <c r="B474" s="42" t="s">
        <v>317</v>
      </c>
      <c r="C474" s="42" t="s">
        <v>266</v>
      </c>
      <c r="D474" s="42" t="s">
        <v>485</v>
      </c>
      <c r="E474" s="42"/>
      <c r="F474" s="7">
        <f>F475+F489+F504+F510+F479+F482+F507+F492+F486+F498+F501</f>
        <v>6675.4</v>
      </c>
      <c r="G474" s="7">
        <f>G475+G489+G504+G510+G479+G482+G507+G492+G486+G498+G501</f>
        <v>6675.3666666666668</v>
      </c>
      <c r="H474" s="7">
        <f>H475+H489+H504+H510+H479+H482+H507+H492+H486+H498+H501</f>
        <v>16647.800000000003</v>
      </c>
      <c r="I474" s="7">
        <f>I475+I489+I504+I510+I479+I482+I507+I492+I486+I498+I501</f>
        <v>11746.7</v>
      </c>
      <c r="J474" s="7">
        <f>J475+J489+J504+J510+J479+J482+J507+J492+J486+J498+J501</f>
        <v>9246.7000000000007</v>
      </c>
      <c r="K474" s="7">
        <f>K475+K489+K504+K510+K479+K482+K507+K492+K486+K498+K501+K495</f>
        <v>6615.9</v>
      </c>
      <c r="L474" s="7">
        <f t="shared" ref="L474" si="297">L475+L489+L504+L510+L479+L482+L507+L492+L486+L498+L501+L495</f>
        <v>3767.1000000000004</v>
      </c>
      <c r="M474" s="7">
        <f t="shared" si="289"/>
        <v>56.940098852763811</v>
      </c>
    </row>
    <row r="475" spans="1:13" ht="47.25" hidden="1" customHeight="1">
      <c r="A475" s="31" t="s">
        <v>660</v>
      </c>
      <c r="B475" s="42" t="s">
        <v>317</v>
      </c>
      <c r="C475" s="42" t="s">
        <v>266</v>
      </c>
      <c r="D475" s="42" t="s">
        <v>666</v>
      </c>
      <c r="E475" s="42"/>
      <c r="F475" s="7">
        <f>F476</f>
        <v>0</v>
      </c>
      <c r="G475" s="7">
        <f t="shared" ref="G475:L477" si="298">G476</f>
        <v>0</v>
      </c>
      <c r="H475" s="7">
        <f t="shared" si="298"/>
        <v>0</v>
      </c>
      <c r="I475" s="7">
        <f t="shared" si="298"/>
        <v>0</v>
      </c>
      <c r="J475" s="7">
        <f t="shared" si="298"/>
        <v>0</v>
      </c>
      <c r="K475" s="7">
        <f t="shared" si="298"/>
        <v>0</v>
      </c>
      <c r="L475" s="7">
        <f t="shared" si="298"/>
        <v>0</v>
      </c>
      <c r="M475" s="7" t="e">
        <f t="shared" si="289"/>
        <v>#DIV/0!</v>
      </c>
    </row>
    <row r="476" spans="1:13" ht="47.25" hidden="1" customHeight="1">
      <c r="A476" s="31" t="s">
        <v>325</v>
      </c>
      <c r="B476" s="42" t="s">
        <v>317</v>
      </c>
      <c r="C476" s="42" t="s">
        <v>266</v>
      </c>
      <c r="D476" s="42" t="s">
        <v>666</v>
      </c>
      <c r="E476" s="42" t="s">
        <v>326</v>
      </c>
      <c r="F476" s="7">
        <f>F477</f>
        <v>0</v>
      </c>
      <c r="G476" s="7">
        <f t="shared" si="298"/>
        <v>0</v>
      </c>
      <c r="H476" s="7">
        <f t="shared" si="298"/>
        <v>0</v>
      </c>
      <c r="I476" s="7">
        <f t="shared" si="298"/>
        <v>0</v>
      </c>
      <c r="J476" s="7">
        <f t="shared" si="298"/>
        <v>0</v>
      </c>
      <c r="K476" s="7">
        <f t="shared" si="298"/>
        <v>0</v>
      </c>
      <c r="L476" s="7">
        <f t="shared" si="298"/>
        <v>0</v>
      </c>
      <c r="M476" s="7" t="e">
        <f t="shared" si="289"/>
        <v>#DIV/0!</v>
      </c>
    </row>
    <row r="477" spans="1:13" ht="15.75" hidden="1" customHeight="1">
      <c r="A477" s="31" t="s">
        <v>327</v>
      </c>
      <c r="B477" s="42" t="s">
        <v>317</v>
      </c>
      <c r="C477" s="42" t="s">
        <v>266</v>
      </c>
      <c r="D477" s="42" t="s">
        <v>666</v>
      </c>
      <c r="E477" s="42" t="s">
        <v>328</v>
      </c>
      <c r="F477" s="7">
        <f>F478</f>
        <v>0</v>
      </c>
      <c r="G477" s="7">
        <f t="shared" si="298"/>
        <v>0</v>
      </c>
      <c r="H477" s="7">
        <f t="shared" si="298"/>
        <v>0</v>
      </c>
      <c r="I477" s="7">
        <f t="shared" si="298"/>
        <v>0</v>
      </c>
      <c r="J477" s="7">
        <f t="shared" si="298"/>
        <v>0</v>
      </c>
      <c r="K477" s="7">
        <f t="shared" si="298"/>
        <v>0</v>
      </c>
      <c r="L477" s="7">
        <f t="shared" si="298"/>
        <v>0</v>
      </c>
      <c r="M477" s="7" t="e">
        <f t="shared" si="289"/>
        <v>#DIV/0!</v>
      </c>
    </row>
    <row r="478" spans="1:13" ht="15.75" hidden="1" customHeight="1">
      <c r="A478" s="31" t="s">
        <v>663</v>
      </c>
      <c r="B478" s="42" t="s">
        <v>317</v>
      </c>
      <c r="C478" s="42" t="s">
        <v>266</v>
      </c>
      <c r="D478" s="42" t="s">
        <v>666</v>
      </c>
      <c r="E478" s="42" t="s">
        <v>664</v>
      </c>
      <c r="F478" s="7"/>
      <c r="G478" s="7"/>
      <c r="H478" s="7"/>
      <c r="I478" s="7"/>
      <c r="J478" s="7"/>
      <c r="K478" s="7"/>
      <c r="L478" s="7"/>
      <c r="M478" s="7" t="e">
        <f t="shared" si="289"/>
        <v>#DIV/0!</v>
      </c>
    </row>
    <row r="479" spans="1:13" ht="47.25" hidden="1" customHeight="1">
      <c r="A479" s="31" t="s">
        <v>486</v>
      </c>
      <c r="B479" s="42" t="s">
        <v>317</v>
      </c>
      <c r="C479" s="42" t="s">
        <v>266</v>
      </c>
      <c r="D479" s="42" t="s">
        <v>487</v>
      </c>
      <c r="E479" s="42"/>
      <c r="F479" s="7">
        <f>F480</f>
        <v>0</v>
      </c>
      <c r="G479" s="7">
        <f t="shared" ref="G479:L480" si="299">G480</f>
        <v>0</v>
      </c>
      <c r="H479" s="7">
        <f t="shared" si="299"/>
        <v>0</v>
      </c>
      <c r="I479" s="7">
        <f t="shared" si="299"/>
        <v>0</v>
      </c>
      <c r="J479" s="7">
        <f t="shared" si="299"/>
        <v>0</v>
      </c>
      <c r="K479" s="7">
        <f t="shared" si="299"/>
        <v>0</v>
      </c>
      <c r="L479" s="7">
        <f t="shared" si="299"/>
        <v>0</v>
      </c>
      <c r="M479" s="7" t="e">
        <f t="shared" si="289"/>
        <v>#DIV/0!</v>
      </c>
    </row>
    <row r="480" spans="1:13" ht="47.25" hidden="1" customHeight="1">
      <c r="A480" s="31" t="s">
        <v>325</v>
      </c>
      <c r="B480" s="42" t="s">
        <v>317</v>
      </c>
      <c r="C480" s="42" t="s">
        <v>266</v>
      </c>
      <c r="D480" s="42" t="s">
        <v>487</v>
      </c>
      <c r="E480" s="42" t="s">
        <v>326</v>
      </c>
      <c r="F480" s="7">
        <f>F481</f>
        <v>0</v>
      </c>
      <c r="G480" s="7">
        <f t="shared" si="299"/>
        <v>0</v>
      </c>
      <c r="H480" s="7">
        <f t="shared" si="299"/>
        <v>0</v>
      </c>
      <c r="I480" s="7">
        <f t="shared" si="299"/>
        <v>0</v>
      </c>
      <c r="J480" s="7">
        <f t="shared" si="299"/>
        <v>0</v>
      </c>
      <c r="K480" s="7">
        <f t="shared" si="299"/>
        <v>0</v>
      </c>
      <c r="L480" s="7">
        <f t="shared" si="299"/>
        <v>0</v>
      </c>
      <c r="M480" s="7" t="e">
        <f t="shared" si="289"/>
        <v>#DIV/0!</v>
      </c>
    </row>
    <row r="481" spans="1:13" ht="15.75" hidden="1" customHeight="1">
      <c r="A481" s="31" t="s">
        <v>327</v>
      </c>
      <c r="B481" s="42" t="s">
        <v>317</v>
      </c>
      <c r="C481" s="42" t="s">
        <v>266</v>
      </c>
      <c r="D481" s="42" t="s">
        <v>487</v>
      </c>
      <c r="E481" s="42" t="s">
        <v>328</v>
      </c>
      <c r="F481" s="7"/>
      <c r="G481" s="7"/>
      <c r="H481" s="7"/>
      <c r="I481" s="7"/>
      <c r="J481" s="7"/>
      <c r="K481" s="7"/>
      <c r="L481" s="7"/>
      <c r="M481" s="7" t="e">
        <f t="shared" si="289"/>
        <v>#DIV/0!</v>
      </c>
    </row>
    <row r="482" spans="1:13" ht="31.5" hidden="1" customHeight="1">
      <c r="A482" s="31" t="s">
        <v>333</v>
      </c>
      <c r="B482" s="42" t="s">
        <v>317</v>
      </c>
      <c r="C482" s="42" t="s">
        <v>266</v>
      </c>
      <c r="D482" s="42" t="s">
        <v>667</v>
      </c>
      <c r="E482" s="42"/>
      <c r="F482" s="7">
        <f>F483</f>
        <v>0</v>
      </c>
      <c r="G482" s="7">
        <f t="shared" ref="G482:L484" si="300">G483</f>
        <v>0</v>
      </c>
      <c r="H482" s="7">
        <f t="shared" si="300"/>
        <v>0</v>
      </c>
      <c r="I482" s="7">
        <f t="shared" si="300"/>
        <v>0</v>
      </c>
      <c r="J482" s="7">
        <f t="shared" si="300"/>
        <v>0</v>
      </c>
      <c r="K482" s="7">
        <f t="shared" si="300"/>
        <v>0</v>
      </c>
      <c r="L482" s="7">
        <f t="shared" si="300"/>
        <v>0</v>
      </c>
      <c r="M482" s="7" t="e">
        <f t="shared" si="289"/>
        <v>#DIV/0!</v>
      </c>
    </row>
    <row r="483" spans="1:13" ht="47.25" hidden="1" customHeight="1">
      <c r="A483" s="31" t="s">
        <v>325</v>
      </c>
      <c r="B483" s="42" t="s">
        <v>317</v>
      </c>
      <c r="C483" s="42" t="s">
        <v>266</v>
      </c>
      <c r="D483" s="42" t="s">
        <v>667</v>
      </c>
      <c r="E483" s="42" t="s">
        <v>326</v>
      </c>
      <c r="F483" s="7">
        <f>F484</f>
        <v>0</v>
      </c>
      <c r="G483" s="7">
        <f t="shared" si="300"/>
        <v>0</v>
      </c>
      <c r="H483" s="7">
        <f t="shared" si="300"/>
        <v>0</v>
      </c>
      <c r="I483" s="7">
        <f t="shared" si="300"/>
        <v>0</v>
      </c>
      <c r="J483" s="7">
        <f t="shared" si="300"/>
        <v>0</v>
      </c>
      <c r="K483" s="7">
        <f t="shared" si="300"/>
        <v>0</v>
      </c>
      <c r="L483" s="7">
        <f t="shared" si="300"/>
        <v>0</v>
      </c>
      <c r="M483" s="7" t="e">
        <f t="shared" si="289"/>
        <v>#DIV/0!</v>
      </c>
    </row>
    <row r="484" spans="1:13" ht="15.75" hidden="1" customHeight="1">
      <c r="A484" s="31" t="s">
        <v>327</v>
      </c>
      <c r="B484" s="42" t="s">
        <v>317</v>
      </c>
      <c r="C484" s="42" t="s">
        <v>266</v>
      </c>
      <c r="D484" s="42" t="s">
        <v>667</v>
      </c>
      <c r="E484" s="42" t="s">
        <v>328</v>
      </c>
      <c r="F484" s="7">
        <f>F485</f>
        <v>0</v>
      </c>
      <c r="G484" s="7">
        <f t="shared" si="300"/>
        <v>0</v>
      </c>
      <c r="H484" s="7">
        <f t="shared" si="300"/>
        <v>0</v>
      </c>
      <c r="I484" s="7">
        <f t="shared" si="300"/>
        <v>0</v>
      </c>
      <c r="J484" s="7">
        <f t="shared" si="300"/>
        <v>0</v>
      </c>
      <c r="K484" s="7">
        <f t="shared" si="300"/>
        <v>0</v>
      </c>
      <c r="L484" s="7">
        <f t="shared" si="300"/>
        <v>0</v>
      </c>
      <c r="M484" s="7" t="e">
        <f t="shared" si="289"/>
        <v>#DIV/0!</v>
      </c>
    </row>
    <row r="485" spans="1:13" ht="15.75" hidden="1" customHeight="1">
      <c r="A485" s="31" t="s">
        <v>663</v>
      </c>
      <c r="B485" s="42" t="s">
        <v>317</v>
      </c>
      <c r="C485" s="42" t="s">
        <v>266</v>
      </c>
      <c r="D485" s="42" t="s">
        <v>667</v>
      </c>
      <c r="E485" s="42" t="s">
        <v>664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 t="e">
        <f t="shared" si="289"/>
        <v>#DIV/0!</v>
      </c>
    </row>
    <row r="486" spans="1:13" ht="31.5" hidden="1" customHeight="1">
      <c r="A486" s="26" t="s">
        <v>488</v>
      </c>
      <c r="B486" s="42" t="s">
        <v>317</v>
      </c>
      <c r="C486" s="42" t="s">
        <v>266</v>
      </c>
      <c r="D486" s="42" t="s">
        <v>489</v>
      </c>
      <c r="E486" s="42"/>
      <c r="F486" s="7">
        <f>F487</f>
        <v>0</v>
      </c>
      <c r="G486" s="7">
        <f t="shared" ref="G486:L487" si="301">G487</f>
        <v>0</v>
      </c>
      <c r="H486" s="7">
        <f t="shared" si="301"/>
        <v>0</v>
      </c>
      <c r="I486" s="7">
        <f t="shared" si="301"/>
        <v>0</v>
      </c>
      <c r="J486" s="7">
        <f t="shared" si="301"/>
        <v>0</v>
      </c>
      <c r="K486" s="7">
        <f t="shared" si="301"/>
        <v>0</v>
      </c>
      <c r="L486" s="7">
        <f t="shared" si="301"/>
        <v>0</v>
      </c>
      <c r="M486" s="7" t="e">
        <f t="shared" si="289"/>
        <v>#DIV/0!</v>
      </c>
    </row>
    <row r="487" spans="1:13" ht="47.25" hidden="1" customHeight="1">
      <c r="A487" s="26" t="s">
        <v>325</v>
      </c>
      <c r="B487" s="42" t="s">
        <v>317</v>
      </c>
      <c r="C487" s="42" t="s">
        <v>266</v>
      </c>
      <c r="D487" s="42" t="s">
        <v>489</v>
      </c>
      <c r="E487" s="42" t="s">
        <v>326</v>
      </c>
      <c r="F487" s="7">
        <f>F488</f>
        <v>0</v>
      </c>
      <c r="G487" s="7">
        <f t="shared" si="301"/>
        <v>0</v>
      </c>
      <c r="H487" s="7">
        <f t="shared" si="301"/>
        <v>0</v>
      </c>
      <c r="I487" s="7">
        <f t="shared" si="301"/>
        <v>0</v>
      </c>
      <c r="J487" s="7">
        <f t="shared" si="301"/>
        <v>0</v>
      </c>
      <c r="K487" s="7">
        <f t="shared" si="301"/>
        <v>0</v>
      </c>
      <c r="L487" s="7">
        <f t="shared" si="301"/>
        <v>0</v>
      </c>
      <c r="M487" s="7" t="e">
        <f t="shared" si="289"/>
        <v>#DIV/0!</v>
      </c>
    </row>
    <row r="488" spans="1:13" ht="15.75" hidden="1" customHeight="1">
      <c r="A488" s="26" t="s">
        <v>327</v>
      </c>
      <c r="B488" s="42" t="s">
        <v>317</v>
      </c>
      <c r="C488" s="42" t="s">
        <v>266</v>
      </c>
      <c r="D488" s="42" t="s">
        <v>489</v>
      </c>
      <c r="E488" s="42" t="s">
        <v>328</v>
      </c>
      <c r="F488" s="7"/>
      <c r="G488" s="7"/>
      <c r="H488" s="7"/>
      <c r="I488" s="7"/>
      <c r="J488" s="7"/>
      <c r="K488" s="7"/>
      <c r="L488" s="7"/>
      <c r="M488" s="7" t="e">
        <f t="shared" si="289"/>
        <v>#DIV/0!</v>
      </c>
    </row>
    <row r="489" spans="1:13" ht="47.25">
      <c r="A489" s="31" t="s">
        <v>668</v>
      </c>
      <c r="B489" s="42" t="s">
        <v>317</v>
      </c>
      <c r="C489" s="42" t="s">
        <v>266</v>
      </c>
      <c r="D489" s="42" t="s">
        <v>491</v>
      </c>
      <c r="E489" s="42"/>
      <c r="F489" s="7">
        <f>F490</f>
        <v>2690</v>
      </c>
      <c r="G489" s="7">
        <f t="shared" ref="G489:L490" si="302">G490</f>
        <v>2206.6666666666665</v>
      </c>
      <c r="H489" s="7">
        <f t="shared" si="302"/>
        <v>2967.9</v>
      </c>
      <c r="I489" s="7">
        <f t="shared" si="302"/>
        <v>2967.9</v>
      </c>
      <c r="J489" s="7">
        <f t="shared" si="302"/>
        <v>2967.9</v>
      </c>
      <c r="K489" s="7">
        <f t="shared" si="302"/>
        <v>2967.9</v>
      </c>
      <c r="L489" s="7">
        <f t="shared" si="302"/>
        <v>970</v>
      </c>
      <c r="M489" s="7">
        <f t="shared" si="289"/>
        <v>32.683041881465009</v>
      </c>
    </row>
    <row r="490" spans="1:13" ht="47.25">
      <c r="A490" s="31" t="s">
        <v>325</v>
      </c>
      <c r="B490" s="42" t="s">
        <v>317</v>
      </c>
      <c r="C490" s="42" t="s">
        <v>266</v>
      </c>
      <c r="D490" s="42" t="s">
        <v>491</v>
      </c>
      <c r="E490" s="42" t="s">
        <v>326</v>
      </c>
      <c r="F490" s="7">
        <f>F491</f>
        <v>2690</v>
      </c>
      <c r="G490" s="7">
        <f t="shared" si="302"/>
        <v>2206.6666666666665</v>
      </c>
      <c r="H490" s="7">
        <f t="shared" si="302"/>
        <v>2967.9</v>
      </c>
      <c r="I490" s="7">
        <f t="shared" si="302"/>
        <v>2967.9</v>
      </c>
      <c r="J490" s="7">
        <f t="shared" si="302"/>
        <v>2967.9</v>
      </c>
      <c r="K490" s="7">
        <f t="shared" si="302"/>
        <v>2967.9</v>
      </c>
      <c r="L490" s="7">
        <f t="shared" si="302"/>
        <v>970</v>
      </c>
      <c r="M490" s="7">
        <f t="shared" si="289"/>
        <v>32.683041881465009</v>
      </c>
    </row>
    <row r="491" spans="1:13" ht="15.75">
      <c r="A491" s="31" t="s">
        <v>327</v>
      </c>
      <c r="B491" s="42" t="s">
        <v>317</v>
      </c>
      <c r="C491" s="42" t="s">
        <v>266</v>
      </c>
      <c r="D491" s="42" t="s">
        <v>491</v>
      </c>
      <c r="E491" s="42" t="s">
        <v>328</v>
      </c>
      <c r="F491" s="7">
        <f>'Прил.№4 ведомств.'!G651</f>
        <v>2690</v>
      </c>
      <c r="G491" s="7">
        <f>'Прил.№4 ведомств.'!I651</f>
        <v>2206.6666666666665</v>
      </c>
      <c r="H491" s="7">
        <f>'Прил.№4 ведомств.'!J651</f>
        <v>2967.9</v>
      </c>
      <c r="I491" s="7">
        <f>'Прил.№4 ведомств.'!K651</f>
        <v>2967.9</v>
      </c>
      <c r="J491" s="7">
        <f>'Прил.№4 ведомств.'!L651</f>
        <v>2967.9</v>
      </c>
      <c r="K491" s="7">
        <f>'Прил.№4 ведомств.'!M651</f>
        <v>2967.9</v>
      </c>
      <c r="L491" s="7">
        <f>'Прил.№4 ведомств.'!N651</f>
        <v>970</v>
      </c>
      <c r="M491" s="7">
        <f t="shared" si="289"/>
        <v>32.683041881465009</v>
      </c>
    </row>
    <row r="492" spans="1:13" ht="63">
      <c r="A492" s="26" t="s">
        <v>492</v>
      </c>
      <c r="B492" s="42" t="s">
        <v>317</v>
      </c>
      <c r="C492" s="42" t="s">
        <v>266</v>
      </c>
      <c r="D492" s="21" t="s">
        <v>493</v>
      </c>
      <c r="E492" s="42"/>
      <c r="F492" s="7">
        <f>F493</f>
        <v>320</v>
      </c>
      <c r="G492" s="7">
        <f t="shared" ref="G492:L493" si="303">G493</f>
        <v>803.3</v>
      </c>
      <c r="H492" s="7">
        <f t="shared" si="303"/>
        <v>320</v>
      </c>
      <c r="I492" s="7">
        <f t="shared" si="303"/>
        <v>320</v>
      </c>
      <c r="J492" s="7">
        <f t="shared" si="303"/>
        <v>320</v>
      </c>
      <c r="K492" s="7">
        <f t="shared" si="303"/>
        <v>320</v>
      </c>
      <c r="L492" s="7">
        <f t="shared" si="303"/>
        <v>182.3</v>
      </c>
      <c r="M492" s="7">
        <f t="shared" si="289"/>
        <v>56.96875</v>
      </c>
    </row>
    <row r="493" spans="1:13" ht="47.25">
      <c r="A493" s="26" t="s">
        <v>325</v>
      </c>
      <c r="B493" s="42" t="s">
        <v>317</v>
      </c>
      <c r="C493" s="42" t="s">
        <v>266</v>
      </c>
      <c r="D493" s="21" t="s">
        <v>493</v>
      </c>
      <c r="E493" s="42" t="s">
        <v>326</v>
      </c>
      <c r="F493" s="7">
        <f>F494</f>
        <v>320</v>
      </c>
      <c r="G493" s="7">
        <f t="shared" si="303"/>
        <v>803.3</v>
      </c>
      <c r="H493" s="7">
        <f t="shared" si="303"/>
        <v>320</v>
      </c>
      <c r="I493" s="7">
        <f t="shared" si="303"/>
        <v>320</v>
      </c>
      <c r="J493" s="7">
        <f t="shared" si="303"/>
        <v>320</v>
      </c>
      <c r="K493" s="7">
        <f t="shared" si="303"/>
        <v>320</v>
      </c>
      <c r="L493" s="7">
        <f t="shared" si="303"/>
        <v>182.3</v>
      </c>
      <c r="M493" s="7">
        <f t="shared" si="289"/>
        <v>56.96875</v>
      </c>
    </row>
    <row r="494" spans="1:13" ht="15.75">
      <c r="A494" s="26" t="s">
        <v>327</v>
      </c>
      <c r="B494" s="42" t="s">
        <v>317</v>
      </c>
      <c r="C494" s="42" t="s">
        <v>266</v>
      </c>
      <c r="D494" s="21" t="s">
        <v>493</v>
      </c>
      <c r="E494" s="42" t="s">
        <v>328</v>
      </c>
      <c r="F494" s="7">
        <f>'Прил.№4 ведомств.'!G654</f>
        <v>320</v>
      </c>
      <c r="G494" s="7">
        <f>'Прил.№4 ведомств.'!I654</f>
        <v>803.3</v>
      </c>
      <c r="H494" s="7">
        <f>'Прил.№4 ведомств.'!J654</f>
        <v>320</v>
      </c>
      <c r="I494" s="7">
        <f>'Прил.№4 ведомств.'!K654</f>
        <v>320</v>
      </c>
      <c r="J494" s="7">
        <f>'Прил.№4 ведомств.'!L654</f>
        <v>320</v>
      </c>
      <c r="K494" s="7">
        <f>'Прил.№4 ведомств.'!M654</f>
        <v>320</v>
      </c>
      <c r="L494" s="7">
        <f>'Прил.№4 ведомств.'!N654</f>
        <v>182.3</v>
      </c>
      <c r="M494" s="7">
        <f t="shared" si="289"/>
        <v>56.96875</v>
      </c>
    </row>
    <row r="495" spans="1:13" ht="47.25">
      <c r="A495" s="26" t="s">
        <v>494</v>
      </c>
      <c r="B495" s="42" t="s">
        <v>317</v>
      </c>
      <c r="C495" s="42" t="s">
        <v>266</v>
      </c>
      <c r="D495" s="21" t="s">
        <v>495</v>
      </c>
      <c r="E495" s="42"/>
      <c r="F495" s="7"/>
      <c r="G495" s="7"/>
      <c r="H495" s="7"/>
      <c r="I495" s="7"/>
      <c r="J495" s="7"/>
      <c r="K495" s="7">
        <f>K496</f>
        <v>107</v>
      </c>
      <c r="L495" s="7">
        <f t="shared" ref="L495:L496" si="304">L496</f>
        <v>107</v>
      </c>
      <c r="M495" s="7">
        <f t="shared" si="289"/>
        <v>100</v>
      </c>
    </row>
    <row r="496" spans="1:13" ht="47.25">
      <c r="A496" s="26" t="s">
        <v>325</v>
      </c>
      <c r="B496" s="42" t="s">
        <v>317</v>
      </c>
      <c r="C496" s="42" t="s">
        <v>266</v>
      </c>
      <c r="D496" s="21" t="s">
        <v>495</v>
      </c>
      <c r="E496" s="42" t="s">
        <v>326</v>
      </c>
      <c r="F496" s="7"/>
      <c r="G496" s="7"/>
      <c r="H496" s="7"/>
      <c r="I496" s="7"/>
      <c r="J496" s="7"/>
      <c r="K496" s="7">
        <f>K497</f>
        <v>107</v>
      </c>
      <c r="L496" s="7">
        <f t="shared" si="304"/>
        <v>107</v>
      </c>
      <c r="M496" s="7">
        <f t="shared" si="289"/>
        <v>100</v>
      </c>
    </row>
    <row r="497" spans="1:13" ht="15.75">
      <c r="A497" s="26" t="s">
        <v>327</v>
      </c>
      <c r="B497" s="42" t="s">
        <v>317</v>
      </c>
      <c r="C497" s="42" t="s">
        <v>266</v>
      </c>
      <c r="D497" s="21" t="s">
        <v>495</v>
      </c>
      <c r="E497" s="42" t="s">
        <v>328</v>
      </c>
      <c r="F497" s="7"/>
      <c r="G497" s="7"/>
      <c r="H497" s="7"/>
      <c r="I497" s="7"/>
      <c r="J497" s="7"/>
      <c r="K497" s="7">
        <f>'Прил.№4 ведомств.'!M657</f>
        <v>107</v>
      </c>
      <c r="L497" s="7">
        <f>'Прил.№4 ведомств.'!N657</f>
        <v>107</v>
      </c>
      <c r="M497" s="7">
        <f t="shared" si="289"/>
        <v>100</v>
      </c>
    </row>
    <row r="498" spans="1:13" ht="31.5">
      <c r="A498" s="26" t="s">
        <v>331</v>
      </c>
      <c r="B498" s="42" t="s">
        <v>317</v>
      </c>
      <c r="C498" s="42" t="s">
        <v>266</v>
      </c>
      <c r="D498" s="21" t="s">
        <v>496</v>
      </c>
      <c r="E498" s="42"/>
      <c r="F498" s="7">
        <f>F499</f>
        <v>3309</v>
      </c>
      <c r="G498" s="7">
        <f t="shared" ref="G498:L499" si="305">G499</f>
        <v>3309</v>
      </c>
      <c r="H498" s="7">
        <f t="shared" si="305"/>
        <v>8601.1</v>
      </c>
      <c r="I498" s="7">
        <f t="shared" si="305"/>
        <v>4500</v>
      </c>
      <c r="J498" s="7">
        <f t="shared" si="305"/>
        <v>2000</v>
      </c>
      <c r="K498" s="7">
        <f t="shared" si="305"/>
        <v>300</v>
      </c>
      <c r="L498" s="7">
        <f t="shared" si="305"/>
        <v>0</v>
      </c>
      <c r="M498" s="7">
        <f t="shared" si="289"/>
        <v>0</v>
      </c>
    </row>
    <row r="499" spans="1:13" ht="47.25">
      <c r="A499" s="26" t="s">
        <v>325</v>
      </c>
      <c r="B499" s="42" t="s">
        <v>317</v>
      </c>
      <c r="C499" s="42" t="s">
        <v>266</v>
      </c>
      <c r="D499" s="21" t="s">
        <v>496</v>
      </c>
      <c r="E499" s="42" t="s">
        <v>326</v>
      </c>
      <c r="F499" s="7">
        <f>F500</f>
        <v>3309</v>
      </c>
      <c r="G499" s="7">
        <f t="shared" si="305"/>
        <v>3309</v>
      </c>
      <c r="H499" s="7">
        <f t="shared" si="305"/>
        <v>8601.1</v>
      </c>
      <c r="I499" s="7">
        <f t="shared" si="305"/>
        <v>4500</v>
      </c>
      <c r="J499" s="7">
        <f t="shared" si="305"/>
        <v>2000</v>
      </c>
      <c r="K499" s="7">
        <f t="shared" si="305"/>
        <v>300</v>
      </c>
      <c r="L499" s="7">
        <f t="shared" si="305"/>
        <v>0</v>
      </c>
      <c r="M499" s="7">
        <f t="shared" si="289"/>
        <v>0</v>
      </c>
    </row>
    <row r="500" spans="1:13" ht="15.75">
      <c r="A500" s="26" t="s">
        <v>327</v>
      </c>
      <c r="B500" s="42" t="s">
        <v>317</v>
      </c>
      <c r="C500" s="42" t="s">
        <v>266</v>
      </c>
      <c r="D500" s="21" t="s">
        <v>496</v>
      </c>
      <c r="E500" s="42" t="s">
        <v>328</v>
      </c>
      <c r="F500" s="7">
        <f>'Прил.№4 ведомств.'!G660</f>
        <v>3309</v>
      </c>
      <c r="G500" s="7">
        <f>'Прил.№4 ведомств.'!I660</f>
        <v>3309</v>
      </c>
      <c r="H500" s="7">
        <f>'Прил.№4 ведомств.'!J660</f>
        <v>8601.1</v>
      </c>
      <c r="I500" s="7">
        <f>'Прил.№4 ведомств.'!K660</f>
        <v>4500</v>
      </c>
      <c r="J500" s="7">
        <f>'Прил.№4 ведомств.'!L660</f>
        <v>2000</v>
      </c>
      <c r="K500" s="7">
        <f>'Прил.№4 ведомств.'!M660</f>
        <v>300</v>
      </c>
      <c r="L500" s="7">
        <f>'Прил.№4 ведомств.'!N660</f>
        <v>0</v>
      </c>
      <c r="M500" s="7">
        <f t="shared" si="289"/>
        <v>0</v>
      </c>
    </row>
    <row r="501" spans="1:13" ht="31.5" hidden="1">
      <c r="A501" s="26" t="s">
        <v>333</v>
      </c>
      <c r="B501" s="21" t="s">
        <v>317</v>
      </c>
      <c r="C501" s="21" t="s">
        <v>266</v>
      </c>
      <c r="D501" s="21" t="s">
        <v>497</v>
      </c>
      <c r="E501" s="21"/>
      <c r="F501" s="7">
        <f>F502</f>
        <v>0</v>
      </c>
      <c r="G501" s="7">
        <f t="shared" ref="G501:L502" si="306">G502</f>
        <v>0</v>
      </c>
      <c r="H501" s="7">
        <f t="shared" si="306"/>
        <v>1000</v>
      </c>
      <c r="I501" s="7">
        <f t="shared" si="306"/>
        <v>700</v>
      </c>
      <c r="J501" s="7">
        <f t="shared" si="306"/>
        <v>700</v>
      </c>
      <c r="K501" s="7">
        <f t="shared" si="306"/>
        <v>0</v>
      </c>
      <c r="L501" s="7">
        <f t="shared" si="306"/>
        <v>0</v>
      </c>
      <c r="M501" s="7" t="e">
        <f t="shared" si="289"/>
        <v>#DIV/0!</v>
      </c>
    </row>
    <row r="502" spans="1:13" ht="47.25" hidden="1">
      <c r="A502" s="26" t="s">
        <v>325</v>
      </c>
      <c r="B502" s="21" t="s">
        <v>317</v>
      </c>
      <c r="C502" s="21" t="s">
        <v>266</v>
      </c>
      <c r="D502" s="21" t="s">
        <v>497</v>
      </c>
      <c r="E502" s="21" t="s">
        <v>326</v>
      </c>
      <c r="F502" s="7">
        <f>F503</f>
        <v>0</v>
      </c>
      <c r="G502" s="7">
        <f t="shared" si="306"/>
        <v>0</v>
      </c>
      <c r="H502" s="7">
        <f t="shared" si="306"/>
        <v>1000</v>
      </c>
      <c r="I502" s="7">
        <f t="shared" si="306"/>
        <v>700</v>
      </c>
      <c r="J502" s="7">
        <f t="shared" si="306"/>
        <v>700</v>
      </c>
      <c r="K502" s="7">
        <f t="shared" si="306"/>
        <v>0</v>
      </c>
      <c r="L502" s="7">
        <f t="shared" si="306"/>
        <v>0</v>
      </c>
      <c r="M502" s="7" t="e">
        <f t="shared" si="289"/>
        <v>#DIV/0!</v>
      </c>
    </row>
    <row r="503" spans="1:13" ht="15.75" hidden="1">
      <c r="A503" s="26" t="s">
        <v>327</v>
      </c>
      <c r="B503" s="21" t="s">
        <v>317</v>
      </c>
      <c r="C503" s="21" t="s">
        <v>266</v>
      </c>
      <c r="D503" s="21" t="s">
        <v>497</v>
      </c>
      <c r="E503" s="21" t="s">
        <v>328</v>
      </c>
      <c r="F503" s="7">
        <f>'Прил.№4 ведомств.'!G663</f>
        <v>0</v>
      </c>
      <c r="G503" s="7">
        <f>'Прил.№4 ведомств.'!I663</f>
        <v>0</v>
      </c>
      <c r="H503" s="7">
        <f>'Прил.№4 ведомств.'!J663</f>
        <v>1000</v>
      </c>
      <c r="I503" s="7">
        <f>'Прил.№4 ведомств.'!K663</f>
        <v>700</v>
      </c>
      <c r="J503" s="7">
        <f>'Прил.№4 ведомств.'!L663</f>
        <v>700</v>
      </c>
      <c r="K503" s="7">
        <f>'Прил.№4 ведомств.'!M663</f>
        <v>0</v>
      </c>
      <c r="L503" s="7">
        <f>'Прил.№4 ведомств.'!N663</f>
        <v>0</v>
      </c>
      <c r="M503" s="7" t="e">
        <f t="shared" si="289"/>
        <v>#DIV/0!</v>
      </c>
    </row>
    <row r="504" spans="1:13" ht="31.5">
      <c r="A504" s="31" t="s">
        <v>335</v>
      </c>
      <c r="B504" s="42" t="s">
        <v>317</v>
      </c>
      <c r="C504" s="42" t="s">
        <v>266</v>
      </c>
      <c r="D504" s="42" t="s">
        <v>498</v>
      </c>
      <c r="E504" s="42"/>
      <c r="F504" s="7">
        <f>F505</f>
        <v>127</v>
      </c>
      <c r="G504" s="7">
        <f t="shared" ref="G504:L505" si="307">G505</f>
        <v>127</v>
      </c>
      <c r="H504" s="7">
        <f t="shared" si="307"/>
        <v>214.8</v>
      </c>
      <c r="I504" s="7">
        <f t="shared" si="307"/>
        <v>214.8</v>
      </c>
      <c r="J504" s="7">
        <f t="shared" si="307"/>
        <v>214.8</v>
      </c>
      <c r="K504" s="7">
        <f t="shared" si="307"/>
        <v>127</v>
      </c>
      <c r="L504" s="7">
        <f t="shared" si="307"/>
        <v>7.8</v>
      </c>
      <c r="M504" s="7">
        <f t="shared" si="289"/>
        <v>6.1417322834645667</v>
      </c>
    </row>
    <row r="505" spans="1:13" ht="47.25">
      <c r="A505" s="31" t="s">
        <v>325</v>
      </c>
      <c r="B505" s="42" t="s">
        <v>317</v>
      </c>
      <c r="C505" s="42" t="s">
        <v>266</v>
      </c>
      <c r="D505" s="42" t="s">
        <v>498</v>
      </c>
      <c r="E505" s="42" t="s">
        <v>326</v>
      </c>
      <c r="F505" s="7">
        <f>F506</f>
        <v>127</v>
      </c>
      <c r="G505" s="7">
        <f t="shared" si="307"/>
        <v>127</v>
      </c>
      <c r="H505" s="7">
        <f t="shared" si="307"/>
        <v>214.8</v>
      </c>
      <c r="I505" s="7">
        <f t="shared" si="307"/>
        <v>214.8</v>
      </c>
      <c r="J505" s="7">
        <f t="shared" si="307"/>
        <v>214.8</v>
      </c>
      <c r="K505" s="7">
        <f t="shared" si="307"/>
        <v>127</v>
      </c>
      <c r="L505" s="7">
        <f t="shared" si="307"/>
        <v>7.8</v>
      </c>
      <c r="M505" s="7">
        <f t="shared" si="289"/>
        <v>6.1417322834645667</v>
      </c>
    </row>
    <row r="506" spans="1:13" ht="15.75">
      <c r="A506" s="31" t="s">
        <v>327</v>
      </c>
      <c r="B506" s="42" t="s">
        <v>317</v>
      </c>
      <c r="C506" s="42" t="s">
        <v>266</v>
      </c>
      <c r="D506" s="42" t="s">
        <v>498</v>
      </c>
      <c r="E506" s="42" t="s">
        <v>328</v>
      </c>
      <c r="F506" s="7">
        <f>'Прил.№4 ведомств.'!G666</f>
        <v>127</v>
      </c>
      <c r="G506" s="7">
        <f>'Прил.№4 ведомств.'!I666</f>
        <v>127</v>
      </c>
      <c r="H506" s="7">
        <f>'Прил.№4 ведомств.'!J666</f>
        <v>214.8</v>
      </c>
      <c r="I506" s="7">
        <f>'Прил.№4 ведомств.'!K666</f>
        <v>214.8</v>
      </c>
      <c r="J506" s="7">
        <f>'Прил.№4 ведомств.'!L666</f>
        <v>214.8</v>
      </c>
      <c r="K506" s="7">
        <f>'Прил.№4 ведомств.'!M666</f>
        <v>127</v>
      </c>
      <c r="L506" s="7">
        <f>'Прил.№4 ведомств.'!N666</f>
        <v>7.8</v>
      </c>
      <c r="M506" s="7">
        <f t="shared" si="289"/>
        <v>6.1417322834645667</v>
      </c>
    </row>
    <row r="507" spans="1:13" ht="31.5" hidden="1">
      <c r="A507" s="31" t="s">
        <v>337</v>
      </c>
      <c r="B507" s="42" t="s">
        <v>317</v>
      </c>
      <c r="C507" s="42" t="s">
        <v>266</v>
      </c>
      <c r="D507" s="42" t="s">
        <v>499</v>
      </c>
      <c r="E507" s="42"/>
      <c r="F507" s="7">
        <f>F508</f>
        <v>229.4</v>
      </c>
      <c r="G507" s="7">
        <f t="shared" ref="G507:L508" si="308">G508</f>
        <v>229.4</v>
      </c>
      <c r="H507" s="7">
        <f t="shared" si="308"/>
        <v>750</v>
      </c>
      <c r="I507" s="7">
        <f t="shared" si="308"/>
        <v>250</v>
      </c>
      <c r="J507" s="7">
        <f t="shared" si="308"/>
        <v>250</v>
      </c>
      <c r="K507" s="7">
        <f t="shared" si="308"/>
        <v>0</v>
      </c>
      <c r="L507" s="7">
        <f t="shared" si="308"/>
        <v>0</v>
      </c>
      <c r="M507" s="7" t="e">
        <f t="shared" si="289"/>
        <v>#DIV/0!</v>
      </c>
    </row>
    <row r="508" spans="1:13" ht="47.25" hidden="1">
      <c r="A508" s="31" t="s">
        <v>325</v>
      </c>
      <c r="B508" s="42" t="s">
        <v>317</v>
      </c>
      <c r="C508" s="42" t="s">
        <v>266</v>
      </c>
      <c r="D508" s="42" t="s">
        <v>499</v>
      </c>
      <c r="E508" s="42" t="s">
        <v>326</v>
      </c>
      <c r="F508" s="7">
        <f>F509</f>
        <v>229.4</v>
      </c>
      <c r="G508" s="7">
        <f t="shared" si="308"/>
        <v>229.4</v>
      </c>
      <c r="H508" s="7">
        <f t="shared" si="308"/>
        <v>750</v>
      </c>
      <c r="I508" s="7">
        <f t="shared" si="308"/>
        <v>250</v>
      </c>
      <c r="J508" s="7">
        <f t="shared" si="308"/>
        <v>250</v>
      </c>
      <c r="K508" s="7">
        <f t="shared" si="308"/>
        <v>0</v>
      </c>
      <c r="L508" s="7">
        <f t="shared" si="308"/>
        <v>0</v>
      </c>
      <c r="M508" s="7" t="e">
        <f t="shared" si="289"/>
        <v>#DIV/0!</v>
      </c>
    </row>
    <row r="509" spans="1:13" ht="15.75" hidden="1">
      <c r="A509" s="31" t="s">
        <v>327</v>
      </c>
      <c r="B509" s="42" t="s">
        <v>317</v>
      </c>
      <c r="C509" s="42" t="s">
        <v>266</v>
      </c>
      <c r="D509" s="42" t="s">
        <v>499</v>
      </c>
      <c r="E509" s="42" t="s">
        <v>328</v>
      </c>
      <c r="F509" s="7">
        <f>'Прил.№4 ведомств.'!G669</f>
        <v>229.4</v>
      </c>
      <c r="G509" s="7">
        <f>'Прил.№4 ведомств.'!I669</f>
        <v>229.4</v>
      </c>
      <c r="H509" s="7">
        <f>'Прил.№4 ведомств.'!J669</f>
        <v>750</v>
      </c>
      <c r="I509" s="7">
        <f>'Прил.№4 ведомств.'!K669</f>
        <v>250</v>
      </c>
      <c r="J509" s="7">
        <f>'Прил.№4 ведомств.'!L669</f>
        <v>250</v>
      </c>
      <c r="K509" s="7">
        <f>'Прил.№4 ведомств.'!M669</f>
        <v>0</v>
      </c>
      <c r="L509" s="7">
        <f>'Прил.№4 ведомств.'!N669</f>
        <v>0</v>
      </c>
      <c r="M509" s="7" t="e">
        <f t="shared" si="289"/>
        <v>#DIV/0!</v>
      </c>
    </row>
    <row r="510" spans="1:13" ht="31.5" customHeight="1">
      <c r="A510" s="209" t="s">
        <v>871</v>
      </c>
      <c r="B510" s="21" t="s">
        <v>317</v>
      </c>
      <c r="C510" s="21" t="s">
        <v>266</v>
      </c>
      <c r="D510" s="21" t="s">
        <v>873</v>
      </c>
      <c r="E510" s="21"/>
      <c r="F510" s="7">
        <f>F511</f>
        <v>0</v>
      </c>
      <c r="G510" s="259">
        <f t="shared" ref="G510:L511" si="309">G511</f>
        <v>0</v>
      </c>
      <c r="H510" s="7">
        <f t="shared" si="309"/>
        <v>2794</v>
      </c>
      <c r="I510" s="7">
        <f t="shared" si="309"/>
        <v>2794</v>
      </c>
      <c r="J510" s="7">
        <f t="shared" si="309"/>
        <v>2794</v>
      </c>
      <c r="K510" s="7">
        <f t="shared" si="309"/>
        <v>2794</v>
      </c>
      <c r="L510" s="7">
        <f t="shared" si="309"/>
        <v>2500</v>
      </c>
      <c r="M510" s="7">
        <f t="shared" si="289"/>
        <v>89.477451682176095</v>
      </c>
    </row>
    <row r="511" spans="1:13" ht="21.75" customHeight="1">
      <c r="A511" s="31" t="s">
        <v>663</v>
      </c>
      <c r="B511" s="21" t="s">
        <v>317</v>
      </c>
      <c r="C511" s="21" t="s">
        <v>266</v>
      </c>
      <c r="D511" s="21" t="s">
        <v>873</v>
      </c>
      <c r="E511" s="21" t="s">
        <v>326</v>
      </c>
      <c r="F511" s="7">
        <f>F512</f>
        <v>0</v>
      </c>
      <c r="G511" s="7">
        <f t="shared" si="309"/>
        <v>0</v>
      </c>
      <c r="H511" s="7">
        <f t="shared" si="309"/>
        <v>2794</v>
      </c>
      <c r="I511" s="7">
        <f t="shared" si="309"/>
        <v>2794</v>
      </c>
      <c r="J511" s="7">
        <f t="shared" si="309"/>
        <v>2794</v>
      </c>
      <c r="K511" s="7">
        <f t="shared" si="309"/>
        <v>2794</v>
      </c>
      <c r="L511" s="7">
        <f t="shared" si="309"/>
        <v>2500</v>
      </c>
      <c r="M511" s="7">
        <f t="shared" si="289"/>
        <v>89.477451682176095</v>
      </c>
    </row>
    <row r="512" spans="1:13" ht="15.75" customHeight="1">
      <c r="A512" s="31" t="s">
        <v>327</v>
      </c>
      <c r="B512" s="21" t="s">
        <v>317</v>
      </c>
      <c r="C512" s="21" t="s">
        <v>266</v>
      </c>
      <c r="D512" s="21" t="s">
        <v>873</v>
      </c>
      <c r="E512" s="21" t="s">
        <v>328</v>
      </c>
      <c r="F512" s="7">
        <f>'Прил.№4 ведомств.'!G672</f>
        <v>0</v>
      </c>
      <c r="G512" s="7">
        <f>'Прил.№4 ведомств.'!I672</f>
        <v>0</v>
      </c>
      <c r="H512" s="7">
        <f>'Прил.№4 ведомств.'!J672</f>
        <v>2794</v>
      </c>
      <c r="I512" s="7">
        <f>'Прил.№4 ведомств.'!K672</f>
        <v>2794</v>
      </c>
      <c r="J512" s="7">
        <f>'Прил.№4 ведомств.'!L672</f>
        <v>2794</v>
      </c>
      <c r="K512" s="7">
        <f>'Прил.№4 ведомств.'!M672</f>
        <v>2794</v>
      </c>
      <c r="L512" s="7">
        <f>'Прил.№4 ведомств.'!N672</f>
        <v>2500</v>
      </c>
      <c r="M512" s="7">
        <f t="shared" si="289"/>
        <v>89.477451682176095</v>
      </c>
    </row>
    <row r="513" spans="1:13" ht="15.75">
      <c r="A513" s="31" t="s">
        <v>174</v>
      </c>
      <c r="B513" s="42" t="s">
        <v>317</v>
      </c>
      <c r="C513" s="42" t="s">
        <v>266</v>
      </c>
      <c r="D513" s="42" t="s">
        <v>175</v>
      </c>
      <c r="E513" s="42"/>
      <c r="F513" s="7">
        <f>F514</f>
        <v>89857.8</v>
      </c>
      <c r="G513" s="7">
        <f t="shared" ref="G513:L513" si="310">G514</f>
        <v>89857.8</v>
      </c>
      <c r="H513" s="7">
        <f t="shared" si="310"/>
        <v>89857.8</v>
      </c>
      <c r="I513" s="7">
        <f t="shared" si="310"/>
        <v>89857.8</v>
      </c>
      <c r="J513" s="7">
        <f t="shared" si="310"/>
        <v>89857.8</v>
      </c>
      <c r="K513" s="7">
        <f t="shared" si="310"/>
        <v>89567.2</v>
      </c>
      <c r="L513" s="7">
        <f t="shared" si="310"/>
        <v>25564.1</v>
      </c>
      <c r="M513" s="7">
        <f t="shared" si="289"/>
        <v>28.541809948284641</v>
      </c>
    </row>
    <row r="514" spans="1:13" ht="31.5">
      <c r="A514" s="31" t="s">
        <v>238</v>
      </c>
      <c r="B514" s="42" t="s">
        <v>317</v>
      </c>
      <c r="C514" s="42" t="s">
        <v>266</v>
      </c>
      <c r="D514" s="42" t="s">
        <v>239</v>
      </c>
      <c r="E514" s="42"/>
      <c r="F514" s="7">
        <f>F515+F518+F521+F524+F530+F533+F536+F539+F542+F527</f>
        <v>89857.8</v>
      </c>
      <c r="G514" s="7">
        <f t="shared" ref="G514:K514" si="311">G515+G518+G521+G524+G530+G533+G536+G539+G542+G527</f>
        <v>89857.8</v>
      </c>
      <c r="H514" s="7">
        <f t="shared" si="311"/>
        <v>89857.8</v>
      </c>
      <c r="I514" s="7">
        <f t="shared" si="311"/>
        <v>89857.8</v>
      </c>
      <c r="J514" s="7">
        <f t="shared" si="311"/>
        <v>89857.8</v>
      </c>
      <c r="K514" s="7">
        <f t="shared" si="311"/>
        <v>89567.2</v>
      </c>
      <c r="L514" s="7">
        <f t="shared" ref="L514" si="312">L515+L518+L521+L524+L530+L533+L536+L539+L542+L527</f>
        <v>25564.1</v>
      </c>
      <c r="M514" s="7">
        <f t="shared" si="289"/>
        <v>28.541809948284641</v>
      </c>
    </row>
    <row r="515" spans="1:13" ht="47.25" hidden="1" customHeight="1">
      <c r="A515" s="26" t="s">
        <v>504</v>
      </c>
      <c r="B515" s="21" t="s">
        <v>317</v>
      </c>
      <c r="C515" s="21" t="s">
        <v>266</v>
      </c>
      <c r="D515" s="21" t="s">
        <v>505</v>
      </c>
      <c r="E515" s="21"/>
      <c r="F515" s="7">
        <f>F516</f>
        <v>0</v>
      </c>
      <c r="G515" s="7">
        <f t="shared" ref="G515:L516" si="313">G516</f>
        <v>0</v>
      </c>
      <c r="H515" s="7">
        <f t="shared" si="313"/>
        <v>0</v>
      </c>
      <c r="I515" s="7">
        <f t="shared" si="313"/>
        <v>0</v>
      </c>
      <c r="J515" s="7">
        <f t="shared" si="313"/>
        <v>0</v>
      </c>
      <c r="K515" s="7">
        <f t="shared" si="313"/>
        <v>0</v>
      </c>
      <c r="L515" s="7">
        <f t="shared" si="313"/>
        <v>0</v>
      </c>
      <c r="M515" s="7" t="e">
        <f t="shared" si="289"/>
        <v>#DIV/0!</v>
      </c>
    </row>
    <row r="516" spans="1:13" ht="47.25" hidden="1" customHeight="1">
      <c r="A516" s="26" t="s">
        <v>325</v>
      </c>
      <c r="B516" s="21" t="s">
        <v>317</v>
      </c>
      <c r="C516" s="21" t="s">
        <v>266</v>
      </c>
      <c r="D516" s="21" t="s">
        <v>505</v>
      </c>
      <c r="E516" s="21" t="s">
        <v>326</v>
      </c>
      <c r="F516" s="7">
        <f>F517</f>
        <v>0</v>
      </c>
      <c r="G516" s="7">
        <f t="shared" si="313"/>
        <v>0</v>
      </c>
      <c r="H516" s="7">
        <f t="shared" si="313"/>
        <v>0</v>
      </c>
      <c r="I516" s="7">
        <f t="shared" si="313"/>
        <v>0</v>
      </c>
      <c r="J516" s="7">
        <f t="shared" si="313"/>
        <v>0</v>
      </c>
      <c r="K516" s="7">
        <f t="shared" si="313"/>
        <v>0</v>
      </c>
      <c r="L516" s="7">
        <f t="shared" si="313"/>
        <v>0</v>
      </c>
      <c r="M516" s="7" t="e">
        <f t="shared" si="289"/>
        <v>#DIV/0!</v>
      </c>
    </row>
    <row r="517" spans="1:13" ht="15.75" hidden="1" customHeight="1">
      <c r="A517" s="26" t="s">
        <v>327</v>
      </c>
      <c r="B517" s="21" t="s">
        <v>317</v>
      </c>
      <c r="C517" s="21" t="s">
        <v>266</v>
      </c>
      <c r="D517" s="21" t="s">
        <v>505</v>
      </c>
      <c r="E517" s="21" t="s">
        <v>328</v>
      </c>
      <c r="F517" s="7"/>
      <c r="G517" s="7"/>
      <c r="H517" s="7"/>
      <c r="I517" s="7"/>
      <c r="J517" s="7"/>
      <c r="K517" s="7"/>
      <c r="L517" s="7"/>
      <c r="M517" s="7" t="e">
        <f t="shared" si="289"/>
        <v>#DIV/0!</v>
      </c>
    </row>
    <row r="518" spans="1:13" ht="15.75" hidden="1" customHeight="1">
      <c r="A518" s="26" t="s">
        <v>506</v>
      </c>
      <c r="B518" s="21" t="s">
        <v>317</v>
      </c>
      <c r="C518" s="21" t="s">
        <v>266</v>
      </c>
      <c r="D518" s="21" t="s">
        <v>507</v>
      </c>
      <c r="E518" s="21"/>
      <c r="F518" s="7">
        <f>F519</f>
        <v>0</v>
      </c>
      <c r="G518" s="7">
        <f t="shared" ref="G518:L519" si="314">G519</f>
        <v>0</v>
      </c>
      <c r="H518" s="7">
        <f t="shared" si="314"/>
        <v>0</v>
      </c>
      <c r="I518" s="7">
        <f t="shared" si="314"/>
        <v>0</v>
      </c>
      <c r="J518" s="7">
        <f t="shared" si="314"/>
        <v>0</v>
      </c>
      <c r="K518" s="7">
        <f t="shared" si="314"/>
        <v>0</v>
      </c>
      <c r="L518" s="7">
        <f t="shared" si="314"/>
        <v>0</v>
      </c>
      <c r="M518" s="7" t="e">
        <f t="shared" si="289"/>
        <v>#DIV/0!</v>
      </c>
    </row>
    <row r="519" spans="1:13" ht="47.25" hidden="1" customHeight="1">
      <c r="A519" s="26" t="s">
        <v>325</v>
      </c>
      <c r="B519" s="21" t="s">
        <v>317</v>
      </c>
      <c r="C519" s="21" t="s">
        <v>266</v>
      </c>
      <c r="D519" s="21" t="s">
        <v>507</v>
      </c>
      <c r="E519" s="21" t="s">
        <v>326</v>
      </c>
      <c r="F519" s="7">
        <f>F520</f>
        <v>0</v>
      </c>
      <c r="G519" s="7">
        <f t="shared" si="314"/>
        <v>0</v>
      </c>
      <c r="H519" s="7">
        <f t="shared" si="314"/>
        <v>0</v>
      </c>
      <c r="I519" s="7">
        <f t="shared" si="314"/>
        <v>0</v>
      </c>
      <c r="J519" s="7">
        <f t="shared" si="314"/>
        <v>0</v>
      </c>
      <c r="K519" s="7">
        <f t="shared" si="314"/>
        <v>0</v>
      </c>
      <c r="L519" s="7">
        <f t="shared" si="314"/>
        <v>0</v>
      </c>
      <c r="M519" s="7" t="e">
        <f t="shared" si="289"/>
        <v>#DIV/0!</v>
      </c>
    </row>
    <row r="520" spans="1:13" ht="15.75" hidden="1" customHeight="1">
      <c r="A520" s="26" t="s">
        <v>327</v>
      </c>
      <c r="B520" s="21" t="s">
        <v>317</v>
      </c>
      <c r="C520" s="21" t="s">
        <v>266</v>
      </c>
      <c r="D520" s="21" t="s">
        <v>507</v>
      </c>
      <c r="E520" s="21" t="s">
        <v>328</v>
      </c>
      <c r="F520" s="7"/>
      <c r="G520" s="7"/>
      <c r="H520" s="7"/>
      <c r="I520" s="7"/>
      <c r="J520" s="7"/>
      <c r="K520" s="7"/>
      <c r="L520" s="7"/>
      <c r="M520" s="7" t="e">
        <f t="shared" si="289"/>
        <v>#DIV/0!</v>
      </c>
    </row>
    <row r="521" spans="1:13" ht="31.5" hidden="1" customHeight="1">
      <c r="A521" s="31" t="s">
        <v>675</v>
      </c>
      <c r="B521" s="42" t="s">
        <v>317</v>
      </c>
      <c r="C521" s="42" t="s">
        <v>266</v>
      </c>
      <c r="D521" s="42" t="s">
        <v>509</v>
      </c>
      <c r="E521" s="42"/>
      <c r="F521" s="7">
        <f>F522</f>
        <v>0</v>
      </c>
      <c r="G521" s="7">
        <f t="shared" ref="G521:L522" si="315">G522</f>
        <v>0</v>
      </c>
      <c r="H521" s="7">
        <f t="shared" si="315"/>
        <v>0</v>
      </c>
      <c r="I521" s="7">
        <f t="shared" si="315"/>
        <v>0</v>
      </c>
      <c r="J521" s="7">
        <f t="shared" si="315"/>
        <v>0</v>
      </c>
      <c r="K521" s="7">
        <f t="shared" si="315"/>
        <v>0</v>
      </c>
      <c r="L521" s="7">
        <f t="shared" si="315"/>
        <v>0</v>
      </c>
      <c r="M521" s="7" t="e">
        <f t="shared" si="289"/>
        <v>#DIV/0!</v>
      </c>
    </row>
    <row r="522" spans="1:13" ht="47.25" hidden="1" customHeight="1">
      <c r="A522" s="31" t="s">
        <v>325</v>
      </c>
      <c r="B522" s="42" t="s">
        <v>317</v>
      </c>
      <c r="C522" s="42" t="s">
        <v>266</v>
      </c>
      <c r="D522" s="42" t="s">
        <v>509</v>
      </c>
      <c r="E522" s="42" t="s">
        <v>326</v>
      </c>
      <c r="F522" s="7">
        <f>F523</f>
        <v>0</v>
      </c>
      <c r="G522" s="7">
        <f t="shared" si="315"/>
        <v>0</v>
      </c>
      <c r="H522" s="7">
        <f t="shared" si="315"/>
        <v>0</v>
      </c>
      <c r="I522" s="7">
        <f t="shared" si="315"/>
        <v>0</v>
      </c>
      <c r="J522" s="7">
        <f t="shared" si="315"/>
        <v>0</v>
      </c>
      <c r="K522" s="7">
        <f t="shared" si="315"/>
        <v>0</v>
      </c>
      <c r="L522" s="7">
        <f t="shared" si="315"/>
        <v>0</v>
      </c>
      <c r="M522" s="7" t="e">
        <f t="shared" si="289"/>
        <v>#DIV/0!</v>
      </c>
    </row>
    <row r="523" spans="1:13" ht="15.75" hidden="1" customHeight="1">
      <c r="A523" s="31" t="s">
        <v>327</v>
      </c>
      <c r="B523" s="42" t="s">
        <v>317</v>
      </c>
      <c r="C523" s="42" t="s">
        <v>266</v>
      </c>
      <c r="D523" s="42" t="s">
        <v>509</v>
      </c>
      <c r="E523" s="42" t="s">
        <v>328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 t="e">
        <f t="shared" si="289"/>
        <v>#DIV/0!</v>
      </c>
    </row>
    <row r="524" spans="1:13" ht="31.5">
      <c r="A524" s="31" t="s">
        <v>510</v>
      </c>
      <c r="B524" s="42" t="s">
        <v>317</v>
      </c>
      <c r="C524" s="42" t="s">
        <v>266</v>
      </c>
      <c r="D524" s="42" t="s">
        <v>511</v>
      </c>
      <c r="E524" s="42"/>
      <c r="F524" s="7">
        <f>F525</f>
        <v>1293.5999999999999</v>
      </c>
      <c r="G524" s="7">
        <f t="shared" ref="G524:L525" si="316">G525</f>
        <v>1293.5999999999999</v>
      </c>
      <c r="H524" s="7">
        <f t="shared" si="316"/>
        <v>1293.5999999999999</v>
      </c>
      <c r="I524" s="7">
        <f t="shared" si="316"/>
        <v>1293.5999999999999</v>
      </c>
      <c r="J524" s="7">
        <f t="shared" si="316"/>
        <v>1293.5999999999999</v>
      </c>
      <c r="K524" s="7">
        <f t="shared" si="316"/>
        <v>1293.5999999999999</v>
      </c>
      <c r="L524" s="7">
        <f t="shared" si="316"/>
        <v>160</v>
      </c>
      <c r="M524" s="7">
        <f t="shared" si="289"/>
        <v>12.368583797155226</v>
      </c>
    </row>
    <row r="525" spans="1:13" ht="47.25">
      <c r="A525" s="31" t="s">
        <v>325</v>
      </c>
      <c r="B525" s="42" t="s">
        <v>317</v>
      </c>
      <c r="C525" s="42" t="s">
        <v>266</v>
      </c>
      <c r="D525" s="42" t="s">
        <v>511</v>
      </c>
      <c r="E525" s="42" t="s">
        <v>326</v>
      </c>
      <c r="F525" s="7">
        <f>F526</f>
        <v>1293.5999999999999</v>
      </c>
      <c r="G525" s="7">
        <f t="shared" si="316"/>
        <v>1293.5999999999999</v>
      </c>
      <c r="H525" s="7">
        <f t="shared" si="316"/>
        <v>1293.5999999999999</v>
      </c>
      <c r="I525" s="7">
        <f t="shared" si="316"/>
        <v>1293.5999999999999</v>
      </c>
      <c r="J525" s="7">
        <f t="shared" si="316"/>
        <v>1293.5999999999999</v>
      </c>
      <c r="K525" s="7">
        <f t="shared" si="316"/>
        <v>1293.5999999999999</v>
      </c>
      <c r="L525" s="7">
        <f t="shared" si="316"/>
        <v>160</v>
      </c>
      <c r="M525" s="7">
        <f t="shared" ref="M525:M588" si="317">L525/K525*100</f>
        <v>12.368583797155226</v>
      </c>
    </row>
    <row r="526" spans="1:13" ht="15.75">
      <c r="A526" s="31" t="s">
        <v>327</v>
      </c>
      <c r="B526" s="42" t="s">
        <v>317</v>
      </c>
      <c r="C526" s="42" t="s">
        <v>266</v>
      </c>
      <c r="D526" s="42" t="s">
        <v>511</v>
      </c>
      <c r="E526" s="42" t="s">
        <v>328</v>
      </c>
      <c r="F526" s="7">
        <f>'Прил.№4 ведомств.'!G686</f>
        <v>1293.5999999999999</v>
      </c>
      <c r="G526" s="7">
        <f>'Прил.№4 ведомств.'!I686</f>
        <v>1293.5999999999999</v>
      </c>
      <c r="H526" s="7">
        <f>'Прил.№4 ведомств.'!J686</f>
        <v>1293.5999999999999</v>
      </c>
      <c r="I526" s="7">
        <f>'Прил.№4 ведомств.'!K686</f>
        <v>1293.5999999999999</v>
      </c>
      <c r="J526" s="7">
        <f>'Прил.№4 ведомств.'!L686</f>
        <v>1293.5999999999999</v>
      </c>
      <c r="K526" s="7">
        <f>'Прил.№4 ведомств.'!M686</f>
        <v>1293.5999999999999</v>
      </c>
      <c r="L526" s="7">
        <f>'Прил.№4 ведомств.'!N686</f>
        <v>160</v>
      </c>
      <c r="M526" s="7">
        <f t="shared" si="317"/>
        <v>12.368583797155226</v>
      </c>
    </row>
    <row r="527" spans="1:13" ht="47.25">
      <c r="A527" s="26" t="s">
        <v>512</v>
      </c>
      <c r="B527" s="42" t="s">
        <v>317</v>
      </c>
      <c r="C527" s="42" t="s">
        <v>266</v>
      </c>
      <c r="D527" s="42" t="s">
        <v>513</v>
      </c>
      <c r="E527" s="42"/>
      <c r="F527" s="7">
        <f>F528</f>
        <v>488.7</v>
      </c>
      <c r="G527" s="7">
        <f t="shared" ref="G527:L528" si="318">G528</f>
        <v>488.7</v>
      </c>
      <c r="H527" s="7">
        <f t="shared" si="318"/>
        <v>488.7</v>
      </c>
      <c r="I527" s="7">
        <f t="shared" si="318"/>
        <v>488.7</v>
      </c>
      <c r="J527" s="7">
        <f t="shared" si="318"/>
        <v>488.7</v>
      </c>
      <c r="K527" s="7">
        <f t="shared" si="318"/>
        <v>488.7</v>
      </c>
      <c r="L527" s="7">
        <f t="shared" si="318"/>
        <v>75</v>
      </c>
      <c r="M527" s="7">
        <f t="shared" si="317"/>
        <v>15.34683855125844</v>
      </c>
    </row>
    <row r="528" spans="1:13" ht="47.25">
      <c r="A528" s="26" t="s">
        <v>325</v>
      </c>
      <c r="B528" s="42" t="s">
        <v>317</v>
      </c>
      <c r="C528" s="42" t="s">
        <v>266</v>
      </c>
      <c r="D528" s="42" t="s">
        <v>513</v>
      </c>
      <c r="E528" s="42" t="s">
        <v>326</v>
      </c>
      <c r="F528" s="7">
        <f>F529</f>
        <v>488.7</v>
      </c>
      <c r="G528" s="7">
        <f t="shared" si="318"/>
        <v>488.7</v>
      </c>
      <c r="H528" s="7">
        <f t="shared" si="318"/>
        <v>488.7</v>
      </c>
      <c r="I528" s="7">
        <f t="shared" si="318"/>
        <v>488.7</v>
      </c>
      <c r="J528" s="7">
        <f t="shared" si="318"/>
        <v>488.7</v>
      </c>
      <c r="K528" s="7">
        <f t="shared" si="318"/>
        <v>488.7</v>
      </c>
      <c r="L528" s="7">
        <f t="shared" si="318"/>
        <v>75</v>
      </c>
      <c r="M528" s="7">
        <f t="shared" si="317"/>
        <v>15.34683855125844</v>
      </c>
    </row>
    <row r="529" spans="1:13" ht="15.75">
      <c r="A529" s="26" t="s">
        <v>327</v>
      </c>
      <c r="B529" s="42" t="s">
        <v>317</v>
      </c>
      <c r="C529" s="42" t="s">
        <v>266</v>
      </c>
      <c r="D529" s="42" t="s">
        <v>513</v>
      </c>
      <c r="E529" s="42" t="s">
        <v>328</v>
      </c>
      <c r="F529" s="7">
        <f>'Прил.№4 ведомств.'!G689</f>
        <v>488.7</v>
      </c>
      <c r="G529" s="7">
        <f>'Прил.№4 ведомств.'!I689</f>
        <v>488.7</v>
      </c>
      <c r="H529" s="7">
        <f>'Прил.№4 ведомств.'!J689</f>
        <v>488.7</v>
      </c>
      <c r="I529" s="7">
        <f>'Прил.№4 ведомств.'!K689</f>
        <v>488.7</v>
      </c>
      <c r="J529" s="7">
        <f>'Прил.№4 ведомств.'!L689</f>
        <v>488.7</v>
      </c>
      <c r="K529" s="7">
        <f>'Прил.№4 ведомств.'!M689</f>
        <v>488.7</v>
      </c>
      <c r="L529" s="7">
        <f>'Прил.№4 ведомств.'!N689</f>
        <v>75</v>
      </c>
      <c r="M529" s="7">
        <f t="shared" si="317"/>
        <v>15.34683855125844</v>
      </c>
    </row>
    <row r="530" spans="1:13" ht="78.75">
      <c r="A530" s="33" t="s">
        <v>514</v>
      </c>
      <c r="B530" s="42" t="s">
        <v>317</v>
      </c>
      <c r="C530" s="42" t="s">
        <v>266</v>
      </c>
      <c r="D530" s="42" t="s">
        <v>515</v>
      </c>
      <c r="E530" s="42"/>
      <c r="F530" s="7">
        <f>F531</f>
        <v>79753.600000000006</v>
      </c>
      <c r="G530" s="7">
        <f t="shared" ref="G530:L531" si="319">G531</f>
        <v>79753.600000000006</v>
      </c>
      <c r="H530" s="7">
        <f t="shared" si="319"/>
        <v>79753.600000000006</v>
      </c>
      <c r="I530" s="7">
        <f t="shared" si="319"/>
        <v>79753.600000000006</v>
      </c>
      <c r="J530" s="7">
        <f t="shared" si="319"/>
        <v>79753.600000000006</v>
      </c>
      <c r="K530" s="7">
        <f t="shared" si="319"/>
        <v>79406.8</v>
      </c>
      <c r="L530" s="7">
        <f t="shared" si="319"/>
        <v>23586.799999999999</v>
      </c>
      <c r="M530" s="7">
        <f t="shared" si="317"/>
        <v>29.703753330948985</v>
      </c>
    </row>
    <row r="531" spans="1:13" ht="47.25">
      <c r="A531" s="31" t="s">
        <v>325</v>
      </c>
      <c r="B531" s="42" t="s">
        <v>317</v>
      </c>
      <c r="C531" s="42" t="s">
        <v>266</v>
      </c>
      <c r="D531" s="42" t="s">
        <v>515</v>
      </c>
      <c r="E531" s="42" t="s">
        <v>326</v>
      </c>
      <c r="F531" s="7">
        <f>F532</f>
        <v>79753.600000000006</v>
      </c>
      <c r="G531" s="7">
        <f t="shared" si="319"/>
        <v>79753.600000000006</v>
      </c>
      <c r="H531" s="7">
        <f t="shared" si="319"/>
        <v>79753.600000000006</v>
      </c>
      <c r="I531" s="7">
        <f t="shared" si="319"/>
        <v>79753.600000000006</v>
      </c>
      <c r="J531" s="7">
        <f t="shared" si="319"/>
        <v>79753.600000000006</v>
      </c>
      <c r="K531" s="7">
        <f t="shared" si="319"/>
        <v>79406.8</v>
      </c>
      <c r="L531" s="7">
        <f t="shared" si="319"/>
        <v>23586.799999999999</v>
      </c>
      <c r="M531" s="7">
        <f t="shared" si="317"/>
        <v>29.703753330948985</v>
      </c>
    </row>
    <row r="532" spans="1:13" ht="15.75">
      <c r="A532" s="31" t="s">
        <v>327</v>
      </c>
      <c r="B532" s="42" t="s">
        <v>317</v>
      </c>
      <c r="C532" s="42" t="s">
        <v>266</v>
      </c>
      <c r="D532" s="42" t="s">
        <v>515</v>
      </c>
      <c r="E532" s="42" t="s">
        <v>328</v>
      </c>
      <c r="F532" s="7">
        <f>'Прил.№4 ведомств.'!G692</f>
        <v>79753.600000000006</v>
      </c>
      <c r="G532" s="7">
        <f>'Прил.№4 ведомств.'!I692</f>
        <v>79753.600000000006</v>
      </c>
      <c r="H532" s="7">
        <f>'Прил.№4 ведомств.'!J692</f>
        <v>79753.600000000006</v>
      </c>
      <c r="I532" s="7">
        <f>'Прил.№4 ведомств.'!K692</f>
        <v>79753.600000000006</v>
      </c>
      <c r="J532" s="7">
        <f>'Прил.№4 ведомств.'!L692</f>
        <v>79753.600000000006</v>
      </c>
      <c r="K532" s="7">
        <f>'Прил.№4 ведомств.'!M692</f>
        <v>79406.8</v>
      </c>
      <c r="L532" s="7">
        <f>'Прил.№4 ведомств.'!N692</f>
        <v>23586.799999999999</v>
      </c>
      <c r="M532" s="7">
        <f t="shared" si="317"/>
        <v>29.703753330948985</v>
      </c>
    </row>
    <row r="533" spans="1:13" ht="63">
      <c r="A533" s="47" t="s">
        <v>342</v>
      </c>
      <c r="B533" s="42" t="s">
        <v>317</v>
      </c>
      <c r="C533" s="42" t="s">
        <v>266</v>
      </c>
      <c r="D533" s="42" t="s">
        <v>343</v>
      </c>
      <c r="E533" s="42"/>
      <c r="F533" s="7">
        <f>F534</f>
        <v>910.90000000000009</v>
      </c>
      <c r="G533" s="7">
        <f t="shared" ref="G533:L534" si="320">G534</f>
        <v>910.90000000000009</v>
      </c>
      <c r="H533" s="7">
        <f t="shared" si="320"/>
        <v>910.90000000000009</v>
      </c>
      <c r="I533" s="7">
        <f t="shared" si="320"/>
        <v>910.90000000000009</v>
      </c>
      <c r="J533" s="7">
        <f t="shared" si="320"/>
        <v>910.90000000000009</v>
      </c>
      <c r="K533" s="7">
        <f t="shared" si="320"/>
        <v>910.90000000000009</v>
      </c>
      <c r="L533" s="7">
        <f t="shared" si="320"/>
        <v>158.69999999999999</v>
      </c>
      <c r="M533" s="7">
        <f t="shared" si="317"/>
        <v>17.422329564167306</v>
      </c>
    </row>
    <row r="534" spans="1:13" ht="47.25">
      <c r="A534" s="31" t="s">
        <v>325</v>
      </c>
      <c r="B534" s="42" t="s">
        <v>317</v>
      </c>
      <c r="C534" s="42" t="s">
        <v>266</v>
      </c>
      <c r="D534" s="42" t="s">
        <v>343</v>
      </c>
      <c r="E534" s="42" t="s">
        <v>326</v>
      </c>
      <c r="F534" s="7">
        <f>F535</f>
        <v>910.90000000000009</v>
      </c>
      <c r="G534" s="7">
        <f t="shared" si="320"/>
        <v>910.90000000000009</v>
      </c>
      <c r="H534" s="7">
        <f t="shared" si="320"/>
        <v>910.90000000000009</v>
      </c>
      <c r="I534" s="7">
        <f t="shared" si="320"/>
        <v>910.90000000000009</v>
      </c>
      <c r="J534" s="7">
        <f t="shared" si="320"/>
        <v>910.90000000000009</v>
      </c>
      <c r="K534" s="7">
        <f t="shared" si="320"/>
        <v>910.90000000000009</v>
      </c>
      <c r="L534" s="7">
        <f t="shared" si="320"/>
        <v>158.69999999999999</v>
      </c>
      <c r="M534" s="7">
        <f t="shared" si="317"/>
        <v>17.422329564167306</v>
      </c>
    </row>
    <row r="535" spans="1:13" ht="15.75">
      <c r="A535" s="31" t="s">
        <v>327</v>
      </c>
      <c r="B535" s="42" t="s">
        <v>317</v>
      </c>
      <c r="C535" s="42" t="s">
        <v>266</v>
      </c>
      <c r="D535" s="42" t="s">
        <v>343</v>
      </c>
      <c r="E535" s="42" t="s">
        <v>328</v>
      </c>
      <c r="F535" s="7">
        <f>'Прил.№4 ведомств.'!G695</f>
        <v>910.90000000000009</v>
      </c>
      <c r="G535" s="7">
        <f>'Прил.№4 ведомств.'!I695</f>
        <v>910.90000000000009</v>
      </c>
      <c r="H535" s="7">
        <f>'Прил.№4 ведомств.'!J695</f>
        <v>910.90000000000009</v>
      </c>
      <c r="I535" s="7">
        <f>'Прил.№4 ведомств.'!K695</f>
        <v>910.90000000000009</v>
      </c>
      <c r="J535" s="7">
        <f>'Прил.№4 ведомств.'!L695</f>
        <v>910.90000000000009</v>
      </c>
      <c r="K535" s="7">
        <f>'Прил.№4 ведомств.'!M695</f>
        <v>910.90000000000009</v>
      </c>
      <c r="L535" s="7">
        <f>'Прил.№4 ведомств.'!N695</f>
        <v>158.69999999999999</v>
      </c>
      <c r="M535" s="7">
        <f t="shared" si="317"/>
        <v>17.422329564167306</v>
      </c>
    </row>
    <row r="536" spans="1:13" ht="63">
      <c r="A536" s="47" t="s">
        <v>344</v>
      </c>
      <c r="B536" s="42" t="s">
        <v>317</v>
      </c>
      <c r="C536" s="42" t="s">
        <v>266</v>
      </c>
      <c r="D536" s="42" t="s">
        <v>345</v>
      </c>
      <c r="E536" s="42"/>
      <c r="F536" s="7">
        <f>F537</f>
        <v>2155.5</v>
      </c>
      <c r="G536" s="7">
        <f t="shared" ref="G536:L537" si="321">G537</f>
        <v>2155.5</v>
      </c>
      <c r="H536" s="7">
        <f t="shared" si="321"/>
        <v>2155.5</v>
      </c>
      <c r="I536" s="7">
        <f t="shared" si="321"/>
        <v>2155.5</v>
      </c>
      <c r="J536" s="7">
        <f t="shared" si="321"/>
        <v>2155.5</v>
      </c>
      <c r="K536" s="7">
        <f t="shared" si="321"/>
        <v>2230.5</v>
      </c>
      <c r="L536" s="7">
        <f t="shared" si="321"/>
        <v>400</v>
      </c>
      <c r="M536" s="7">
        <f t="shared" si="317"/>
        <v>17.933198834342075</v>
      </c>
    </row>
    <row r="537" spans="1:13" ht="47.25">
      <c r="A537" s="31" t="s">
        <v>325</v>
      </c>
      <c r="B537" s="42" t="s">
        <v>317</v>
      </c>
      <c r="C537" s="42" t="s">
        <v>266</v>
      </c>
      <c r="D537" s="42" t="s">
        <v>345</v>
      </c>
      <c r="E537" s="42" t="s">
        <v>326</v>
      </c>
      <c r="F537" s="7">
        <f>F538</f>
        <v>2155.5</v>
      </c>
      <c r="G537" s="7">
        <f t="shared" si="321"/>
        <v>2155.5</v>
      </c>
      <c r="H537" s="7">
        <f t="shared" si="321"/>
        <v>2155.5</v>
      </c>
      <c r="I537" s="7">
        <f t="shared" si="321"/>
        <v>2155.5</v>
      </c>
      <c r="J537" s="7">
        <f t="shared" si="321"/>
        <v>2155.5</v>
      </c>
      <c r="K537" s="7">
        <f t="shared" si="321"/>
        <v>2230.5</v>
      </c>
      <c r="L537" s="7">
        <f t="shared" si="321"/>
        <v>400</v>
      </c>
      <c r="M537" s="7">
        <f t="shared" si="317"/>
        <v>17.933198834342075</v>
      </c>
    </row>
    <row r="538" spans="1:13" ht="15.75">
      <c r="A538" s="31" t="s">
        <v>327</v>
      </c>
      <c r="B538" s="42" t="s">
        <v>317</v>
      </c>
      <c r="C538" s="42" t="s">
        <v>266</v>
      </c>
      <c r="D538" s="42" t="s">
        <v>345</v>
      </c>
      <c r="E538" s="42" t="s">
        <v>328</v>
      </c>
      <c r="F538" s="7">
        <f>'Прил.№4 ведомств.'!G698</f>
        <v>2155.5</v>
      </c>
      <c r="G538" s="7">
        <f>'Прил.№4 ведомств.'!I698</f>
        <v>2155.5</v>
      </c>
      <c r="H538" s="7">
        <f>'Прил.№4 ведомств.'!J698</f>
        <v>2155.5</v>
      </c>
      <c r="I538" s="7">
        <f>'Прил.№4 ведомств.'!K698</f>
        <v>2155.5</v>
      </c>
      <c r="J538" s="7">
        <f>'Прил.№4 ведомств.'!L698</f>
        <v>2155.5</v>
      </c>
      <c r="K538" s="7">
        <f>'Прил.№4 ведомств.'!M698</f>
        <v>2230.5</v>
      </c>
      <c r="L538" s="7">
        <f>'Прил.№4 ведомств.'!N698</f>
        <v>400</v>
      </c>
      <c r="M538" s="7">
        <f t="shared" si="317"/>
        <v>17.933198834342075</v>
      </c>
    </row>
    <row r="539" spans="1:13" ht="47.25">
      <c r="A539" s="33" t="s">
        <v>516</v>
      </c>
      <c r="B539" s="42" t="s">
        <v>317</v>
      </c>
      <c r="C539" s="42" t="s">
        <v>266</v>
      </c>
      <c r="D539" s="42" t="s">
        <v>517</v>
      </c>
      <c r="E539" s="42"/>
      <c r="F539" s="7">
        <f>F540</f>
        <v>886.5</v>
      </c>
      <c r="G539" s="7">
        <f t="shared" ref="G539:L540" si="322">G540</f>
        <v>886.5</v>
      </c>
      <c r="H539" s="7">
        <f t="shared" si="322"/>
        <v>886.5</v>
      </c>
      <c r="I539" s="7">
        <f t="shared" si="322"/>
        <v>886.5</v>
      </c>
      <c r="J539" s="7">
        <f t="shared" si="322"/>
        <v>886.5</v>
      </c>
      <c r="K539" s="7">
        <f t="shared" si="322"/>
        <v>942</v>
      </c>
      <c r="L539" s="7">
        <f t="shared" si="322"/>
        <v>232.6</v>
      </c>
      <c r="M539" s="7">
        <f t="shared" si="317"/>
        <v>24.692144373673035</v>
      </c>
    </row>
    <row r="540" spans="1:13" ht="47.25">
      <c r="A540" s="31" t="s">
        <v>325</v>
      </c>
      <c r="B540" s="42" t="s">
        <v>317</v>
      </c>
      <c r="C540" s="42" t="s">
        <v>266</v>
      </c>
      <c r="D540" s="42" t="s">
        <v>517</v>
      </c>
      <c r="E540" s="42" t="s">
        <v>326</v>
      </c>
      <c r="F540" s="7">
        <f>F541</f>
        <v>886.5</v>
      </c>
      <c r="G540" s="7">
        <f t="shared" si="322"/>
        <v>886.5</v>
      </c>
      <c r="H540" s="7">
        <f t="shared" si="322"/>
        <v>886.5</v>
      </c>
      <c r="I540" s="7">
        <f t="shared" si="322"/>
        <v>886.5</v>
      </c>
      <c r="J540" s="7">
        <f t="shared" si="322"/>
        <v>886.5</v>
      </c>
      <c r="K540" s="7">
        <f t="shared" si="322"/>
        <v>942</v>
      </c>
      <c r="L540" s="7">
        <f t="shared" si="322"/>
        <v>232.6</v>
      </c>
      <c r="M540" s="7">
        <f t="shared" si="317"/>
        <v>24.692144373673035</v>
      </c>
    </row>
    <row r="541" spans="1:13" ht="15.75">
      <c r="A541" s="31" t="s">
        <v>327</v>
      </c>
      <c r="B541" s="42" t="s">
        <v>317</v>
      </c>
      <c r="C541" s="42" t="s">
        <v>266</v>
      </c>
      <c r="D541" s="42" t="s">
        <v>517</v>
      </c>
      <c r="E541" s="42" t="s">
        <v>328</v>
      </c>
      <c r="F541" s="7">
        <f>'Прил.№4 ведомств.'!G701</f>
        <v>886.5</v>
      </c>
      <c r="G541" s="7">
        <f>'Прил.№4 ведомств.'!I701</f>
        <v>886.5</v>
      </c>
      <c r="H541" s="7">
        <f>'Прил.№4 ведомств.'!J701</f>
        <v>886.5</v>
      </c>
      <c r="I541" s="7">
        <f>'Прил.№4 ведомств.'!K701</f>
        <v>886.5</v>
      </c>
      <c r="J541" s="7">
        <f>'Прил.№4 ведомств.'!L701</f>
        <v>886.5</v>
      </c>
      <c r="K541" s="7">
        <f>'Прил.№4 ведомств.'!M701</f>
        <v>942</v>
      </c>
      <c r="L541" s="7">
        <f>'Прил.№4 ведомств.'!N701</f>
        <v>232.6</v>
      </c>
      <c r="M541" s="7">
        <f t="shared" si="317"/>
        <v>24.692144373673035</v>
      </c>
    </row>
    <row r="542" spans="1:13" ht="94.5">
      <c r="A542" s="47" t="s">
        <v>346</v>
      </c>
      <c r="B542" s="42" t="s">
        <v>317</v>
      </c>
      <c r="C542" s="42" t="s">
        <v>266</v>
      </c>
      <c r="D542" s="21" t="s">
        <v>347</v>
      </c>
      <c r="E542" s="42"/>
      <c r="F542" s="7">
        <f>F543</f>
        <v>4369</v>
      </c>
      <c r="G542" s="7">
        <f t="shared" ref="G542:L543" si="323">G543</f>
        <v>4369</v>
      </c>
      <c r="H542" s="7">
        <f t="shared" si="323"/>
        <v>4369</v>
      </c>
      <c r="I542" s="7">
        <f t="shared" si="323"/>
        <v>4369</v>
      </c>
      <c r="J542" s="7">
        <f t="shared" si="323"/>
        <v>4369</v>
      </c>
      <c r="K542" s="7">
        <f t="shared" si="323"/>
        <v>4294.7</v>
      </c>
      <c r="L542" s="7">
        <f t="shared" si="323"/>
        <v>951</v>
      </c>
      <c r="M542" s="7">
        <f t="shared" si="317"/>
        <v>22.143572310056584</v>
      </c>
    </row>
    <row r="543" spans="1:13" ht="47.25">
      <c r="A543" s="31" t="s">
        <v>325</v>
      </c>
      <c r="B543" s="42" t="s">
        <v>317</v>
      </c>
      <c r="C543" s="42" t="s">
        <v>266</v>
      </c>
      <c r="D543" s="21" t="s">
        <v>347</v>
      </c>
      <c r="E543" s="42" t="s">
        <v>326</v>
      </c>
      <c r="F543" s="7">
        <f>F544</f>
        <v>4369</v>
      </c>
      <c r="G543" s="7">
        <f t="shared" si="323"/>
        <v>4369</v>
      </c>
      <c r="H543" s="7">
        <f t="shared" si="323"/>
        <v>4369</v>
      </c>
      <c r="I543" s="7">
        <f t="shared" si="323"/>
        <v>4369</v>
      </c>
      <c r="J543" s="7">
        <f t="shared" si="323"/>
        <v>4369</v>
      </c>
      <c r="K543" s="7">
        <f t="shared" si="323"/>
        <v>4294.7</v>
      </c>
      <c r="L543" s="7">
        <f t="shared" si="323"/>
        <v>951</v>
      </c>
      <c r="M543" s="7">
        <f t="shared" si="317"/>
        <v>22.143572310056584</v>
      </c>
    </row>
    <row r="544" spans="1:13" ht="15.75">
      <c r="A544" s="31" t="s">
        <v>327</v>
      </c>
      <c r="B544" s="42" t="s">
        <v>317</v>
      </c>
      <c r="C544" s="42" t="s">
        <v>266</v>
      </c>
      <c r="D544" s="21" t="s">
        <v>347</v>
      </c>
      <c r="E544" s="42" t="s">
        <v>328</v>
      </c>
      <c r="F544" s="7">
        <f>'Прил.№4 ведомств.'!G704</f>
        <v>4369</v>
      </c>
      <c r="G544" s="7">
        <f>'Прил.№4 ведомств.'!I704</f>
        <v>4369</v>
      </c>
      <c r="H544" s="7">
        <f>'Прил.№4 ведомств.'!J704</f>
        <v>4369</v>
      </c>
      <c r="I544" s="7">
        <f>'Прил.№4 ведомств.'!K704</f>
        <v>4369</v>
      </c>
      <c r="J544" s="7">
        <f>'Прил.№4 ведомств.'!L704</f>
        <v>4369</v>
      </c>
      <c r="K544" s="7">
        <f>'Прил.№4 ведомств.'!M704</f>
        <v>4294.7</v>
      </c>
      <c r="L544" s="7">
        <f>'Прил.№4 ведомств.'!N704</f>
        <v>951</v>
      </c>
      <c r="M544" s="7">
        <f t="shared" si="317"/>
        <v>22.143572310056584</v>
      </c>
    </row>
    <row r="545" spans="1:17" ht="15.75">
      <c r="A545" s="43" t="s">
        <v>318</v>
      </c>
      <c r="B545" s="8" t="s">
        <v>317</v>
      </c>
      <c r="C545" s="8" t="s">
        <v>268</v>
      </c>
      <c r="D545" s="25"/>
      <c r="E545" s="8"/>
      <c r="F545" s="4">
        <f>F546+F558+F578+F604</f>
        <v>52029.9</v>
      </c>
      <c r="G545" s="4">
        <f t="shared" ref="G545:K545" si="324">G546+G558+G578+G604</f>
        <v>47647.133333333339</v>
      </c>
      <c r="H545" s="4">
        <f t="shared" si="324"/>
        <v>67974.7</v>
      </c>
      <c r="I545" s="4">
        <f t="shared" si="324"/>
        <v>68080.099999999991</v>
      </c>
      <c r="J545" s="4">
        <f t="shared" si="324"/>
        <v>68616.799999999988</v>
      </c>
      <c r="K545" s="4">
        <f t="shared" si="324"/>
        <v>53946.899999999994</v>
      </c>
      <c r="L545" s="4">
        <f t="shared" ref="L545" si="325">L546+L558+L578+L604</f>
        <v>18523.5</v>
      </c>
      <c r="M545" s="4">
        <f t="shared" si="317"/>
        <v>34.336542044121167</v>
      </c>
    </row>
    <row r="546" spans="1:17" ht="47.25">
      <c r="A546" s="26" t="s">
        <v>480</v>
      </c>
      <c r="B546" s="42" t="s">
        <v>317</v>
      </c>
      <c r="C546" s="42" t="s">
        <v>268</v>
      </c>
      <c r="D546" s="21" t="s">
        <v>460</v>
      </c>
      <c r="E546" s="42"/>
      <c r="F546" s="7">
        <f>F547+F551</f>
        <v>21479.9</v>
      </c>
      <c r="G546" s="7">
        <f t="shared" ref="G546:K546" si="326">G547+G551</f>
        <v>22159.4</v>
      </c>
      <c r="H546" s="7">
        <f t="shared" si="326"/>
        <v>26339.8</v>
      </c>
      <c r="I546" s="7">
        <f t="shared" si="326"/>
        <v>26628.799999999999</v>
      </c>
      <c r="J546" s="7">
        <f t="shared" si="326"/>
        <v>26803</v>
      </c>
      <c r="K546" s="7">
        <f t="shared" si="326"/>
        <v>21921.199999999997</v>
      </c>
      <c r="L546" s="7">
        <f t="shared" ref="L546" si="327">L547+L551</f>
        <v>8240</v>
      </c>
      <c r="M546" s="7">
        <f t="shared" si="317"/>
        <v>37.589183073919315</v>
      </c>
      <c r="Q546" s="23"/>
    </row>
    <row r="547" spans="1:17" ht="31.5">
      <c r="A547" s="26" t="s">
        <v>461</v>
      </c>
      <c r="B547" s="42" t="s">
        <v>317</v>
      </c>
      <c r="C547" s="42" t="s">
        <v>268</v>
      </c>
      <c r="D547" s="21" t="s">
        <v>462</v>
      </c>
      <c r="E547" s="42"/>
      <c r="F547" s="7">
        <f>F548</f>
        <v>21124</v>
      </c>
      <c r="G547" s="7">
        <f t="shared" ref="G547:L549" si="328">G548</f>
        <v>21803.5</v>
      </c>
      <c r="H547" s="7">
        <f t="shared" si="328"/>
        <v>25586.7</v>
      </c>
      <c r="I547" s="7">
        <f t="shared" si="328"/>
        <v>25875.7</v>
      </c>
      <c r="J547" s="7">
        <f t="shared" si="328"/>
        <v>26049.9</v>
      </c>
      <c r="K547" s="7">
        <f t="shared" si="328"/>
        <v>21168.1</v>
      </c>
      <c r="L547" s="7">
        <f t="shared" si="328"/>
        <v>7540</v>
      </c>
      <c r="M547" s="7">
        <f t="shared" si="317"/>
        <v>35.619635205804961</v>
      </c>
      <c r="Q547" s="23"/>
    </row>
    <row r="548" spans="1:17" ht="47.25">
      <c r="A548" s="26" t="s">
        <v>323</v>
      </c>
      <c r="B548" s="42" t="s">
        <v>317</v>
      </c>
      <c r="C548" s="42" t="s">
        <v>268</v>
      </c>
      <c r="D548" s="21" t="s">
        <v>483</v>
      </c>
      <c r="E548" s="42"/>
      <c r="F548" s="7">
        <f>F549</f>
        <v>21124</v>
      </c>
      <c r="G548" s="7">
        <f t="shared" si="328"/>
        <v>21803.5</v>
      </c>
      <c r="H548" s="7">
        <f t="shared" si="328"/>
        <v>25586.7</v>
      </c>
      <c r="I548" s="7">
        <f t="shared" si="328"/>
        <v>25875.7</v>
      </c>
      <c r="J548" s="7">
        <f t="shared" si="328"/>
        <v>26049.9</v>
      </c>
      <c r="K548" s="7">
        <f t="shared" si="328"/>
        <v>21168.1</v>
      </c>
      <c r="L548" s="7">
        <f t="shared" si="328"/>
        <v>7540</v>
      </c>
      <c r="M548" s="7">
        <f t="shared" si="317"/>
        <v>35.619635205804961</v>
      </c>
    </row>
    <row r="549" spans="1:17" ht="47.25">
      <c r="A549" s="26" t="s">
        <v>325</v>
      </c>
      <c r="B549" s="42" t="s">
        <v>317</v>
      </c>
      <c r="C549" s="42" t="s">
        <v>268</v>
      </c>
      <c r="D549" s="21" t="s">
        <v>483</v>
      </c>
      <c r="E549" s="42" t="s">
        <v>326</v>
      </c>
      <c r="F549" s="7">
        <f>F550</f>
        <v>21124</v>
      </c>
      <c r="G549" s="7">
        <f t="shared" si="328"/>
        <v>21803.5</v>
      </c>
      <c r="H549" s="7">
        <f t="shared" si="328"/>
        <v>25586.7</v>
      </c>
      <c r="I549" s="7">
        <f t="shared" si="328"/>
        <v>25875.7</v>
      </c>
      <c r="J549" s="7">
        <f t="shared" si="328"/>
        <v>26049.9</v>
      </c>
      <c r="K549" s="7">
        <f t="shared" si="328"/>
        <v>21168.1</v>
      </c>
      <c r="L549" s="7">
        <f t="shared" si="328"/>
        <v>7540</v>
      </c>
      <c r="M549" s="7">
        <f t="shared" si="317"/>
        <v>35.619635205804961</v>
      </c>
    </row>
    <row r="550" spans="1:17" ht="15.75">
      <c r="A550" s="26" t="s">
        <v>327</v>
      </c>
      <c r="B550" s="42" t="s">
        <v>317</v>
      </c>
      <c r="C550" s="42" t="s">
        <v>268</v>
      </c>
      <c r="D550" s="21" t="s">
        <v>483</v>
      </c>
      <c r="E550" s="42" t="s">
        <v>328</v>
      </c>
      <c r="F550" s="7">
        <f>'Прил.№4 ведомств.'!G710</f>
        <v>21124</v>
      </c>
      <c r="G550" s="7">
        <f>'Прил.№4 ведомств.'!I710</f>
        <v>21803.5</v>
      </c>
      <c r="H550" s="7">
        <f>'Прил.№4 ведомств.'!J710</f>
        <v>25586.7</v>
      </c>
      <c r="I550" s="7">
        <f>'Прил.№4 ведомств.'!K710</f>
        <v>25875.7</v>
      </c>
      <c r="J550" s="7">
        <f>'Прил.№4 ведомств.'!L710</f>
        <v>26049.9</v>
      </c>
      <c r="K550" s="7">
        <f>'Прил.№4 ведомств.'!M710</f>
        <v>21168.1</v>
      </c>
      <c r="L550" s="7">
        <f>'Прил.№4 ведомств.'!N710</f>
        <v>7540</v>
      </c>
      <c r="M550" s="7">
        <f t="shared" si="317"/>
        <v>35.619635205804961</v>
      </c>
    </row>
    <row r="551" spans="1:17" ht="31.5">
      <c r="A551" s="33" t="s">
        <v>796</v>
      </c>
      <c r="B551" s="42" t="s">
        <v>317</v>
      </c>
      <c r="C551" s="42" t="s">
        <v>268</v>
      </c>
      <c r="D551" s="21" t="s">
        <v>501</v>
      </c>
      <c r="E551" s="42"/>
      <c r="F551" s="7">
        <f>F552+F555</f>
        <v>355.9</v>
      </c>
      <c r="G551" s="7">
        <f t="shared" ref="G551:K551" si="329">G552+G555</f>
        <v>355.9</v>
      </c>
      <c r="H551" s="7">
        <f t="shared" si="329"/>
        <v>753.1</v>
      </c>
      <c r="I551" s="7">
        <f t="shared" si="329"/>
        <v>753.1</v>
      </c>
      <c r="J551" s="7">
        <f t="shared" si="329"/>
        <v>753.1</v>
      </c>
      <c r="K551" s="7">
        <f t="shared" si="329"/>
        <v>753.1</v>
      </c>
      <c r="L551" s="7">
        <f t="shared" ref="L551" si="330">L552+L555</f>
        <v>700</v>
      </c>
      <c r="M551" s="7">
        <f t="shared" si="317"/>
        <v>92.949143540034513</v>
      </c>
    </row>
    <row r="552" spans="1:17" ht="31.5" hidden="1">
      <c r="A552" s="47" t="s">
        <v>797</v>
      </c>
      <c r="B552" s="42" t="s">
        <v>317</v>
      </c>
      <c r="C552" s="42" t="s">
        <v>268</v>
      </c>
      <c r="D552" s="21" t="s">
        <v>798</v>
      </c>
      <c r="E552" s="42"/>
      <c r="F552" s="7">
        <f>F553</f>
        <v>355.9</v>
      </c>
      <c r="G552" s="7">
        <f t="shared" ref="G552:L553" si="331">G553</f>
        <v>355.9</v>
      </c>
      <c r="H552" s="7">
        <f t="shared" si="331"/>
        <v>0</v>
      </c>
      <c r="I552" s="7">
        <f t="shared" si="331"/>
        <v>0</v>
      </c>
      <c r="J552" s="7">
        <f t="shared" si="331"/>
        <v>0</v>
      </c>
      <c r="K552" s="7">
        <f t="shared" si="331"/>
        <v>0</v>
      </c>
      <c r="L552" s="7">
        <f t="shared" si="331"/>
        <v>0</v>
      </c>
      <c r="M552" s="7" t="e">
        <f t="shared" si="317"/>
        <v>#DIV/0!</v>
      </c>
    </row>
    <row r="553" spans="1:17" ht="47.25" hidden="1">
      <c r="A553" s="33" t="s">
        <v>325</v>
      </c>
      <c r="B553" s="42" t="s">
        <v>317</v>
      </c>
      <c r="C553" s="42" t="s">
        <v>268</v>
      </c>
      <c r="D553" s="21" t="s">
        <v>798</v>
      </c>
      <c r="E553" s="42" t="s">
        <v>326</v>
      </c>
      <c r="F553" s="7">
        <f>F554</f>
        <v>355.9</v>
      </c>
      <c r="G553" s="7">
        <f t="shared" si="331"/>
        <v>355.9</v>
      </c>
      <c r="H553" s="7">
        <f t="shared" si="331"/>
        <v>0</v>
      </c>
      <c r="I553" s="7">
        <f t="shared" si="331"/>
        <v>0</v>
      </c>
      <c r="J553" s="7">
        <f t="shared" si="331"/>
        <v>0</v>
      </c>
      <c r="K553" s="7">
        <f t="shared" si="331"/>
        <v>0</v>
      </c>
      <c r="L553" s="7">
        <f t="shared" si="331"/>
        <v>0</v>
      </c>
      <c r="M553" s="7" t="e">
        <f t="shared" si="317"/>
        <v>#DIV/0!</v>
      </c>
    </row>
    <row r="554" spans="1:17" ht="15.75" hidden="1">
      <c r="A554" s="33" t="s">
        <v>327</v>
      </c>
      <c r="B554" s="42" t="s">
        <v>317</v>
      </c>
      <c r="C554" s="42" t="s">
        <v>268</v>
      </c>
      <c r="D554" s="21" t="s">
        <v>798</v>
      </c>
      <c r="E554" s="42" t="s">
        <v>328</v>
      </c>
      <c r="F554" s="7">
        <f>'Прил.№4 ведомств.'!G713</f>
        <v>355.9</v>
      </c>
      <c r="G554" s="7">
        <f>'Прил.№4 ведомств.'!I713</f>
        <v>355.9</v>
      </c>
      <c r="H554" s="7">
        <f>'Прил.№4 ведомств.'!J713</f>
        <v>0</v>
      </c>
      <c r="I554" s="7">
        <f>'Прил.№4 ведомств.'!K713</f>
        <v>0</v>
      </c>
      <c r="J554" s="7">
        <f>'Прил.№4 ведомств.'!L713</f>
        <v>0</v>
      </c>
      <c r="K554" s="7">
        <f>'Прил.№4 ведомств.'!M713</f>
        <v>0</v>
      </c>
      <c r="L554" s="7">
        <f>'Прил.№4 ведомств.'!N713</f>
        <v>0</v>
      </c>
      <c r="M554" s="7" t="e">
        <f t="shared" si="317"/>
        <v>#DIV/0!</v>
      </c>
    </row>
    <row r="555" spans="1:17" ht="31.5">
      <c r="A555" s="47" t="s">
        <v>871</v>
      </c>
      <c r="B555" s="42" t="s">
        <v>317</v>
      </c>
      <c r="C555" s="42" t="s">
        <v>268</v>
      </c>
      <c r="D555" s="21" t="s">
        <v>872</v>
      </c>
      <c r="E555" s="42"/>
      <c r="F555" s="7">
        <f>F556</f>
        <v>0</v>
      </c>
      <c r="G555" s="7">
        <f t="shared" ref="G555:L556" si="332">G556</f>
        <v>0</v>
      </c>
      <c r="H555" s="7">
        <f t="shared" si="332"/>
        <v>753.1</v>
      </c>
      <c r="I555" s="7">
        <f t="shared" si="332"/>
        <v>753.1</v>
      </c>
      <c r="J555" s="7">
        <f t="shared" si="332"/>
        <v>753.1</v>
      </c>
      <c r="K555" s="7">
        <f t="shared" si="332"/>
        <v>753.1</v>
      </c>
      <c r="L555" s="7">
        <f t="shared" si="332"/>
        <v>700</v>
      </c>
      <c r="M555" s="7">
        <f t="shared" si="317"/>
        <v>92.949143540034513</v>
      </c>
    </row>
    <row r="556" spans="1:17" ht="47.25">
      <c r="A556" s="33" t="s">
        <v>325</v>
      </c>
      <c r="B556" s="42" t="s">
        <v>317</v>
      </c>
      <c r="C556" s="42" t="s">
        <v>268</v>
      </c>
      <c r="D556" s="21" t="s">
        <v>872</v>
      </c>
      <c r="E556" s="42" t="s">
        <v>326</v>
      </c>
      <c r="F556" s="7">
        <f>F557</f>
        <v>0</v>
      </c>
      <c r="G556" s="7">
        <f t="shared" si="332"/>
        <v>0</v>
      </c>
      <c r="H556" s="7">
        <f t="shared" si="332"/>
        <v>753.1</v>
      </c>
      <c r="I556" s="7">
        <f t="shared" si="332"/>
        <v>753.1</v>
      </c>
      <c r="J556" s="7">
        <f t="shared" si="332"/>
        <v>753.1</v>
      </c>
      <c r="K556" s="7">
        <f t="shared" si="332"/>
        <v>753.1</v>
      </c>
      <c r="L556" s="7">
        <f t="shared" si="332"/>
        <v>700</v>
      </c>
      <c r="M556" s="7">
        <f t="shared" si="317"/>
        <v>92.949143540034513</v>
      </c>
    </row>
    <row r="557" spans="1:17" ht="15.75">
      <c r="A557" s="33" t="s">
        <v>327</v>
      </c>
      <c r="B557" s="42" t="s">
        <v>317</v>
      </c>
      <c r="C557" s="42" t="s">
        <v>268</v>
      </c>
      <c r="D557" s="21" t="s">
        <v>872</v>
      </c>
      <c r="E557" s="42" t="s">
        <v>328</v>
      </c>
      <c r="F557" s="7">
        <f>'Прил.№4 ведомств.'!G717</f>
        <v>0</v>
      </c>
      <c r="G557" s="7">
        <f>'Прил.№4 ведомств.'!I717</f>
        <v>0</v>
      </c>
      <c r="H557" s="7">
        <f>'Прил.№4 ведомств.'!J717</f>
        <v>753.1</v>
      </c>
      <c r="I557" s="7">
        <f>'Прил.№4 ведомств.'!K717</f>
        <v>753.1</v>
      </c>
      <c r="J557" s="7">
        <f>'Прил.№4 ведомств.'!L717</f>
        <v>753.1</v>
      </c>
      <c r="K557" s="7">
        <f>'Прил.№4 ведомств.'!M717</f>
        <v>753.1</v>
      </c>
      <c r="L557" s="7">
        <f>'Прил.№4 ведомств.'!N717</f>
        <v>700</v>
      </c>
      <c r="M557" s="7">
        <f t="shared" si="317"/>
        <v>92.949143540034513</v>
      </c>
    </row>
    <row r="558" spans="1:17" ht="47.25">
      <c r="A558" s="26" t="s">
        <v>535</v>
      </c>
      <c r="B558" s="42" t="s">
        <v>317</v>
      </c>
      <c r="C558" s="42" t="s">
        <v>268</v>
      </c>
      <c r="D558" s="21" t="s">
        <v>536</v>
      </c>
      <c r="E558" s="42"/>
      <c r="F558" s="7">
        <f>F559</f>
        <v>10758</v>
      </c>
      <c r="G558" s="7">
        <f t="shared" ref="G558:L558" si="333">G559</f>
        <v>10758</v>
      </c>
      <c r="H558" s="7">
        <f t="shared" si="333"/>
        <v>16464.5</v>
      </c>
      <c r="I558" s="7">
        <f t="shared" si="333"/>
        <v>16607.3</v>
      </c>
      <c r="J558" s="7">
        <f t="shared" si="333"/>
        <v>16742.599999999999</v>
      </c>
      <c r="K558" s="7">
        <f t="shared" si="333"/>
        <v>11806.7</v>
      </c>
      <c r="L558" s="7">
        <f t="shared" si="333"/>
        <v>3852.5</v>
      </c>
      <c r="M558" s="7">
        <f t="shared" si="317"/>
        <v>32.629778007402578</v>
      </c>
    </row>
    <row r="559" spans="1:17" ht="47.25">
      <c r="A559" s="26" t="s">
        <v>537</v>
      </c>
      <c r="B559" s="42" t="s">
        <v>317</v>
      </c>
      <c r="C559" s="42" t="s">
        <v>268</v>
      </c>
      <c r="D559" s="21" t="s">
        <v>538</v>
      </c>
      <c r="E559" s="42"/>
      <c r="F559" s="7">
        <f>F560+F569+F572+F575</f>
        <v>10758</v>
      </c>
      <c r="G559" s="7">
        <f t="shared" ref="G559:K559" si="334">G560+G569+G572+G575</f>
        <v>10758</v>
      </c>
      <c r="H559" s="7">
        <f t="shared" si="334"/>
        <v>16464.5</v>
      </c>
      <c r="I559" s="7">
        <f t="shared" si="334"/>
        <v>16607.3</v>
      </c>
      <c r="J559" s="7">
        <f t="shared" si="334"/>
        <v>16742.599999999999</v>
      </c>
      <c r="K559" s="7">
        <f t="shared" si="334"/>
        <v>11806.7</v>
      </c>
      <c r="L559" s="7">
        <f t="shared" ref="L559" si="335">L560+L569+L572+L575</f>
        <v>3852.5</v>
      </c>
      <c r="M559" s="7">
        <f t="shared" si="317"/>
        <v>32.629778007402578</v>
      </c>
    </row>
    <row r="560" spans="1:17" ht="47.25">
      <c r="A560" s="26" t="s">
        <v>323</v>
      </c>
      <c r="B560" s="42" t="s">
        <v>317</v>
      </c>
      <c r="C560" s="42" t="s">
        <v>268</v>
      </c>
      <c r="D560" s="21" t="s">
        <v>539</v>
      </c>
      <c r="E560" s="42"/>
      <c r="F560" s="7">
        <f>F561</f>
        <v>10722</v>
      </c>
      <c r="G560" s="7">
        <f t="shared" ref="G560:L561" si="336">G561</f>
        <v>10722</v>
      </c>
      <c r="H560" s="7">
        <f t="shared" si="336"/>
        <v>15788.3</v>
      </c>
      <c r="I560" s="7">
        <f t="shared" si="336"/>
        <v>15931.1</v>
      </c>
      <c r="J560" s="7">
        <f t="shared" si="336"/>
        <v>16066.4</v>
      </c>
      <c r="K560" s="7">
        <f t="shared" si="336"/>
        <v>11348.5</v>
      </c>
      <c r="L560" s="7">
        <f t="shared" si="336"/>
        <v>3481.9</v>
      </c>
      <c r="M560" s="7">
        <f t="shared" si="317"/>
        <v>30.681587875049566</v>
      </c>
    </row>
    <row r="561" spans="1:13" ht="47.25">
      <c r="A561" s="26" t="s">
        <v>325</v>
      </c>
      <c r="B561" s="42" t="s">
        <v>317</v>
      </c>
      <c r="C561" s="42" t="s">
        <v>268</v>
      </c>
      <c r="D561" s="21" t="s">
        <v>539</v>
      </c>
      <c r="E561" s="42" t="s">
        <v>326</v>
      </c>
      <c r="F561" s="7">
        <f>F562</f>
        <v>10722</v>
      </c>
      <c r="G561" s="7">
        <f t="shared" si="336"/>
        <v>10722</v>
      </c>
      <c r="H561" s="7">
        <f t="shared" si="336"/>
        <v>15788.3</v>
      </c>
      <c r="I561" s="7">
        <f t="shared" si="336"/>
        <v>15931.1</v>
      </c>
      <c r="J561" s="7">
        <f t="shared" si="336"/>
        <v>16066.4</v>
      </c>
      <c r="K561" s="7">
        <f t="shared" si="336"/>
        <v>11348.5</v>
      </c>
      <c r="L561" s="7">
        <f t="shared" si="336"/>
        <v>3481.9</v>
      </c>
      <c r="M561" s="7">
        <f t="shared" si="317"/>
        <v>30.681587875049566</v>
      </c>
    </row>
    <row r="562" spans="1:13" ht="15.75">
      <c r="A562" s="26" t="s">
        <v>327</v>
      </c>
      <c r="B562" s="42" t="s">
        <v>317</v>
      </c>
      <c r="C562" s="42" t="s">
        <v>268</v>
      </c>
      <c r="D562" s="21" t="s">
        <v>539</v>
      </c>
      <c r="E562" s="42" t="s">
        <v>328</v>
      </c>
      <c r="F562" s="7">
        <f>'Прил.№4 ведомств.'!G782</f>
        <v>10722</v>
      </c>
      <c r="G562" s="7">
        <f>'Прил.№4 ведомств.'!I782</f>
        <v>10722</v>
      </c>
      <c r="H562" s="7">
        <f>'Прил.№4 ведомств.'!J782</f>
        <v>15788.3</v>
      </c>
      <c r="I562" s="7">
        <f>'Прил.№4 ведомств.'!K782</f>
        <v>15931.1</v>
      </c>
      <c r="J562" s="7">
        <f>'Прил.№4 ведомств.'!L782</f>
        <v>16066.4</v>
      </c>
      <c r="K562" s="7">
        <f>'Прил.№4 ведомств.'!M782</f>
        <v>11348.5</v>
      </c>
      <c r="L562" s="7">
        <f>'Прил.№4 ведомств.'!N782</f>
        <v>3481.9</v>
      </c>
      <c r="M562" s="7">
        <f t="shared" si="317"/>
        <v>30.681587875049566</v>
      </c>
    </row>
    <row r="563" spans="1:13" ht="31.5" hidden="1" customHeight="1">
      <c r="A563" s="26" t="s">
        <v>331</v>
      </c>
      <c r="B563" s="42" t="s">
        <v>317</v>
      </c>
      <c r="C563" s="42" t="s">
        <v>268</v>
      </c>
      <c r="D563" s="21" t="s">
        <v>540</v>
      </c>
      <c r="E563" s="42"/>
      <c r="F563" s="7"/>
      <c r="G563" s="7"/>
      <c r="H563" s="7"/>
      <c r="I563" s="7"/>
      <c r="J563" s="7"/>
      <c r="K563" s="7"/>
      <c r="L563" s="7"/>
      <c r="M563" s="7" t="e">
        <f t="shared" si="317"/>
        <v>#DIV/0!</v>
      </c>
    </row>
    <row r="564" spans="1:13" ht="47.25" hidden="1" customHeight="1">
      <c r="A564" s="26" t="s">
        <v>325</v>
      </c>
      <c r="B564" s="42" t="s">
        <v>317</v>
      </c>
      <c r="C564" s="42" t="s">
        <v>268</v>
      </c>
      <c r="D564" s="21" t="s">
        <v>540</v>
      </c>
      <c r="E564" s="42"/>
      <c r="F564" s="7"/>
      <c r="G564" s="7"/>
      <c r="H564" s="7"/>
      <c r="I564" s="7"/>
      <c r="J564" s="7"/>
      <c r="K564" s="7"/>
      <c r="L564" s="7"/>
      <c r="M564" s="7" t="e">
        <f t="shared" si="317"/>
        <v>#DIV/0!</v>
      </c>
    </row>
    <row r="565" spans="1:13" ht="15.75" hidden="1" customHeight="1">
      <c r="A565" s="26" t="s">
        <v>327</v>
      </c>
      <c r="B565" s="42" t="s">
        <v>317</v>
      </c>
      <c r="C565" s="42" t="s">
        <v>268</v>
      </c>
      <c r="D565" s="21" t="s">
        <v>540</v>
      </c>
      <c r="E565" s="42"/>
      <c r="F565" s="7"/>
      <c r="G565" s="7"/>
      <c r="H565" s="7"/>
      <c r="I565" s="7"/>
      <c r="J565" s="7"/>
      <c r="K565" s="7"/>
      <c r="L565" s="7"/>
      <c r="M565" s="7" t="e">
        <f t="shared" si="317"/>
        <v>#DIV/0!</v>
      </c>
    </row>
    <row r="566" spans="1:13" ht="31.5" hidden="1" customHeight="1">
      <c r="A566" s="26" t="s">
        <v>333</v>
      </c>
      <c r="B566" s="42" t="s">
        <v>317</v>
      </c>
      <c r="C566" s="42" t="s">
        <v>268</v>
      </c>
      <c r="D566" s="21" t="s">
        <v>541</v>
      </c>
      <c r="E566" s="42"/>
      <c r="F566" s="7"/>
      <c r="G566" s="7"/>
      <c r="H566" s="7"/>
      <c r="I566" s="7"/>
      <c r="J566" s="7"/>
      <c r="K566" s="7"/>
      <c r="L566" s="7"/>
      <c r="M566" s="7" t="e">
        <f t="shared" si="317"/>
        <v>#DIV/0!</v>
      </c>
    </row>
    <row r="567" spans="1:13" ht="47.25" hidden="1" customHeight="1">
      <c r="A567" s="26" t="s">
        <v>325</v>
      </c>
      <c r="B567" s="42" t="s">
        <v>317</v>
      </c>
      <c r="C567" s="42" t="s">
        <v>268</v>
      </c>
      <c r="D567" s="21" t="s">
        <v>541</v>
      </c>
      <c r="E567" s="42"/>
      <c r="F567" s="7"/>
      <c r="G567" s="7"/>
      <c r="H567" s="7"/>
      <c r="I567" s="7"/>
      <c r="J567" s="7"/>
      <c r="K567" s="7"/>
      <c r="L567" s="7"/>
      <c r="M567" s="7" t="e">
        <f t="shared" si="317"/>
        <v>#DIV/0!</v>
      </c>
    </row>
    <row r="568" spans="1:13" ht="15.75" hidden="1" customHeight="1">
      <c r="A568" s="26" t="s">
        <v>327</v>
      </c>
      <c r="B568" s="42" t="s">
        <v>317</v>
      </c>
      <c r="C568" s="42" t="s">
        <v>268</v>
      </c>
      <c r="D568" s="21" t="s">
        <v>541</v>
      </c>
      <c r="E568" s="42"/>
      <c r="F568" s="7"/>
      <c r="G568" s="7"/>
      <c r="H568" s="7"/>
      <c r="I568" s="7"/>
      <c r="J568" s="7"/>
      <c r="K568" s="7"/>
      <c r="L568" s="7"/>
      <c r="M568" s="7" t="e">
        <f t="shared" si="317"/>
        <v>#DIV/0!</v>
      </c>
    </row>
    <row r="569" spans="1:13" ht="31.5">
      <c r="A569" s="26" t="s">
        <v>335</v>
      </c>
      <c r="B569" s="42" t="s">
        <v>317</v>
      </c>
      <c r="C569" s="42" t="s">
        <v>268</v>
      </c>
      <c r="D569" s="21" t="s">
        <v>542</v>
      </c>
      <c r="E569" s="42"/>
      <c r="F569" s="7">
        <f>F570</f>
        <v>36</v>
      </c>
      <c r="G569" s="7">
        <f t="shared" ref="G569:L570" si="337">G570</f>
        <v>36</v>
      </c>
      <c r="H569" s="7">
        <f t="shared" si="337"/>
        <v>36</v>
      </c>
      <c r="I569" s="7">
        <f t="shared" si="337"/>
        <v>36</v>
      </c>
      <c r="J569" s="7">
        <f t="shared" si="337"/>
        <v>36</v>
      </c>
      <c r="K569" s="7">
        <f t="shared" si="337"/>
        <v>36</v>
      </c>
      <c r="L569" s="7">
        <f t="shared" si="337"/>
        <v>5.4</v>
      </c>
      <c r="M569" s="7">
        <f t="shared" si="317"/>
        <v>15.000000000000002</v>
      </c>
    </row>
    <row r="570" spans="1:13" ht="47.25">
      <c r="A570" s="26" t="s">
        <v>325</v>
      </c>
      <c r="B570" s="42" t="s">
        <v>317</v>
      </c>
      <c r="C570" s="42" t="s">
        <v>268</v>
      </c>
      <c r="D570" s="21" t="s">
        <v>542</v>
      </c>
      <c r="E570" s="42" t="s">
        <v>326</v>
      </c>
      <c r="F570" s="7">
        <f>F571</f>
        <v>36</v>
      </c>
      <c r="G570" s="7">
        <f t="shared" si="337"/>
        <v>36</v>
      </c>
      <c r="H570" s="7">
        <f t="shared" si="337"/>
        <v>36</v>
      </c>
      <c r="I570" s="7">
        <f t="shared" si="337"/>
        <v>36</v>
      </c>
      <c r="J570" s="7">
        <f t="shared" si="337"/>
        <v>36</v>
      </c>
      <c r="K570" s="7">
        <f t="shared" si="337"/>
        <v>36</v>
      </c>
      <c r="L570" s="7">
        <f t="shared" si="337"/>
        <v>5.4</v>
      </c>
      <c r="M570" s="7">
        <f t="shared" si="317"/>
        <v>15.000000000000002</v>
      </c>
    </row>
    <row r="571" spans="1:13" ht="15.75">
      <c r="A571" s="26" t="s">
        <v>327</v>
      </c>
      <c r="B571" s="42" t="s">
        <v>317</v>
      </c>
      <c r="C571" s="42" t="s">
        <v>268</v>
      </c>
      <c r="D571" s="21" t="s">
        <v>542</v>
      </c>
      <c r="E571" s="42" t="s">
        <v>328</v>
      </c>
      <c r="F571" s="7">
        <f>'Прил.№4 ведомств.'!G791</f>
        <v>36</v>
      </c>
      <c r="G571" s="7">
        <f>'Прил.№4 ведомств.'!I791</f>
        <v>36</v>
      </c>
      <c r="H571" s="7">
        <f>'Прил.№4 ведомств.'!J791</f>
        <v>36</v>
      </c>
      <c r="I571" s="7">
        <f>'Прил.№4 ведомств.'!K791</f>
        <v>36</v>
      </c>
      <c r="J571" s="7">
        <f>'Прил.№4 ведомств.'!L791</f>
        <v>36</v>
      </c>
      <c r="K571" s="7">
        <f>'Прил.№4 ведомств.'!M791</f>
        <v>36</v>
      </c>
      <c r="L571" s="7">
        <f>'Прил.№4 ведомств.'!N791</f>
        <v>5.4</v>
      </c>
      <c r="M571" s="7">
        <f t="shared" si="317"/>
        <v>15.000000000000002</v>
      </c>
    </row>
    <row r="572" spans="1:13" ht="31.5" hidden="1">
      <c r="A572" s="26" t="s">
        <v>337</v>
      </c>
      <c r="B572" s="42" t="s">
        <v>317</v>
      </c>
      <c r="C572" s="42" t="s">
        <v>268</v>
      </c>
      <c r="D572" s="21" t="s">
        <v>543</v>
      </c>
      <c r="E572" s="42"/>
      <c r="F572" s="7">
        <f>F573</f>
        <v>0</v>
      </c>
      <c r="G572" s="7">
        <f t="shared" ref="G572:L573" si="338">G573</f>
        <v>0</v>
      </c>
      <c r="H572" s="7">
        <f t="shared" si="338"/>
        <v>275</v>
      </c>
      <c r="I572" s="7">
        <f t="shared" si="338"/>
        <v>275</v>
      </c>
      <c r="J572" s="7">
        <f t="shared" si="338"/>
        <v>275</v>
      </c>
      <c r="K572" s="7">
        <f t="shared" si="338"/>
        <v>0</v>
      </c>
      <c r="L572" s="7">
        <f t="shared" si="338"/>
        <v>0</v>
      </c>
      <c r="M572" s="7" t="e">
        <f t="shared" si="317"/>
        <v>#DIV/0!</v>
      </c>
    </row>
    <row r="573" spans="1:13" ht="47.25" hidden="1">
      <c r="A573" s="26" t="s">
        <v>325</v>
      </c>
      <c r="B573" s="42" t="s">
        <v>317</v>
      </c>
      <c r="C573" s="42" t="s">
        <v>268</v>
      </c>
      <c r="D573" s="21" t="s">
        <v>543</v>
      </c>
      <c r="E573" s="42" t="s">
        <v>326</v>
      </c>
      <c r="F573" s="7">
        <f>F574</f>
        <v>0</v>
      </c>
      <c r="G573" s="7">
        <f t="shared" si="338"/>
        <v>0</v>
      </c>
      <c r="H573" s="7">
        <f t="shared" si="338"/>
        <v>275</v>
      </c>
      <c r="I573" s="7">
        <f t="shared" si="338"/>
        <v>275</v>
      </c>
      <c r="J573" s="7">
        <f t="shared" si="338"/>
        <v>275</v>
      </c>
      <c r="K573" s="7">
        <f t="shared" si="338"/>
        <v>0</v>
      </c>
      <c r="L573" s="7">
        <f t="shared" si="338"/>
        <v>0</v>
      </c>
      <c r="M573" s="7" t="e">
        <f t="shared" si="317"/>
        <v>#DIV/0!</v>
      </c>
    </row>
    <row r="574" spans="1:13" ht="15.75" hidden="1">
      <c r="A574" s="26" t="s">
        <v>327</v>
      </c>
      <c r="B574" s="42" t="s">
        <v>317</v>
      </c>
      <c r="C574" s="42" t="s">
        <v>268</v>
      </c>
      <c r="D574" s="21" t="s">
        <v>543</v>
      </c>
      <c r="E574" s="42" t="s">
        <v>328</v>
      </c>
      <c r="F574" s="7">
        <f>'Прил.№4 ведомств.'!G794</f>
        <v>0</v>
      </c>
      <c r="G574" s="7">
        <f>'Прил.№4 ведомств.'!I794</f>
        <v>0</v>
      </c>
      <c r="H574" s="7">
        <f>'Прил.№4 ведомств.'!J794</f>
        <v>275</v>
      </c>
      <c r="I574" s="7">
        <f>'Прил.№4 ведомств.'!K794</f>
        <v>275</v>
      </c>
      <c r="J574" s="7">
        <f>'Прил.№4 ведомств.'!L794</f>
        <v>275</v>
      </c>
      <c r="K574" s="7">
        <f>'Прил.№4 ведомств.'!M794</f>
        <v>0</v>
      </c>
      <c r="L574" s="7">
        <f>'Прил.№4 ведомств.'!N794</f>
        <v>0</v>
      </c>
      <c r="M574" s="7" t="e">
        <f t="shared" si="317"/>
        <v>#DIV/0!</v>
      </c>
    </row>
    <row r="575" spans="1:13" ht="31.5">
      <c r="A575" s="47" t="s">
        <v>871</v>
      </c>
      <c r="B575" s="42" t="s">
        <v>317</v>
      </c>
      <c r="C575" s="42" t="s">
        <v>268</v>
      </c>
      <c r="D575" s="21" t="s">
        <v>878</v>
      </c>
      <c r="E575" s="42"/>
      <c r="F575" s="7">
        <f>F576</f>
        <v>0</v>
      </c>
      <c r="G575" s="7">
        <f t="shared" ref="G575:L576" si="339">G576</f>
        <v>0</v>
      </c>
      <c r="H575" s="7">
        <f t="shared" si="339"/>
        <v>365.2</v>
      </c>
      <c r="I575" s="7">
        <f t="shared" si="339"/>
        <v>365.2</v>
      </c>
      <c r="J575" s="7">
        <f t="shared" si="339"/>
        <v>365.2</v>
      </c>
      <c r="K575" s="7">
        <f t="shared" si="339"/>
        <v>422.2</v>
      </c>
      <c r="L575" s="7">
        <f t="shared" si="339"/>
        <v>365.2</v>
      </c>
      <c r="M575" s="7">
        <f t="shared" si="317"/>
        <v>86.499289436286119</v>
      </c>
    </row>
    <row r="576" spans="1:13" ht="47.25">
      <c r="A576" s="33" t="s">
        <v>325</v>
      </c>
      <c r="B576" s="42" t="s">
        <v>317</v>
      </c>
      <c r="C576" s="42" t="s">
        <v>268</v>
      </c>
      <c r="D576" s="21" t="s">
        <v>878</v>
      </c>
      <c r="E576" s="42" t="s">
        <v>326</v>
      </c>
      <c r="F576" s="7">
        <f>F577</f>
        <v>0</v>
      </c>
      <c r="G576" s="7">
        <f t="shared" si="339"/>
        <v>0</v>
      </c>
      <c r="H576" s="7">
        <f t="shared" si="339"/>
        <v>365.2</v>
      </c>
      <c r="I576" s="7">
        <f t="shared" si="339"/>
        <v>365.2</v>
      </c>
      <c r="J576" s="7">
        <f t="shared" si="339"/>
        <v>365.2</v>
      </c>
      <c r="K576" s="7">
        <f t="shared" si="339"/>
        <v>422.2</v>
      </c>
      <c r="L576" s="7">
        <f t="shared" si="339"/>
        <v>365.2</v>
      </c>
      <c r="M576" s="7">
        <f t="shared" si="317"/>
        <v>86.499289436286119</v>
      </c>
    </row>
    <row r="577" spans="1:13" ht="15.75">
      <c r="A577" s="33" t="s">
        <v>327</v>
      </c>
      <c r="B577" s="42" t="s">
        <v>317</v>
      </c>
      <c r="C577" s="42" t="s">
        <v>268</v>
      </c>
      <c r="D577" s="21" t="s">
        <v>878</v>
      </c>
      <c r="E577" s="42" t="s">
        <v>328</v>
      </c>
      <c r="F577" s="7">
        <f>'Прил.№4 ведомств.'!G797</f>
        <v>0</v>
      </c>
      <c r="G577" s="7">
        <f>'Прил.№4 ведомств.'!I797</f>
        <v>0</v>
      </c>
      <c r="H577" s="7">
        <f>'Прил.№4 ведомств.'!J797</f>
        <v>365.2</v>
      </c>
      <c r="I577" s="7">
        <f>'Прил.№4 ведомств.'!K797</f>
        <v>365.2</v>
      </c>
      <c r="J577" s="7">
        <f>'Прил.№4 ведомств.'!L797</f>
        <v>365.2</v>
      </c>
      <c r="K577" s="7">
        <f>'Прил.№4 ведомств.'!M797</f>
        <v>422.2</v>
      </c>
      <c r="L577" s="7">
        <f>'Прил.№4 ведомств.'!N797</f>
        <v>365.2</v>
      </c>
      <c r="M577" s="7">
        <f t="shared" si="317"/>
        <v>86.499289436286119</v>
      </c>
    </row>
    <row r="578" spans="1:13" ht="31.5">
      <c r="A578" s="26" t="s">
        <v>319</v>
      </c>
      <c r="B578" s="42" t="s">
        <v>317</v>
      </c>
      <c r="C578" s="42" t="s">
        <v>268</v>
      </c>
      <c r="D578" s="21" t="s">
        <v>320</v>
      </c>
      <c r="E578" s="42"/>
      <c r="F578" s="7">
        <f>F579</f>
        <v>16445.599999999999</v>
      </c>
      <c r="G578" s="7">
        <f t="shared" ref="G578:L578" si="340">G579</f>
        <v>11383.333333333334</v>
      </c>
      <c r="H578" s="7">
        <f t="shared" si="340"/>
        <v>21824</v>
      </c>
      <c r="I578" s="7">
        <f t="shared" si="340"/>
        <v>21497.599999999999</v>
      </c>
      <c r="J578" s="7">
        <f t="shared" si="340"/>
        <v>21724.799999999999</v>
      </c>
      <c r="K578" s="7">
        <f t="shared" si="340"/>
        <v>16868.900000000001</v>
      </c>
      <c r="L578" s="7">
        <f t="shared" si="340"/>
        <v>5907.8</v>
      </c>
      <c r="M578" s="7">
        <f t="shared" si="317"/>
        <v>35.021844933575984</v>
      </c>
    </row>
    <row r="579" spans="1:13" ht="47.25">
      <c r="A579" s="26" t="s">
        <v>321</v>
      </c>
      <c r="B579" s="42" t="s">
        <v>317</v>
      </c>
      <c r="C579" s="42" t="s">
        <v>268</v>
      </c>
      <c r="D579" s="21" t="s">
        <v>322</v>
      </c>
      <c r="E579" s="42"/>
      <c r="F579" s="7">
        <f>F580+F592+F595+F598+F601</f>
        <v>16445.599999999999</v>
      </c>
      <c r="G579" s="7">
        <f t="shared" ref="G579:K579" si="341">G580+G592+G595+G598+G601</f>
        <v>11383.333333333334</v>
      </c>
      <c r="H579" s="7">
        <f t="shared" si="341"/>
        <v>21824</v>
      </c>
      <c r="I579" s="7">
        <f t="shared" si="341"/>
        <v>21497.599999999999</v>
      </c>
      <c r="J579" s="7">
        <f t="shared" si="341"/>
        <v>21724.799999999999</v>
      </c>
      <c r="K579" s="7">
        <f t="shared" si="341"/>
        <v>16868.900000000001</v>
      </c>
      <c r="L579" s="7">
        <f t="shared" ref="L579" si="342">L580+L592+L595+L598+L601</f>
        <v>5907.8</v>
      </c>
      <c r="M579" s="7">
        <f t="shared" si="317"/>
        <v>35.021844933575984</v>
      </c>
    </row>
    <row r="580" spans="1:13" ht="47.25">
      <c r="A580" s="26" t="s">
        <v>323</v>
      </c>
      <c r="B580" s="42" t="s">
        <v>317</v>
      </c>
      <c r="C580" s="42" t="s">
        <v>268</v>
      </c>
      <c r="D580" s="21" t="s">
        <v>324</v>
      </c>
      <c r="E580" s="42"/>
      <c r="F580" s="7">
        <f>F581</f>
        <v>16395.599999999999</v>
      </c>
      <c r="G580" s="7">
        <f t="shared" ref="G580:L581" si="343">G581</f>
        <v>11333.333333333334</v>
      </c>
      <c r="H580" s="7">
        <f t="shared" si="343"/>
        <v>20227.2</v>
      </c>
      <c r="I580" s="7">
        <f t="shared" si="343"/>
        <v>20500.8</v>
      </c>
      <c r="J580" s="7">
        <f t="shared" si="343"/>
        <v>20728</v>
      </c>
      <c r="K580" s="7">
        <f t="shared" si="343"/>
        <v>16157.1</v>
      </c>
      <c r="L580" s="7">
        <f t="shared" si="343"/>
        <v>5246</v>
      </c>
      <c r="M580" s="7">
        <f t="shared" si="317"/>
        <v>32.468697971789489</v>
      </c>
    </row>
    <row r="581" spans="1:13" ht="47.25">
      <c r="A581" s="26" t="s">
        <v>325</v>
      </c>
      <c r="B581" s="42" t="s">
        <v>317</v>
      </c>
      <c r="C581" s="42" t="s">
        <v>268</v>
      </c>
      <c r="D581" s="21" t="s">
        <v>324</v>
      </c>
      <c r="E581" s="42" t="s">
        <v>326</v>
      </c>
      <c r="F581" s="7">
        <f>F582</f>
        <v>16395.599999999999</v>
      </c>
      <c r="G581" s="7">
        <f t="shared" si="343"/>
        <v>11333.333333333334</v>
      </c>
      <c r="H581" s="7">
        <f t="shared" si="343"/>
        <v>20227.2</v>
      </c>
      <c r="I581" s="7">
        <f t="shared" si="343"/>
        <v>20500.8</v>
      </c>
      <c r="J581" s="7">
        <f t="shared" si="343"/>
        <v>20728</v>
      </c>
      <c r="K581" s="7">
        <f t="shared" si="343"/>
        <v>16157.1</v>
      </c>
      <c r="L581" s="7">
        <f t="shared" si="343"/>
        <v>5246</v>
      </c>
      <c r="M581" s="7">
        <f t="shared" si="317"/>
        <v>32.468697971789489</v>
      </c>
    </row>
    <row r="582" spans="1:13" ht="15.75">
      <c r="A582" s="26" t="s">
        <v>327</v>
      </c>
      <c r="B582" s="42" t="s">
        <v>317</v>
      </c>
      <c r="C582" s="42" t="s">
        <v>268</v>
      </c>
      <c r="D582" s="21" t="s">
        <v>324</v>
      </c>
      <c r="E582" s="42" t="s">
        <v>328</v>
      </c>
      <c r="F582" s="7">
        <f>'Прил.№4 ведомств.'!G289</f>
        <v>16395.599999999999</v>
      </c>
      <c r="G582" s="7">
        <f>'Прил.№4 ведомств.'!I289</f>
        <v>11333.333333333334</v>
      </c>
      <c r="H582" s="7">
        <f>'Прил.№4 ведомств.'!J289</f>
        <v>20227.2</v>
      </c>
      <c r="I582" s="7">
        <f>'Прил.№4 ведомств.'!K289</f>
        <v>20500.8</v>
      </c>
      <c r="J582" s="7">
        <f>'Прил.№4 ведомств.'!L289</f>
        <v>20728</v>
      </c>
      <c r="K582" s="7">
        <f>'Прил.№4 ведомств.'!M289</f>
        <v>16157.1</v>
      </c>
      <c r="L582" s="7">
        <f>'Прил.№4 ведомств.'!N289</f>
        <v>5246</v>
      </c>
      <c r="M582" s="7">
        <f t="shared" si="317"/>
        <v>32.468697971789489</v>
      </c>
    </row>
    <row r="583" spans="1:13" ht="47.25" hidden="1" customHeight="1">
      <c r="A583" s="26" t="s">
        <v>329</v>
      </c>
      <c r="B583" s="42" t="s">
        <v>317</v>
      </c>
      <c r="C583" s="42" t="s">
        <v>268</v>
      </c>
      <c r="D583" s="21" t="s">
        <v>330</v>
      </c>
      <c r="E583" s="42"/>
      <c r="F583" s="7"/>
      <c r="G583" s="7"/>
      <c r="H583" s="7"/>
      <c r="I583" s="7"/>
      <c r="J583" s="7"/>
      <c r="K583" s="7"/>
      <c r="L583" s="7"/>
      <c r="M583" s="7" t="e">
        <f t="shared" si="317"/>
        <v>#DIV/0!</v>
      </c>
    </row>
    <row r="584" spans="1:13" ht="47.25" hidden="1" customHeight="1">
      <c r="A584" s="26" t="s">
        <v>325</v>
      </c>
      <c r="B584" s="42" t="s">
        <v>317</v>
      </c>
      <c r="C584" s="42" t="s">
        <v>268</v>
      </c>
      <c r="D584" s="21" t="s">
        <v>330</v>
      </c>
      <c r="E584" s="42"/>
      <c r="F584" s="7"/>
      <c r="G584" s="7"/>
      <c r="H584" s="7"/>
      <c r="I584" s="7"/>
      <c r="J584" s="7"/>
      <c r="K584" s="7"/>
      <c r="L584" s="7"/>
      <c r="M584" s="7" t="e">
        <f t="shared" si="317"/>
        <v>#DIV/0!</v>
      </c>
    </row>
    <row r="585" spans="1:13" ht="15.75" hidden="1" customHeight="1">
      <c r="A585" s="26" t="s">
        <v>327</v>
      </c>
      <c r="B585" s="42" t="s">
        <v>317</v>
      </c>
      <c r="C585" s="42" t="s">
        <v>268</v>
      </c>
      <c r="D585" s="21" t="s">
        <v>330</v>
      </c>
      <c r="E585" s="42"/>
      <c r="F585" s="7"/>
      <c r="G585" s="7"/>
      <c r="H585" s="7"/>
      <c r="I585" s="7"/>
      <c r="J585" s="7"/>
      <c r="K585" s="7"/>
      <c r="L585" s="7"/>
      <c r="M585" s="7" t="e">
        <f t="shared" si="317"/>
        <v>#DIV/0!</v>
      </c>
    </row>
    <row r="586" spans="1:13" ht="31.5" hidden="1" customHeight="1">
      <c r="A586" s="26" t="s">
        <v>331</v>
      </c>
      <c r="B586" s="42" t="s">
        <v>317</v>
      </c>
      <c r="C586" s="42" t="s">
        <v>268</v>
      </c>
      <c r="D586" s="21" t="s">
        <v>332</v>
      </c>
      <c r="E586" s="42"/>
      <c r="F586" s="7"/>
      <c r="G586" s="7"/>
      <c r="H586" s="7"/>
      <c r="I586" s="7"/>
      <c r="J586" s="7"/>
      <c r="K586" s="7"/>
      <c r="L586" s="7"/>
      <c r="M586" s="7" t="e">
        <f t="shared" si="317"/>
        <v>#DIV/0!</v>
      </c>
    </row>
    <row r="587" spans="1:13" ht="47.25" hidden="1" customHeight="1">
      <c r="A587" s="26" t="s">
        <v>325</v>
      </c>
      <c r="B587" s="42" t="s">
        <v>317</v>
      </c>
      <c r="C587" s="42" t="s">
        <v>268</v>
      </c>
      <c r="D587" s="21" t="s">
        <v>332</v>
      </c>
      <c r="E587" s="42"/>
      <c r="F587" s="7"/>
      <c r="G587" s="7"/>
      <c r="H587" s="7"/>
      <c r="I587" s="7"/>
      <c r="J587" s="7"/>
      <c r="K587" s="7"/>
      <c r="L587" s="7"/>
      <c r="M587" s="7" t="e">
        <f t="shared" si="317"/>
        <v>#DIV/0!</v>
      </c>
    </row>
    <row r="588" spans="1:13" ht="15.75" hidden="1" customHeight="1">
      <c r="A588" s="26" t="s">
        <v>327</v>
      </c>
      <c r="B588" s="42" t="s">
        <v>317</v>
      </c>
      <c r="C588" s="42" t="s">
        <v>268</v>
      </c>
      <c r="D588" s="21" t="s">
        <v>332</v>
      </c>
      <c r="E588" s="42"/>
      <c r="F588" s="7"/>
      <c r="G588" s="7"/>
      <c r="H588" s="7"/>
      <c r="I588" s="7"/>
      <c r="J588" s="7"/>
      <c r="K588" s="7"/>
      <c r="L588" s="7"/>
      <c r="M588" s="7" t="e">
        <f t="shared" si="317"/>
        <v>#DIV/0!</v>
      </c>
    </row>
    <row r="589" spans="1:13" ht="31.5" hidden="1" customHeight="1">
      <c r="A589" s="26" t="s">
        <v>333</v>
      </c>
      <c r="B589" s="42" t="s">
        <v>317</v>
      </c>
      <c r="C589" s="42" t="s">
        <v>268</v>
      </c>
      <c r="D589" s="21" t="s">
        <v>334</v>
      </c>
      <c r="E589" s="42"/>
      <c r="F589" s="7"/>
      <c r="G589" s="7"/>
      <c r="H589" s="7"/>
      <c r="I589" s="7"/>
      <c r="J589" s="7"/>
      <c r="K589" s="7"/>
      <c r="L589" s="7"/>
      <c r="M589" s="7" t="e">
        <f t="shared" ref="M589:M652" si="344">L589/K589*100</f>
        <v>#DIV/0!</v>
      </c>
    </row>
    <row r="590" spans="1:13" ht="47.25" hidden="1" customHeight="1">
      <c r="A590" s="26" t="s">
        <v>325</v>
      </c>
      <c r="B590" s="42" t="s">
        <v>317</v>
      </c>
      <c r="C590" s="42" t="s">
        <v>268</v>
      </c>
      <c r="D590" s="21" t="s">
        <v>334</v>
      </c>
      <c r="E590" s="42"/>
      <c r="F590" s="7"/>
      <c r="G590" s="7"/>
      <c r="H590" s="7"/>
      <c r="I590" s="7"/>
      <c r="J590" s="7"/>
      <c r="K590" s="7"/>
      <c r="L590" s="7"/>
      <c r="M590" s="7" t="e">
        <f t="shared" si="344"/>
        <v>#DIV/0!</v>
      </c>
    </row>
    <row r="591" spans="1:13" ht="15.75" hidden="1" customHeight="1">
      <c r="A591" s="26" t="s">
        <v>327</v>
      </c>
      <c r="B591" s="42" t="s">
        <v>317</v>
      </c>
      <c r="C591" s="42" t="s">
        <v>268</v>
      </c>
      <c r="D591" s="21" t="s">
        <v>334</v>
      </c>
      <c r="E591" s="42"/>
      <c r="F591" s="7"/>
      <c r="G591" s="7"/>
      <c r="H591" s="7"/>
      <c r="I591" s="7"/>
      <c r="J591" s="7"/>
      <c r="K591" s="7"/>
      <c r="L591" s="7"/>
      <c r="M591" s="7" t="e">
        <f t="shared" si="344"/>
        <v>#DIV/0!</v>
      </c>
    </row>
    <row r="592" spans="1:13" ht="31.5">
      <c r="A592" s="26" t="s">
        <v>335</v>
      </c>
      <c r="B592" s="42" t="s">
        <v>317</v>
      </c>
      <c r="C592" s="42" t="s">
        <v>268</v>
      </c>
      <c r="D592" s="21" t="s">
        <v>336</v>
      </c>
      <c r="E592" s="42"/>
      <c r="F592" s="7">
        <f>F593</f>
        <v>50</v>
      </c>
      <c r="G592" s="7">
        <f t="shared" ref="G592:L593" si="345">G593</f>
        <v>50</v>
      </c>
      <c r="H592" s="7">
        <f t="shared" si="345"/>
        <v>60</v>
      </c>
      <c r="I592" s="7">
        <f t="shared" si="345"/>
        <v>60</v>
      </c>
      <c r="J592" s="7">
        <f t="shared" si="345"/>
        <v>60</v>
      </c>
      <c r="K592" s="7">
        <f t="shared" si="345"/>
        <v>50</v>
      </c>
      <c r="L592" s="7">
        <f t="shared" si="345"/>
        <v>0</v>
      </c>
      <c r="M592" s="7">
        <f t="shared" si="344"/>
        <v>0</v>
      </c>
    </row>
    <row r="593" spans="1:13" ht="47.25">
      <c r="A593" s="26" t="s">
        <v>325</v>
      </c>
      <c r="B593" s="42" t="s">
        <v>317</v>
      </c>
      <c r="C593" s="42" t="s">
        <v>268</v>
      </c>
      <c r="D593" s="21" t="s">
        <v>336</v>
      </c>
      <c r="E593" s="42" t="s">
        <v>326</v>
      </c>
      <c r="F593" s="7">
        <f>F594</f>
        <v>50</v>
      </c>
      <c r="G593" s="7">
        <f t="shared" si="345"/>
        <v>50</v>
      </c>
      <c r="H593" s="7">
        <f t="shared" si="345"/>
        <v>60</v>
      </c>
      <c r="I593" s="7">
        <f t="shared" si="345"/>
        <v>60</v>
      </c>
      <c r="J593" s="7">
        <f t="shared" si="345"/>
        <v>60</v>
      </c>
      <c r="K593" s="7">
        <f t="shared" si="345"/>
        <v>50</v>
      </c>
      <c r="L593" s="7">
        <f t="shared" si="345"/>
        <v>0</v>
      </c>
      <c r="M593" s="7">
        <f t="shared" si="344"/>
        <v>0</v>
      </c>
    </row>
    <row r="594" spans="1:13" ht="15.75">
      <c r="A594" s="26" t="s">
        <v>327</v>
      </c>
      <c r="B594" s="42" t="s">
        <v>317</v>
      </c>
      <c r="C594" s="42" t="s">
        <v>268</v>
      </c>
      <c r="D594" s="21" t="s">
        <v>336</v>
      </c>
      <c r="E594" s="42" t="s">
        <v>328</v>
      </c>
      <c r="F594" s="7">
        <f>'Прил.№4 ведомств.'!G301</f>
        <v>50</v>
      </c>
      <c r="G594" s="7">
        <f>'Прил.№4 ведомств.'!I301</f>
        <v>50</v>
      </c>
      <c r="H594" s="7">
        <f>'Прил.№4 ведомств.'!J301</f>
        <v>60</v>
      </c>
      <c r="I594" s="7">
        <f>'Прил.№4 ведомств.'!K301</f>
        <v>60</v>
      </c>
      <c r="J594" s="7">
        <f>'Прил.№4 ведомств.'!L301</f>
        <v>60</v>
      </c>
      <c r="K594" s="7">
        <f>'Прил.№4 ведомств.'!M301</f>
        <v>50</v>
      </c>
      <c r="L594" s="7">
        <f>'Прил.№4 ведомств.'!N301</f>
        <v>0</v>
      </c>
      <c r="M594" s="7">
        <f t="shared" si="344"/>
        <v>0</v>
      </c>
    </row>
    <row r="595" spans="1:13" ht="31.5" hidden="1" customHeight="1">
      <c r="A595" s="26" t="s">
        <v>337</v>
      </c>
      <c r="B595" s="42" t="s">
        <v>317</v>
      </c>
      <c r="C595" s="42" t="s">
        <v>268</v>
      </c>
      <c r="D595" s="21" t="s">
        <v>338</v>
      </c>
      <c r="E595" s="42"/>
      <c r="F595" s="7">
        <f>F596</f>
        <v>0</v>
      </c>
      <c r="G595" s="7">
        <f t="shared" ref="G595:L596" si="346">G596</f>
        <v>0</v>
      </c>
      <c r="H595" s="7">
        <f t="shared" si="346"/>
        <v>275</v>
      </c>
      <c r="I595" s="7">
        <f t="shared" si="346"/>
        <v>275</v>
      </c>
      <c r="J595" s="7">
        <f t="shared" si="346"/>
        <v>275</v>
      </c>
      <c r="K595" s="7">
        <f t="shared" si="346"/>
        <v>0</v>
      </c>
      <c r="L595" s="7">
        <f t="shared" si="346"/>
        <v>0</v>
      </c>
      <c r="M595" s="7" t="e">
        <f t="shared" si="344"/>
        <v>#DIV/0!</v>
      </c>
    </row>
    <row r="596" spans="1:13" ht="47.25" hidden="1" customHeight="1">
      <c r="A596" s="26" t="s">
        <v>325</v>
      </c>
      <c r="B596" s="42" t="s">
        <v>317</v>
      </c>
      <c r="C596" s="42" t="s">
        <v>268</v>
      </c>
      <c r="D596" s="21" t="s">
        <v>339</v>
      </c>
      <c r="E596" s="42" t="s">
        <v>326</v>
      </c>
      <c r="F596" s="7">
        <f>F597</f>
        <v>0</v>
      </c>
      <c r="G596" s="7">
        <f t="shared" si="346"/>
        <v>0</v>
      </c>
      <c r="H596" s="7">
        <f t="shared" si="346"/>
        <v>275</v>
      </c>
      <c r="I596" s="7">
        <f t="shared" si="346"/>
        <v>275</v>
      </c>
      <c r="J596" s="7">
        <f t="shared" si="346"/>
        <v>275</v>
      </c>
      <c r="K596" s="7">
        <f t="shared" si="346"/>
        <v>0</v>
      </c>
      <c r="L596" s="7">
        <f t="shared" si="346"/>
        <v>0</v>
      </c>
      <c r="M596" s="7" t="e">
        <f t="shared" si="344"/>
        <v>#DIV/0!</v>
      </c>
    </row>
    <row r="597" spans="1:13" ht="15.75" hidden="1" customHeight="1">
      <c r="A597" s="26" t="s">
        <v>327</v>
      </c>
      <c r="B597" s="42" t="s">
        <v>317</v>
      </c>
      <c r="C597" s="42" t="s">
        <v>268</v>
      </c>
      <c r="D597" s="21" t="s">
        <v>339</v>
      </c>
      <c r="E597" s="42" t="s">
        <v>328</v>
      </c>
      <c r="F597" s="7">
        <f>'Прил.№4 ведомств.'!G304</f>
        <v>0</v>
      </c>
      <c r="G597" s="7">
        <f>'Прил.№4 ведомств.'!I304</f>
        <v>0</v>
      </c>
      <c r="H597" s="7">
        <f>'Прил.№4 ведомств.'!J304</f>
        <v>275</v>
      </c>
      <c r="I597" s="7">
        <f>'Прил.№4 ведомств.'!K304</f>
        <v>275</v>
      </c>
      <c r="J597" s="7">
        <f>'Прил.№4 ведомств.'!L304</f>
        <v>275</v>
      </c>
      <c r="K597" s="7">
        <f>'Прил.№4 ведомств.'!M304</f>
        <v>0</v>
      </c>
      <c r="L597" s="7">
        <f>'Прил.№4 ведомств.'!N304</f>
        <v>0</v>
      </c>
      <c r="M597" s="7" t="e">
        <f t="shared" si="344"/>
        <v>#DIV/0!</v>
      </c>
    </row>
    <row r="598" spans="1:13" ht="31.5" hidden="1" customHeight="1">
      <c r="A598" s="37" t="s">
        <v>340</v>
      </c>
      <c r="B598" s="42" t="s">
        <v>317</v>
      </c>
      <c r="C598" s="42" t="s">
        <v>268</v>
      </c>
      <c r="D598" s="21" t="s">
        <v>341</v>
      </c>
      <c r="E598" s="42"/>
      <c r="F598" s="7">
        <f>F599</f>
        <v>0</v>
      </c>
      <c r="G598" s="7">
        <f t="shared" ref="G598:L599" si="347">G599</f>
        <v>0</v>
      </c>
      <c r="H598" s="7">
        <f t="shared" si="347"/>
        <v>600</v>
      </c>
      <c r="I598" s="7">
        <f t="shared" si="347"/>
        <v>0</v>
      </c>
      <c r="J598" s="7">
        <f t="shared" si="347"/>
        <v>0</v>
      </c>
      <c r="K598" s="7">
        <f t="shared" si="347"/>
        <v>0</v>
      </c>
      <c r="L598" s="7">
        <f t="shared" si="347"/>
        <v>0</v>
      </c>
      <c r="M598" s="7" t="e">
        <f t="shared" si="344"/>
        <v>#DIV/0!</v>
      </c>
    </row>
    <row r="599" spans="1:13" ht="47.25" hidden="1" customHeight="1">
      <c r="A599" s="26" t="s">
        <v>325</v>
      </c>
      <c r="B599" s="42" t="s">
        <v>317</v>
      </c>
      <c r="C599" s="42" t="s">
        <v>268</v>
      </c>
      <c r="D599" s="21" t="s">
        <v>341</v>
      </c>
      <c r="E599" s="42" t="s">
        <v>326</v>
      </c>
      <c r="F599" s="7">
        <f>F600</f>
        <v>0</v>
      </c>
      <c r="G599" s="7">
        <f t="shared" si="347"/>
        <v>0</v>
      </c>
      <c r="H599" s="7">
        <f t="shared" si="347"/>
        <v>600</v>
      </c>
      <c r="I599" s="7">
        <f t="shared" si="347"/>
        <v>0</v>
      </c>
      <c r="J599" s="7">
        <f t="shared" si="347"/>
        <v>0</v>
      </c>
      <c r="K599" s="7">
        <f t="shared" si="347"/>
        <v>0</v>
      </c>
      <c r="L599" s="7">
        <f t="shared" si="347"/>
        <v>0</v>
      </c>
      <c r="M599" s="7" t="e">
        <f t="shared" si="344"/>
        <v>#DIV/0!</v>
      </c>
    </row>
    <row r="600" spans="1:13" ht="15.75" hidden="1" customHeight="1">
      <c r="A600" s="26" t="s">
        <v>327</v>
      </c>
      <c r="B600" s="42" t="s">
        <v>317</v>
      </c>
      <c r="C600" s="42" t="s">
        <v>268</v>
      </c>
      <c r="D600" s="21" t="s">
        <v>341</v>
      </c>
      <c r="E600" s="42" t="s">
        <v>328</v>
      </c>
      <c r="F600" s="7">
        <f>'Прил.№4 ведомств.'!G307</f>
        <v>0</v>
      </c>
      <c r="G600" s="7">
        <f>'Прил.№4 ведомств.'!I307</f>
        <v>0</v>
      </c>
      <c r="H600" s="7">
        <f>'Прил.№4 ведомств.'!J307</f>
        <v>600</v>
      </c>
      <c r="I600" s="7">
        <f>'Прил.№4 ведомств.'!K307</f>
        <v>0</v>
      </c>
      <c r="J600" s="7">
        <f>'Прил.№4 ведомств.'!L307</f>
        <v>0</v>
      </c>
      <c r="K600" s="7">
        <f>'Прил.№4 ведомств.'!M307</f>
        <v>0</v>
      </c>
      <c r="L600" s="7">
        <f>'Прил.№4 ведомств.'!N307</f>
        <v>0</v>
      </c>
      <c r="M600" s="7" t="e">
        <f t="shared" si="344"/>
        <v>#DIV/0!</v>
      </c>
    </row>
    <row r="601" spans="1:13" ht="15.75" customHeight="1">
      <c r="A601" s="47" t="s">
        <v>871</v>
      </c>
      <c r="B601" s="42" t="s">
        <v>317</v>
      </c>
      <c r="C601" s="42" t="s">
        <v>268</v>
      </c>
      <c r="D601" s="21" t="s">
        <v>877</v>
      </c>
      <c r="E601" s="42"/>
      <c r="F601" s="7">
        <f>F602</f>
        <v>0</v>
      </c>
      <c r="G601" s="7">
        <f t="shared" ref="G601:L602" si="348">G602</f>
        <v>0</v>
      </c>
      <c r="H601" s="7">
        <f t="shared" si="348"/>
        <v>661.8</v>
      </c>
      <c r="I601" s="7">
        <f t="shared" si="348"/>
        <v>661.8</v>
      </c>
      <c r="J601" s="7">
        <f t="shared" si="348"/>
        <v>661.8</v>
      </c>
      <c r="K601" s="7">
        <f t="shared" si="348"/>
        <v>661.8</v>
      </c>
      <c r="L601" s="7">
        <f t="shared" si="348"/>
        <v>661.8</v>
      </c>
      <c r="M601" s="7">
        <f t="shared" si="344"/>
        <v>100</v>
      </c>
    </row>
    <row r="602" spans="1:13" ht="15.75" customHeight="1">
      <c r="A602" s="33" t="s">
        <v>325</v>
      </c>
      <c r="B602" s="42" t="s">
        <v>317</v>
      </c>
      <c r="C602" s="42" t="s">
        <v>268</v>
      </c>
      <c r="D602" s="21" t="s">
        <v>877</v>
      </c>
      <c r="E602" s="42" t="s">
        <v>326</v>
      </c>
      <c r="F602" s="7">
        <f>F603</f>
        <v>0</v>
      </c>
      <c r="G602" s="7">
        <f t="shared" si="348"/>
        <v>0</v>
      </c>
      <c r="H602" s="7">
        <f t="shared" si="348"/>
        <v>661.8</v>
      </c>
      <c r="I602" s="7">
        <f t="shared" si="348"/>
        <v>661.8</v>
      </c>
      <c r="J602" s="7">
        <f t="shared" si="348"/>
        <v>661.8</v>
      </c>
      <c r="K602" s="7">
        <f t="shared" si="348"/>
        <v>661.8</v>
      </c>
      <c r="L602" s="7">
        <f t="shared" si="348"/>
        <v>661.8</v>
      </c>
      <c r="M602" s="7">
        <f t="shared" si="344"/>
        <v>100</v>
      </c>
    </row>
    <row r="603" spans="1:13" ht="15.75" customHeight="1">
      <c r="A603" s="33" t="s">
        <v>327</v>
      </c>
      <c r="B603" s="42" t="s">
        <v>317</v>
      </c>
      <c r="C603" s="42" t="s">
        <v>268</v>
      </c>
      <c r="D603" s="21" t="s">
        <v>877</v>
      </c>
      <c r="E603" s="42" t="s">
        <v>328</v>
      </c>
      <c r="F603" s="7">
        <f>'Прил.№4 ведомств.'!G310</f>
        <v>0</v>
      </c>
      <c r="G603" s="7">
        <f>'Прил.№4 ведомств.'!I310</f>
        <v>0</v>
      </c>
      <c r="H603" s="7">
        <f>'Прил.№4 ведомств.'!J310</f>
        <v>661.8</v>
      </c>
      <c r="I603" s="7">
        <f>'Прил.№4 ведомств.'!K310</f>
        <v>661.8</v>
      </c>
      <c r="J603" s="7">
        <f>'Прил.№4 ведомств.'!L310</f>
        <v>661.8</v>
      </c>
      <c r="K603" s="7">
        <f>'Прил.№4 ведомств.'!M310</f>
        <v>661.8</v>
      </c>
      <c r="L603" s="7">
        <f>'Прил.№4 ведомств.'!N310</f>
        <v>661.8</v>
      </c>
      <c r="M603" s="7">
        <f t="shared" si="344"/>
        <v>100</v>
      </c>
    </row>
    <row r="604" spans="1:13" ht="15.75">
      <c r="A604" s="26" t="s">
        <v>174</v>
      </c>
      <c r="B604" s="42" t="s">
        <v>317</v>
      </c>
      <c r="C604" s="42" t="s">
        <v>268</v>
      </c>
      <c r="D604" s="21" t="s">
        <v>175</v>
      </c>
      <c r="E604" s="42"/>
      <c r="F604" s="7">
        <f>F605</f>
        <v>3346.4</v>
      </c>
      <c r="G604" s="7">
        <f t="shared" ref="G604:L604" si="349">G605</f>
        <v>3346.4</v>
      </c>
      <c r="H604" s="7">
        <f t="shared" si="349"/>
        <v>3346.4</v>
      </c>
      <c r="I604" s="7">
        <f t="shared" si="349"/>
        <v>3346.4</v>
      </c>
      <c r="J604" s="7">
        <f t="shared" si="349"/>
        <v>3346.4</v>
      </c>
      <c r="K604" s="7">
        <f t="shared" si="349"/>
        <v>3350.1000000000004</v>
      </c>
      <c r="L604" s="7">
        <f t="shared" si="349"/>
        <v>523.20000000000005</v>
      </c>
      <c r="M604" s="7">
        <f t="shared" si="344"/>
        <v>15.617444255395361</v>
      </c>
    </row>
    <row r="605" spans="1:13" ht="31.5">
      <c r="A605" s="26" t="s">
        <v>238</v>
      </c>
      <c r="B605" s="42" t="s">
        <v>317</v>
      </c>
      <c r="C605" s="42" t="s">
        <v>268</v>
      </c>
      <c r="D605" s="21" t="s">
        <v>239</v>
      </c>
      <c r="E605" s="42"/>
      <c r="F605" s="7">
        <f>F606+F609+F612</f>
        <v>3346.4</v>
      </c>
      <c r="G605" s="7">
        <f t="shared" ref="G605:K605" si="350">G606+G609+G612</f>
        <v>3346.4</v>
      </c>
      <c r="H605" s="7">
        <f t="shared" si="350"/>
        <v>3346.4</v>
      </c>
      <c r="I605" s="7">
        <f t="shared" si="350"/>
        <v>3346.4</v>
      </c>
      <c r="J605" s="7">
        <f t="shared" si="350"/>
        <v>3346.4</v>
      </c>
      <c r="K605" s="7">
        <f t="shared" si="350"/>
        <v>3350.1000000000004</v>
      </c>
      <c r="L605" s="7">
        <f t="shared" ref="L605" si="351">L606+L609+L612</f>
        <v>523.20000000000005</v>
      </c>
      <c r="M605" s="7">
        <f t="shared" si="344"/>
        <v>15.617444255395361</v>
      </c>
    </row>
    <row r="606" spans="1:13" ht="63">
      <c r="A606" s="33" t="s">
        <v>342</v>
      </c>
      <c r="B606" s="42" t="s">
        <v>317</v>
      </c>
      <c r="C606" s="42" t="s">
        <v>268</v>
      </c>
      <c r="D606" s="21" t="s">
        <v>343</v>
      </c>
      <c r="E606" s="42"/>
      <c r="F606" s="7">
        <f>F607</f>
        <v>286.7</v>
      </c>
      <c r="G606" s="7">
        <f t="shared" ref="G606:L607" si="352">G607</f>
        <v>286.7</v>
      </c>
      <c r="H606" s="7">
        <f t="shared" si="352"/>
        <v>286.7</v>
      </c>
      <c r="I606" s="7">
        <f t="shared" si="352"/>
        <v>286.7</v>
      </c>
      <c r="J606" s="7">
        <f t="shared" si="352"/>
        <v>286.7</v>
      </c>
      <c r="K606" s="7">
        <f t="shared" si="352"/>
        <v>286.7</v>
      </c>
      <c r="L606" s="7">
        <f t="shared" si="352"/>
        <v>48</v>
      </c>
      <c r="M606" s="7">
        <f t="shared" si="344"/>
        <v>16.742239274502964</v>
      </c>
    </row>
    <row r="607" spans="1:13" ht="47.25">
      <c r="A607" s="26" t="s">
        <v>325</v>
      </c>
      <c r="B607" s="42" t="s">
        <v>317</v>
      </c>
      <c r="C607" s="42" t="s">
        <v>268</v>
      </c>
      <c r="D607" s="21" t="s">
        <v>343</v>
      </c>
      <c r="E607" s="42" t="s">
        <v>326</v>
      </c>
      <c r="F607" s="7">
        <f>F608</f>
        <v>286.7</v>
      </c>
      <c r="G607" s="7">
        <f t="shared" si="352"/>
        <v>286.7</v>
      </c>
      <c r="H607" s="7">
        <f t="shared" si="352"/>
        <v>286.7</v>
      </c>
      <c r="I607" s="7">
        <f t="shared" si="352"/>
        <v>286.7</v>
      </c>
      <c r="J607" s="7">
        <f t="shared" si="352"/>
        <v>286.7</v>
      </c>
      <c r="K607" s="7">
        <f t="shared" si="352"/>
        <v>286.7</v>
      </c>
      <c r="L607" s="7">
        <f t="shared" si="352"/>
        <v>48</v>
      </c>
      <c r="M607" s="7">
        <f t="shared" si="344"/>
        <v>16.742239274502964</v>
      </c>
    </row>
    <row r="608" spans="1:13" ht="15.75">
      <c r="A608" s="26" t="s">
        <v>327</v>
      </c>
      <c r="B608" s="42" t="s">
        <v>317</v>
      </c>
      <c r="C608" s="42" t="s">
        <v>268</v>
      </c>
      <c r="D608" s="21" t="s">
        <v>343</v>
      </c>
      <c r="E608" s="42" t="s">
        <v>328</v>
      </c>
      <c r="F608" s="7">
        <f>'Прил.№4 ведомств.'!G315+'Прил.№4 ведомств.'!G722+'Прил.№4 ведомств.'!G802</f>
        <v>286.7</v>
      </c>
      <c r="G608" s="7">
        <f>'Прил.№4 ведомств.'!I315+'Прил.№4 ведомств.'!I722+'Прил.№4 ведомств.'!I802</f>
        <v>286.7</v>
      </c>
      <c r="H608" s="7">
        <f>'Прил.№4 ведомств.'!J315+'Прил.№4 ведомств.'!J722+'Прил.№4 ведомств.'!J802</f>
        <v>286.7</v>
      </c>
      <c r="I608" s="7">
        <f>'Прил.№4 ведомств.'!K315+'Прил.№4 ведомств.'!K722+'Прил.№4 ведомств.'!K802</f>
        <v>286.7</v>
      </c>
      <c r="J608" s="7">
        <f>'Прил.№4 ведомств.'!L315+'Прил.№4 ведомств.'!L722+'Прил.№4 ведомств.'!L802</f>
        <v>286.7</v>
      </c>
      <c r="K608" s="7">
        <f>'Прил.№4 ведомств.'!M315+'Прил.№4 ведомств.'!M722+'Прил.№4 ведомств.'!M802</f>
        <v>286.7</v>
      </c>
      <c r="L608" s="7">
        <f>'Прил.№4 ведомств.'!N315+'Прил.№4 ведомств.'!N722+'Прил.№4 ведомств.'!N802</f>
        <v>48</v>
      </c>
      <c r="M608" s="7">
        <f t="shared" si="344"/>
        <v>16.742239274502964</v>
      </c>
    </row>
    <row r="609" spans="1:13" ht="63">
      <c r="A609" s="33" t="s">
        <v>344</v>
      </c>
      <c r="B609" s="42" t="s">
        <v>317</v>
      </c>
      <c r="C609" s="42" t="s">
        <v>268</v>
      </c>
      <c r="D609" s="21" t="s">
        <v>345</v>
      </c>
      <c r="E609" s="42"/>
      <c r="F609" s="7">
        <f>F610</f>
        <v>1080.2</v>
      </c>
      <c r="G609" s="7">
        <f t="shared" ref="G609:L610" si="353">G610</f>
        <v>1080.2</v>
      </c>
      <c r="H609" s="7">
        <f t="shared" si="353"/>
        <v>1080.2</v>
      </c>
      <c r="I609" s="7">
        <f t="shared" si="353"/>
        <v>1080.2</v>
      </c>
      <c r="J609" s="7">
        <f t="shared" si="353"/>
        <v>1080.2</v>
      </c>
      <c r="K609" s="7">
        <f t="shared" si="353"/>
        <v>1117.8000000000002</v>
      </c>
      <c r="L609" s="7">
        <f t="shared" si="353"/>
        <v>190.3</v>
      </c>
      <c r="M609" s="7">
        <f t="shared" si="344"/>
        <v>17.024512435140451</v>
      </c>
    </row>
    <row r="610" spans="1:13" ht="47.25">
      <c r="A610" s="26" t="s">
        <v>325</v>
      </c>
      <c r="B610" s="42" t="s">
        <v>317</v>
      </c>
      <c r="C610" s="42" t="s">
        <v>268</v>
      </c>
      <c r="D610" s="21" t="s">
        <v>345</v>
      </c>
      <c r="E610" s="42" t="s">
        <v>326</v>
      </c>
      <c r="F610" s="7">
        <f>F611</f>
        <v>1080.2</v>
      </c>
      <c r="G610" s="7">
        <f t="shared" si="353"/>
        <v>1080.2</v>
      </c>
      <c r="H610" s="7">
        <f t="shared" si="353"/>
        <v>1080.2</v>
      </c>
      <c r="I610" s="7">
        <f t="shared" si="353"/>
        <v>1080.2</v>
      </c>
      <c r="J610" s="7">
        <f t="shared" si="353"/>
        <v>1080.2</v>
      </c>
      <c r="K610" s="7">
        <f t="shared" si="353"/>
        <v>1117.8000000000002</v>
      </c>
      <c r="L610" s="7">
        <f t="shared" si="353"/>
        <v>190.3</v>
      </c>
      <c r="M610" s="7">
        <f t="shared" si="344"/>
        <v>17.024512435140451</v>
      </c>
    </row>
    <row r="611" spans="1:13" ht="15.75">
      <c r="A611" s="26" t="s">
        <v>327</v>
      </c>
      <c r="B611" s="42" t="s">
        <v>317</v>
      </c>
      <c r="C611" s="42" t="s">
        <v>268</v>
      </c>
      <c r="D611" s="21" t="s">
        <v>345</v>
      </c>
      <c r="E611" s="42" t="s">
        <v>328</v>
      </c>
      <c r="F611" s="7">
        <f>'Прил.№4 ведомств.'!G805+'Прил.№4 ведомств.'!G725+'Прил.№4 ведомств.'!G318</f>
        <v>1080.2</v>
      </c>
      <c r="G611" s="7">
        <f>'Прил.№4 ведомств.'!I805+'Прил.№4 ведомств.'!I725+'Прил.№4 ведомств.'!I318</f>
        <v>1080.2</v>
      </c>
      <c r="H611" s="7">
        <f>'Прил.№4 ведомств.'!J805+'Прил.№4 ведомств.'!J725+'Прил.№4 ведомств.'!J318</f>
        <v>1080.2</v>
      </c>
      <c r="I611" s="7">
        <f>'Прил.№4 ведомств.'!K805+'Прил.№4 ведомств.'!K725+'Прил.№4 ведомств.'!K318</f>
        <v>1080.2</v>
      </c>
      <c r="J611" s="7">
        <f>'Прил.№4 ведомств.'!L805+'Прил.№4 ведомств.'!L725+'Прил.№4 ведомств.'!L318</f>
        <v>1080.2</v>
      </c>
      <c r="K611" s="7">
        <f>'Прил.№4 ведомств.'!M805+'Прил.№4 ведомств.'!M725+'Прил.№4 ведомств.'!M318</f>
        <v>1117.8000000000002</v>
      </c>
      <c r="L611" s="7">
        <f>'Прил.№4 ведомств.'!N805+'Прил.№4 ведомств.'!N725+'Прил.№4 ведомств.'!N318</f>
        <v>190.3</v>
      </c>
      <c r="M611" s="7">
        <f t="shared" si="344"/>
        <v>17.024512435140451</v>
      </c>
    </row>
    <row r="612" spans="1:13" ht="94.5">
      <c r="A612" s="33" t="s">
        <v>346</v>
      </c>
      <c r="B612" s="42" t="s">
        <v>317</v>
      </c>
      <c r="C612" s="42" t="s">
        <v>268</v>
      </c>
      <c r="D612" s="21" t="s">
        <v>347</v>
      </c>
      <c r="E612" s="42"/>
      <c r="F612" s="7">
        <f>F613</f>
        <v>1979.5</v>
      </c>
      <c r="G612" s="7">
        <f t="shared" ref="G612:L613" si="354">G613</f>
        <v>1979.5</v>
      </c>
      <c r="H612" s="7">
        <f t="shared" si="354"/>
        <v>1979.5</v>
      </c>
      <c r="I612" s="7">
        <f t="shared" si="354"/>
        <v>1979.5</v>
      </c>
      <c r="J612" s="7">
        <f t="shared" si="354"/>
        <v>1979.5</v>
      </c>
      <c r="K612" s="7">
        <f t="shared" si="354"/>
        <v>1945.6</v>
      </c>
      <c r="L612" s="7">
        <f t="shared" si="354"/>
        <v>284.89999999999998</v>
      </c>
      <c r="M612" s="7">
        <f t="shared" si="344"/>
        <v>14.643297697368421</v>
      </c>
    </row>
    <row r="613" spans="1:13" ht="47.25">
      <c r="A613" s="26" t="s">
        <v>325</v>
      </c>
      <c r="B613" s="42" t="s">
        <v>317</v>
      </c>
      <c r="C613" s="42" t="s">
        <v>268</v>
      </c>
      <c r="D613" s="21" t="s">
        <v>347</v>
      </c>
      <c r="E613" s="42" t="s">
        <v>326</v>
      </c>
      <c r="F613" s="7">
        <f>F614</f>
        <v>1979.5</v>
      </c>
      <c r="G613" s="7">
        <f t="shared" si="354"/>
        <v>1979.5</v>
      </c>
      <c r="H613" s="7">
        <f t="shared" si="354"/>
        <v>1979.5</v>
      </c>
      <c r="I613" s="7">
        <f t="shared" si="354"/>
        <v>1979.5</v>
      </c>
      <c r="J613" s="7">
        <f t="shared" si="354"/>
        <v>1979.5</v>
      </c>
      <c r="K613" s="7">
        <f t="shared" si="354"/>
        <v>1945.6</v>
      </c>
      <c r="L613" s="7">
        <f t="shared" si="354"/>
        <v>284.89999999999998</v>
      </c>
      <c r="M613" s="7">
        <f t="shared" si="344"/>
        <v>14.643297697368421</v>
      </c>
    </row>
    <row r="614" spans="1:13" ht="15.75">
      <c r="A614" s="26" t="s">
        <v>327</v>
      </c>
      <c r="B614" s="42" t="s">
        <v>317</v>
      </c>
      <c r="C614" s="42" t="s">
        <v>268</v>
      </c>
      <c r="D614" s="21" t="s">
        <v>347</v>
      </c>
      <c r="E614" s="42" t="s">
        <v>328</v>
      </c>
      <c r="F614" s="7">
        <f>'Прил.№4 ведомств.'!G321+'Прил.№4 ведомств.'!G728+'Прил.№4 ведомств.'!G808</f>
        <v>1979.5</v>
      </c>
      <c r="G614" s="7">
        <f>'Прил.№4 ведомств.'!I321+'Прил.№4 ведомств.'!I728+'Прил.№4 ведомств.'!I808</f>
        <v>1979.5</v>
      </c>
      <c r="H614" s="7">
        <f>'Прил.№4 ведомств.'!J321+'Прил.№4 ведомств.'!J728+'Прил.№4 ведомств.'!J808</f>
        <v>1979.5</v>
      </c>
      <c r="I614" s="7">
        <f>'Прил.№4 ведомств.'!K321+'Прил.№4 ведомств.'!K728+'Прил.№4 ведомств.'!K808</f>
        <v>1979.5</v>
      </c>
      <c r="J614" s="7">
        <f>'Прил.№4 ведомств.'!L321+'Прил.№4 ведомств.'!L728+'Прил.№4 ведомств.'!L808</f>
        <v>1979.5</v>
      </c>
      <c r="K614" s="7">
        <f>'Прил.№4 ведомств.'!M321+'Прил.№4 ведомств.'!M728+'Прил.№4 ведомств.'!M808</f>
        <v>1945.6</v>
      </c>
      <c r="L614" s="7">
        <f>'Прил.№4 ведомств.'!N321+'Прил.№4 ведомств.'!N728+'Прил.№4 ведомств.'!N808</f>
        <v>284.89999999999998</v>
      </c>
      <c r="M614" s="7">
        <f t="shared" si="344"/>
        <v>14.643297697368421</v>
      </c>
    </row>
    <row r="615" spans="1:13" ht="15.75">
      <c r="A615" s="43" t="s">
        <v>520</v>
      </c>
      <c r="B615" s="8" t="s">
        <v>317</v>
      </c>
      <c r="C615" s="8" t="s">
        <v>317</v>
      </c>
      <c r="D615" s="8"/>
      <c r="E615" s="8"/>
      <c r="F615" s="4">
        <f>F616+F621</f>
        <v>4788.6000000000004</v>
      </c>
      <c r="G615" s="4">
        <f t="shared" ref="G615:K615" si="355">G616+G621</f>
        <v>4788.6000000000004</v>
      </c>
      <c r="H615" s="4">
        <f t="shared" si="355"/>
        <v>5474.8</v>
      </c>
      <c r="I615" s="4">
        <f t="shared" si="355"/>
        <v>5474.8</v>
      </c>
      <c r="J615" s="4">
        <f t="shared" si="355"/>
        <v>5474.8</v>
      </c>
      <c r="K615" s="4">
        <f t="shared" si="355"/>
        <v>4788.8</v>
      </c>
      <c r="L615" s="4">
        <f t="shared" ref="L615" si="356">L616+L621</f>
        <v>0</v>
      </c>
      <c r="M615" s="4">
        <f t="shared" si="344"/>
        <v>0</v>
      </c>
    </row>
    <row r="616" spans="1:13" ht="47.25">
      <c r="A616" s="31" t="s">
        <v>480</v>
      </c>
      <c r="B616" s="42" t="s">
        <v>317</v>
      </c>
      <c r="C616" s="42" t="s">
        <v>317</v>
      </c>
      <c r="D616" s="42" t="s">
        <v>460</v>
      </c>
      <c r="E616" s="42"/>
      <c r="F616" s="7">
        <f>F617</f>
        <v>3484.8</v>
      </c>
      <c r="G616" s="7">
        <f t="shared" ref="G616:L616" si="357">G617</f>
        <v>3484.8</v>
      </c>
      <c r="H616" s="7">
        <f t="shared" si="357"/>
        <v>4171</v>
      </c>
      <c r="I616" s="7">
        <f t="shared" si="357"/>
        <v>4171</v>
      </c>
      <c r="J616" s="7">
        <f t="shared" si="357"/>
        <v>4171</v>
      </c>
      <c r="K616" s="7">
        <f t="shared" si="357"/>
        <v>3485</v>
      </c>
      <c r="L616" s="7">
        <f t="shared" si="357"/>
        <v>0</v>
      </c>
      <c r="M616" s="7">
        <f t="shared" si="344"/>
        <v>0</v>
      </c>
    </row>
    <row r="617" spans="1:13" ht="31.5">
      <c r="A617" s="31" t="s">
        <v>521</v>
      </c>
      <c r="B617" s="42" t="s">
        <v>317</v>
      </c>
      <c r="C617" s="42" t="s">
        <v>522</v>
      </c>
      <c r="D617" s="42" t="s">
        <v>523</v>
      </c>
      <c r="E617" s="42"/>
      <c r="F617" s="7">
        <f>F619</f>
        <v>3484.8</v>
      </c>
      <c r="G617" s="7">
        <f t="shared" ref="G617:K617" si="358">G619</f>
        <v>3484.8</v>
      </c>
      <c r="H617" s="7">
        <f t="shared" si="358"/>
        <v>4171</v>
      </c>
      <c r="I617" s="7">
        <f t="shared" si="358"/>
        <v>4171</v>
      </c>
      <c r="J617" s="7">
        <f t="shared" si="358"/>
        <v>4171</v>
      </c>
      <c r="K617" s="7">
        <f t="shared" si="358"/>
        <v>3485</v>
      </c>
      <c r="L617" s="7">
        <f t="shared" ref="L617" si="359">L619</f>
        <v>0</v>
      </c>
      <c r="M617" s="7">
        <f t="shared" si="344"/>
        <v>0</v>
      </c>
    </row>
    <row r="618" spans="1:13" ht="31.5">
      <c r="A618" s="26" t="s">
        <v>676</v>
      </c>
      <c r="B618" s="42" t="s">
        <v>317</v>
      </c>
      <c r="C618" s="42" t="s">
        <v>317</v>
      </c>
      <c r="D618" s="42" t="s">
        <v>525</v>
      </c>
      <c r="E618" s="42"/>
      <c r="F618" s="7">
        <f>F619</f>
        <v>3484.8</v>
      </c>
      <c r="G618" s="7">
        <f t="shared" ref="G618:L619" si="360">G619</f>
        <v>3484.8</v>
      </c>
      <c r="H618" s="7">
        <f t="shared" si="360"/>
        <v>4171</v>
      </c>
      <c r="I618" s="7">
        <f t="shared" si="360"/>
        <v>4171</v>
      </c>
      <c r="J618" s="7">
        <f t="shared" si="360"/>
        <v>4171</v>
      </c>
      <c r="K618" s="7">
        <f t="shared" si="360"/>
        <v>3485</v>
      </c>
      <c r="L618" s="7">
        <f t="shared" si="360"/>
        <v>0</v>
      </c>
      <c r="M618" s="7">
        <f t="shared" si="344"/>
        <v>0</v>
      </c>
    </row>
    <row r="619" spans="1:13" ht="47.25">
      <c r="A619" s="31" t="s">
        <v>325</v>
      </c>
      <c r="B619" s="42" t="s">
        <v>317</v>
      </c>
      <c r="C619" s="42" t="s">
        <v>317</v>
      </c>
      <c r="D619" s="42" t="s">
        <v>525</v>
      </c>
      <c r="E619" s="42" t="s">
        <v>326</v>
      </c>
      <c r="F619" s="63">
        <f>F620</f>
        <v>3484.8</v>
      </c>
      <c r="G619" s="63">
        <f t="shared" si="360"/>
        <v>3484.8</v>
      </c>
      <c r="H619" s="63">
        <f t="shared" si="360"/>
        <v>4171</v>
      </c>
      <c r="I619" s="63">
        <f t="shared" si="360"/>
        <v>4171</v>
      </c>
      <c r="J619" s="63">
        <f t="shared" si="360"/>
        <v>4171</v>
      </c>
      <c r="K619" s="63">
        <f t="shared" si="360"/>
        <v>3485</v>
      </c>
      <c r="L619" s="63">
        <f t="shared" si="360"/>
        <v>0</v>
      </c>
      <c r="M619" s="7">
        <f t="shared" si="344"/>
        <v>0</v>
      </c>
    </row>
    <row r="620" spans="1:13" ht="15.75">
      <c r="A620" s="31" t="s">
        <v>327</v>
      </c>
      <c r="B620" s="42" t="s">
        <v>317</v>
      </c>
      <c r="C620" s="42" t="s">
        <v>317</v>
      </c>
      <c r="D620" s="42" t="s">
        <v>525</v>
      </c>
      <c r="E620" s="42" t="s">
        <v>328</v>
      </c>
      <c r="F620" s="63">
        <f>'Прил.№4 ведомств.'!G734</f>
        <v>3484.8</v>
      </c>
      <c r="G620" s="63">
        <f>'Прил.№4 ведомств.'!I734</f>
        <v>3484.8</v>
      </c>
      <c r="H620" s="63">
        <f>'Прил.№4 ведомств.'!J734</f>
        <v>4171</v>
      </c>
      <c r="I620" s="63">
        <f>'Прил.№4 ведомств.'!K734</f>
        <v>4171</v>
      </c>
      <c r="J620" s="63">
        <f>'Прил.№4 ведомств.'!L734</f>
        <v>4171</v>
      </c>
      <c r="K620" s="63">
        <f>'Прил.№4 ведомств.'!M734</f>
        <v>3485</v>
      </c>
      <c r="L620" s="63">
        <f>'Прил.№4 ведомств.'!N734</f>
        <v>0</v>
      </c>
      <c r="M620" s="7">
        <f t="shared" si="344"/>
        <v>0</v>
      </c>
    </row>
    <row r="621" spans="1:13" ht="15.75">
      <c r="A621" s="31" t="s">
        <v>174</v>
      </c>
      <c r="B621" s="42" t="s">
        <v>317</v>
      </c>
      <c r="C621" s="42" t="s">
        <v>317</v>
      </c>
      <c r="D621" s="42" t="s">
        <v>175</v>
      </c>
      <c r="E621" s="42"/>
      <c r="F621" s="7">
        <f>F622</f>
        <v>1303.8000000000002</v>
      </c>
      <c r="G621" s="7">
        <f t="shared" ref="G621:L624" si="361">G622</f>
        <v>1303.8000000000002</v>
      </c>
      <c r="H621" s="7">
        <f t="shared" si="361"/>
        <v>1303.8000000000002</v>
      </c>
      <c r="I621" s="7">
        <f t="shared" si="361"/>
        <v>1303.8000000000002</v>
      </c>
      <c r="J621" s="7">
        <f t="shared" si="361"/>
        <v>1303.8000000000002</v>
      </c>
      <c r="K621" s="7">
        <f t="shared" si="361"/>
        <v>1303.8</v>
      </c>
      <c r="L621" s="7">
        <f t="shared" si="361"/>
        <v>0</v>
      </c>
      <c r="M621" s="7">
        <f t="shared" si="344"/>
        <v>0</v>
      </c>
    </row>
    <row r="622" spans="1:13" ht="31.5">
      <c r="A622" s="31" t="s">
        <v>238</v>
      </c>
      <c r="B622" s="42" t="s">
        <v>317</v>
      </c>
      <c r="C622" s="42" t="s">
        <v>317</v>
      </c>
      <c r="D622" s="42" t="s">
        <v>239</v>
      </c>
      <c r="E622" s="42"/>
      <c r="F622" s="7">
        <f>F623</f>
        <v>1303.8000000000002</v>
      </c>
      <c r="G622" s="7">
        <f t="shared" si="361"/>
        <v>1303.8000000000002</v>
      </c>
      <c r="H622" s="7">
        <f t="shared" si="361"/>
        <v>1303.8000000000002</v>
      </c>
      <c r="I622" s="7">
        <f t="shared" si="361"/>
        <v>1303.8000000000002</v>
      </c>
      <c r="J622" s="7">
        <f t="shared" si="361"/>
        <v>1303.8000000000002</v>
      </c>
      <c r="K622" s="7">
        <f t="shared" si="361"/>
        <v>1303.8</v>
      </c>
      <c r="L622" s="7">
        <f t="shared" si="361"/>
        <v>0</v>
      </c>
      <c r="M622" s="7">
        <f t="shared" si="344"/>
        <v>0</v>
      </c>
    </row>
    <row r="623" spans="1:13" ht="31.5">
      <c r="A623" s="47" t="s">
        <v>528</v>
      </c>
      <c r="B623" s="42" t="s">
        <v>317</v>
      </c>
      <c r="C623" s="42" t="s">
        <v>317</v>
      </c>
      <c r="D623" s="42" t="s">
        <v>529</v>
      </c>
      <c r="E623" s="42"/>
      <c r="F623" s="7">
        <f>F624</f>
        <v>1303.8000000000002</v>
      </c>
      <c r="G623" s="7">
        <f t="shared" si="361"/>
        <v>1303.8000000000002</v>
      </c>
      <c r="H623" s="7">
        <f t="shared" si="361"/>
        <v>1303.8000000000002</v>
      </c>
      <c r="I623" s="7">
        <f t="shared" si="361"/>
        <v>1303.8000000000002</v>
      </c>
      <c r="J623" s="7">
        <f t="shared" si="361"/>
        <v>1303.8000000000002</v>
      </c>
      <c r="K623" s="7">
        <f t="shared" si="361"/>
        <v>1303.8</v>
      </c>
      <c r="L623" s="7">
        <f t="shared" si="361"/>
        <v>0</v>
      </c>
      <c r="M623" s="7">
        <f t="shared" si="344"/>
        <v>0</v>
      </c>
    </row>
    <row r="624" spans="1:13" ht="47.25">
      <c r="A624" s="31" t="s">
        <v>325</v>
      </c>
      <c r="B624" s="42" t="s">
        <v>317</v>
      </c>
      <c r="C624" s="42" t="s">
        <v>317</v>
      </c>
      <c r="D624" s="42" t="s">
        <v>529</v>
      </c>
      <c r="E624" s="42" t="s">
        <v>326</v>
      </c>
      <c r="F624" s="7">
        <f>F625</f>
        <v>1303.8000000000002</v>
      </c>
      <c r="G624" s="7">
        <f t="shared" si="361"/>
        <v>1303.8000000000002</v>
      </c>
      <c r="H624" s="7">
        <f t="shared" si="361"/>
        <v>1303.8000000000002</v>
      </c>
      <c r="I624" s="7">
        <f t="shared" si="361"/>
        <v>1303.8000000000002</v>
      </c>
      <c r="J624" s="7">
        <f t="shared" si="361"/>
        <v>1303.8000000000002</v>
      </c>
      <c r="K624" s="7">
        <f t="shared" si="361"/>
        <v>1303.8</v>
      </c>
      <c r="L624" s="7">
        <f t="shared" si="361"/>
        <v>0</v>
      </c>
      <c r="M624" s="7">
        <f t="shared" si="344"/>
        <v>0</v>
      </c>
    </row>
    <row r="625" spans="1:13" ht="15.75">
      <c r="A625" s="31" t="s">
        <v>327</v>
      </c>
      <c r="B625" s="42" t="s">
        <v>317</v>
      </c>
      <c r="C625" s="42" t="s">
        <v>317</v>
      </c>
      <c r="D625" s="42" t="s">
        <v>529</v>
      </c>
      <c r="E625" s="42" t="s">
        <v>328</v>
      </c>
      <c r="F625" s="7">
        <f>'Прил.№4 ведомств.'!G740</f>
        <v>1303.8000000000002</v>
      </c>
      <c r="G625" s="7">
        <f>'Прил.№4 ведомств.'!I740</f>
        <v>1303.8000000000002</v>
      </c>
      <c r="H625" s="7">
        <f>'Прил.№4 ведомств.'!J740</f>
        <v>1303.8000000000002</v>
      </c>
      <c r="I625" s="7">
        <f>'Прил.№4 ведомств.'!K740</f>
        <v>1303.8000000000002</v>
      </c>
      <c r="J625" s="7">
        <f>'Прил.№4 ведомств.'!L740</f>
        <v>1303.8000000000002</v>
      </c>
      <c r="K625" s="7">
        <f>'Прил.№4 ведомств.'!M740</f>
        <v>1303.8</v>
      </c>
      <c r="L625" s="7">
        <f>'Прил.№4 ведомств.'!N740</f>
        <v>0</v>
      </c>
      <c r="M625" s="7">
        <f t="shared" si="344"/>
        <v>0</v>
      </c>
    </row>
    <row r="626" spans="1:13" ht="15.75">
      <c r="A626" s="43" t="s">
        <v>348</v>
      </c>
      <c r="B626" s="8" t="s">
        <v>317</v>
      </c>
      <c r="C626" s="8" t="s">
        <v>272</v>
      </c>
      <c r="D626" s="8"/>
      <c r="E626" s="8"/>
      <c r="F626" s="4">
        <f>F636+F627</f>
        <v>18322.300000000003</v>
      </c>
      <c r="G626" s="4">
        <f t="shared" ref="G626:K626" si="362">G636+G627</f>
        <v>18662.7</v>
      </c>
      <c r="H626" s="4">
        <f t="shared" si="362"/>
        <v>19851.600000000002</v>
      </c>
      <c r="I626" s="4">
        <f t="shared" si="362"/>
        <v>19974.900000000001</v>
      </c>
      <c r="J626" s="4">
        <f t="shared" si="362"/>
        <v>20099.5</v>
      </c>
      <c r="K626" s="4">
        <f t="shared" si="362"/>
        <v>18425.5</v>
      </c>
      <c r="L626" s="4">
        <f t="shared" ref="L626" si="363">L636+L627</f>
        <v>3976.9</v>
      </c>
      <c r="M626" s="4">
        <f t="shared" si="344"/>
        <v>21.583674798512931</v>
      </c>
    </row>
    <row r="627" spans="1:13" ht="47.25" hidden="1">
      <c r="A627" s="26" t="s">
        <v>387</v>
      </c>
      <c r="B627" s="42" t="s">
        <v>317</v>
      </c>
      <c r="C627" s="42" t="s">
        <v>272</v>
      </c>
      <c r="D627" s="21" t="s">
        <v>388</v>
      </c>
      <c r="E627" s="8"/>
      <c r="F627" s="7">
        <f>F628+F631</f>
        <v>20</v>
      </c>
      <c r="G627" s="7">
        <f t="shared" ref="G627:K627" si="364">G628+G631</f>
        <v>20</v>
      </c>
      <c r="H627" s="7">
        <f t="shared" si="364"/>
        <v>0</v>
      </c>
      <c r="I627" s="7">
        <f t="shared" si="364"/>
        <v>0</v>
      </c>
      <c r="J627" s="7">
        <f t="shared" si="364"/>
        <v>0</v>
      </c>
      <c r="K627" s="7">
        <f t="shared" si="364"/>
        <v>0</v>
      </c>
      <c r="L627" s="7">
        <f t="shared" ref="L627" si="365">L628+L631</f>
        <v>0</v>
      </c>
      <c r="M627" s="4" t="e">
        <f t="shared" si="344"/>
        <v>#DIV/0!</v>
      </c>
    </row>
    <row r="628" spans="1:13" ht="31.5" hidden="1">
      <c r="A628" s="26" t="s">
        <v>389</v>
      </c>
      <c r="B628" s="42" t="s">
        <v>317</v>
      </c>
      <c r="C628" s="42" t="s">
        <v>272</v>
      </c>
      <c r="D628" s="21" t="s">
        <v>390</v>
      </c>
      <c r="E628" s="8"/>
      <c r="F628" s="7">
        <f>F629</f>
        <v>0</v>
      </c>
      <c r="G628" s="7">
        <f t="shared" ref="G628:L629" si="366">G629</f>
        <v>0</v>
      </c>
      <c r="H628" s="7">
        <f t="shared" si="366"/>
        <v>0</v>
      </c>
      <c r="I628" s="7">
        <f t="shared" si="366"/>
        <v>0</v>
      </c>
      <c r="J628" s="7">
        <f t="shared" si="366"/>
        <v>0</v>
      </c>
      <c r="K628" s="7">
        <f t="shared" si="366"/>
        <v>0</v>
      </c>
      <c r="L628" s="7">
        <f t="shared" si="366"/>
        <v>0</v>
      </c>
      <c r="M628" s="4" t="e">
        <f t="shared" si="344"/>
        <v>#DIV/0!</v>
      </c>
    </row>
    <row r="629" spans="1:13" ht="31.5" hidden="1">
      <c r="A629" s="26" t="s">
        <v>184</v>
      </c>
      <c r="B629" s="42" t="s">
        <v>317</v>
      </c>
      <c r="C629" s="42" t="s">
        <v>272</v>
      </c>
      <c r="D629" s="21" t="s">
        <v>390</v>
      </c>
      <c r="E629" s="42" t="s">
        <v>185</v>
      </c>
      <c r="F629" s="7">
        <f>F630</f>
        <v>0</v>
      </c>
      <c r="G629" s="7">
        <f t="shared" si="366"/>
        <v>0</v>
      </c>
      <c r="H629" s="7">
        <f t="shared" si="366"/>
        <v>0</v>
      </c>
      <c r="I629" s="7">
        <f t="shared" si="366"/>
        <v>0</v>
      </c>
      <c r="J629" s="7">
        <f t="shared" si="366"/>
        <v>0</v>
      </c>
      <c r="K629" s="7">
        <f t="shared" si="366"/>
        <v>0</v>
      </c>
      <c r="L629" s="7">
        <f t="shared" si="366"/>
        <v>0</v>
      </c>
      <c r="M629" s="4" t="e">
        <f t="shared" si="344"/>
        <v>#DIV/0!</v>
      </c>
    </row>
    <row r="630" spans="1:13" ht="47.25" hidden="1">
      <c r="A630" s="26" t="s">
        <v>186</v>
      </c>
      <c r="B630" s="42" t="s">
        <v>317</v>
      </c>
      <c r="C630" s="42" t="s">
        <v>272</v>
      </c>
      <c r="D630" s="21" t="s">
        <v>390</v>
      </c>
      <c r="E630" s="42" t="s">
        <v>187</v>
      </c>
      <c r="F630" s="7">
        <f>'Прил.№4 ведомств.'!G745</f>
        <v>0</v>
      </c>
      <c r="G630" s="7">
        <f>'Прил.№4 ведомств.'!I745</f>
        <v>0</v>
      </c>
      <c r="H630" s="7">
        <f>'Прил.№4 ведомств.'!J745</f>
        <v>0</v>
      </c>
      <c r="I630" s="7">
        <f>'Прил.№4 ведомств.'!K745</f>
        <v>0</v>
      </c>
      <c r="J630" s="7">
        <f>'Прил.№4 ведомств.'!L745</f>
        <v>0</v>
      </c>
      <c r="K630" s="7">
        <f>'Прил.№4 ведомств.'!M745</f>
        <v>0</v>
      </c>
      <c r="L630" s="7">
        <f>'Прил.№4 ведомств.'!N745</f>
        <v>0</v>
      </c>
      <c r="M630" s="4" t="e">
        <f t="shared" si="344"/>
        <v>#DIV/0!</v>
      </c>
    </row>
    <row r="631" spans="1:13" ht="47.25" hidden="1">
      <c r="A631" s="26" t="s">
        <v>677</v>
      </c>
      <c r="B631" s="42" t="s">
        <v>317</v>
      </c>
      <c r="C631" s="42" t="s">
        <v>272</v>
      </c>
      <c r="D631" s="21" t="s">
        <v>531</v>
      </c>
      <c r="E631" s="42"/>
      <c r="F631" s="7">
        <f>F632+F634</f>
        <v>20</v>
      </c>
      <c r="G631" s="7">
        <f t="shared" ref="G631:K631" si="367">G632+G634</f>
        <v>20</v>
      </c>
      <c r="H631" s="7">
        <f t="shared" si="367"/>
        <v>0</v>
      </c>
      <c r="I631" s="7">
        <f t="shared" si="367"/>
        <v>0</v>
      </c>
      <c r="J631" s="7">
        <f t="shared" si="367"/>
        <v>0</v>
      </c>
      <c r="K631" s="7">
        <f t="shared" si="367"/>
        <v>0</v>
      </c>
      <c r="L631" s="7">
        <f t="shared" ref="L631" si="368">L632+L634</f>
        <v>0</v>
      </c>
      <c r="M631" s="4" t="e">
        <f t="shared" si="344"/>
        <v>#DIV/0!</v>
      </c>
    </row>
    <row r="632" spans="1:13" ht="78.75" hidden="1">
      <c r="A632" s="26" t="s">
        <v>180</v>
      </c>
      <c r="B632" s="42" t="s">
        <v>317</v>
      </c>
      <c r="C632" s="42" t="s">
        <v>272</v>
      </c>
      <c r="D632" s="21" t="s">
        <v>531</v>
      </c>
      <c r="E632" s="42" t="s">
        <v>181</v>
      </c>
      <c r="F632" s="7">
        <f>F633</f>
        <v>5</v>
      </c>
      <c r="G632" s="7">
        <f t="shared" ref="G632:L632" si="369">G633</f>
        <v>5</v>
      </c>
      <c r="H632" s="7">
        <f t="shared" si="369"/>
        <v>0</v>
      </c>
      <c r="I632" s="7">
        <f t="shared" si="369"/>
        <v>0</v>
      </c>
      <c r="J632" s="7">
        <f t="shared" si="369"/>
        <v>0</v>
      </c>
      <c r="K632" s="7">
        <f t="shared" si="369"/>
        <v>0</v>
      </c>
      <c r="L632" s="7">
        <f t="shared" si="369"/>
        <v>0</v>
      </c>
      <c r="M632" s="4" t="e">
        <f t="shared" si="344"/>
        <v>#DIV/0!</v>
      </c>
    </row>
    <row r="633" spans="1:13" ht="31.5" hidden="1">
      <c r="A633" s="26" t="s">
        <v>395</v>
      </c>
      <c r="B633" s="42" t="s">
        <v>317</v>
      </c>
      <c r="C633" s="42" t="s">
        <v>272</v>
      </c>
      <c r="D633" s="21" t="s">
        <v>531</v>
      </c>
      <c r="E633" s="42" t="s">
        <v>262</v>
      </c>
      <c r="F633" s="7">
        <f>'Прил.№4 ведомств.'!G748</f>
        <v>5</v>
      </c>
      <c r="G633" s="7">
        <f>'Прил.№4 ведомств.'!I748</f>
        <v>5</v>
      </c>
      <c r="H633" s="7">
        <f>'Прил.№4 ведомств.'!J748</f>
        <v>0</v>
      </c>
      <c r="I633" s="7">
        <f>'Прил.№4 ведомств.'!K748</f>
        <v>0</v>
      </c>
      <c r="J633" s="7">
        <f>'Прил.№4 ведомств.'!L748</f>
        <v>0</v>
      </c>
      <c r="K633" s="7">
        <f>'Прил.№4 ведомств.'!M748</f>
        <v>0</v>
      </c>
      <c r="L633" s="7">
        <f>'Прил.№4 ведомств.'!N748</f>
        <v>0</v>
      </c>
      <c r="M633" s="4" t="e">
        <f t="shared" si="344"/>
        <v>#DIV/0!</v>
      </c>
    </row>
    <row r="634" spans="1:13" ht="31.5" hidden="1">
      <c r="A634" s="26" t="s">
        <v>184</v>
      </c>
      <c r="B634" s="42" t="s">
        <v>317</v>
      </c>
      <c r="C634" s="42" t="s">
        <v>272</v>
      </c>
      <c r="D634" s="21" t="s">
        <v>531</v>
      </c>
      <c r="E634" s="42" t="s">
        <v>185</v>
      </c>
      <c r="F634" s="7">
        <f>F635</f>
        <v>15</v>
      </c>
      <c r="G634" s="7">
        <f t="shared" ref="G634:L634" si="370">G635</f>
        <v>15</v>
      </c>
      <c r="H634" s="7">
        <f t="shared" si="370"/>
        <v>0</v>
      </c>
      <c r="I634" s="7">
        <f t="shared" si="370"/>
        <v>0</v>
      </c>
      <c r="J634" s="7">
        <f t="shared" si="370"/>
        <v>0</v>
      </c>
      <c r="K634" s="7">
        <f t="shared" si="370"/>
        <v>0</v>
      </c>
      <c r="L634" s="7">
        <f t="shared" si="370"/>
        <v>0</v>
      </c>
      <c r="M634" s="4" t="e">
        <f t="shared" si="344"/>
        <v>#DIV/0!</v>
      </c>
    </row>
    <row r="635" spans="1:13" ht="47.25" hidden="1">
      <c r="A635" s="26" t="s">
        <v>186</v>
      </c>
      <c r="B635" s="42" t="s">
        <v>317</v>
      </c>
      <c r="C635" s="42" t="s">
        <v>272</v>
      </c>
      <c r="D635" s="21" t="s">
        <v>531</v>
      </c>
      <c r="E635" s="42" t="s">
        <v>187</v>
      </c>
      <c r="F635" s="7">
        <f>'Прил.№4 ведомств.'!G750</f>
        <v>15</v>
      </c>
      <c r="G635" s="7">
        <f>'Прил.№4 ведомств.'!I750</f>
        <v>15</v>
      </c>
      <c r="H635" s="7">
        <f>'Прил.№4 ведомств.'!J750</f>
        <v>0</v>
      </c>
      <c r="I635" s="7">
        <f>'Прил.№4 ведомств.'!K750</f>
        <v>0</v>
      </c>
      <c r="J635" s="7">
        <f>'Прил.№4 ведомств.'!L750</f>
        <v>0</v>
      </c>
      <c r="K635" s="7">
        <f>'Прил.№4 ведомств.'!M750</f>
        <v>0</v>
      </c>
      <c r="L635" s="7">
        <f>'Прил.№4 ведомств.'!N750</f>
        <v>0</v>
      </c>
      <c r="M635" s="4" t="e">
        <f t="shared" si="344"/>
        <v>#DIV/0!</v>
      </c>
    </row>
    <row r="636" spans="1:13" ht="15.75">
      <c r="A636" s="31" t="s">
        <v>174</v>
      </c>
      <c r="B636" s="42" t="s">
        <v>317</v>
      </c>
      <c r="C636" s="42" t="s">
        <v>272</v>
      </c>
      <c r="D636" s="42" t="s">
        <v>175</v>
      </c>
      <c r="E636" s="42"/>
      <c r="F636" s="7">
        <f>F637+F647+F643</f>
        <v>18302.300000000003</v>
      </c>
      <c r="G636" s="7">
        <f t="shared" ref="G636:K636" si="371">G637+G647+G643</f>
        <v>18642.7</v>
      </c>
      <c r="H636" s="7">
        <f t="shared" si="371"/>
        <v>19851.600000000002</v>
      </c>
      <c r="I636" s="7">
        <f t="shared" si="371"/>
        <v>19974.900000000001</v>
      </c>
      <c r="J636" s="7">
        <f t="shared" si="371"/>
        <v>20099.5</v>
      </c>
      <c r="K636" s="7">
        <f t="shared" si="371"/>
        <v>18425.5</v>
      </c>
      <c r="L636" s="7">
        <f t="shared" ref="L636" si="372">L637+L647+L643</f>
        <v>3976.9</v>
      </c>
      <c r="M636" s="7">
        <f t="shared" si="344"/>
        <v>21.583674798512931</v>
      </c>
    </row>
    <row r="637" spans="1:13" ht="31.5">
      <c r="A637" s="31" t="s">
        <v>176</v>
      </c>
      <c r="B637" s="42" t="s">
        <v>317</v>
      </c>
      <c r="C637" s="42" t="s">
        <v>272</v>
      </c>
      <c r="D637" s="42" t="s">
        <v>177</v>
      </c>
      <c r="E637" s="42"/>
      <c r="F637" s="7">
        <f>F638</f>
        <v>5138.7</v>
      </c>
      <c r="G637" s="7">
        <f t="shared" ref="G637:L637" si="373">G638</f>
        <v>5221.4000000000005</v>
      </c>
      <c r="H637" s="7">
        <f t="shared" si="373"/>
        <v>5488.3</v>
      </c>
      <c r="I637" s="7">
        <f t="shared" si="373"/>
        <v>5488.3</v>
      </c>
      <c r="J637" s="7">
        <f t="shared" si="373"/>
        <v>5488.3</v>
      </c>
      <c r="K637" s="7">
        <f t="shared" si="373"/>
        <v>5276.7</v>
      </c>
      <c r="L637" s="7">
        <f t="shared" si="373"/>
        <v>1163.0999999999999</v>
      </c>
      <c r="M637" s="7">
        <f t="shared" si="344"/>
        <v>22.042185456819603</v>
      </c>
    </row>
    <row r="638" spans="1:13" ht="36.75" customHeight="1">
      <c r="A638" s="31" t="s">
        <v>178</v>
      </c>
      <c r="B638" s="42" t="s">
        <v>317</v>
      </c>
      <c r="C638" s="42" t="s">
        <v>272</v>
      </c>
      <c r="D638" s="42" t="s">
        <v>179</v>
      </c>
      <c r="E638" s="42"/>
      <c r="F638" s="7">
        <f>F639+F641</f>
        <v>5138.7</v>
      </c>
      <c r="G638" s="7">
        <f t="shared" ref="G638:K638" si="374">G639+G641</f>
        <v>5221.4000000000005</v>
      </c>
      <c r="H638" s="7">
        <f t="shared" si="374"/>
        <v>5488.3</v>
      </c>
      <c r="I638" s="7">
        <f t="shared" si="374"/>
        <v>5488.3</v>
      </c>
      <c r="J638" s="7">
        <f t="shared" si="374"/>
        <v>5488.3</v>
      </c>
      <c r="K638" s="7">
        <f t="shared" si="374"/>
        <v>5276.7</v>
      </c>
      <c r="L638" s="7">
        <f t="shared" ref="L638" si="375">L639+L641</f>
        <v>1163.0999999999999</v>
      </c>
      <c r="M638" s="7">
        <f t="shared" si="344"/>
        <v>22.042185456819603</v>
      </c>
    </row>
    <row r="639" spans="1:13" ht="78.75">
      <c r="A639" s="31" t="s">
        <v>180</v>
      </c>
      <c r="B639" s="42" t="s">
        <v>317</v>
      </c>
      <c r="C639" s="42" t="s">
        <v>272</v>
      </c>
      <c r="D639" s="42" t="s">
        <v>179</v>
      </c>
      <c r="E639" s="42" t="s">
        <v>181</v>
      </c>
      <c r="F639" s="63">
        <f>F640</f>
        <v>4981.5</v>
      </c>
      <c r="G639" s="63">
        <f t="shared" ref="G639:L639" si="376">G640</f>
        <v>5072.6000000000004</v>
      </c>
      <c r="H639" s="63">
        <f t="shared" si="376"/>
        <v>4925.5</v>
      </c>
      <c r="I639" s="63">
        <f t="shared" si="376"/>
        <v>4925.5</v>
      </c>
      <c r="J639" s="63">
        <f t="shared" si="376"/>
        <v>4925.5</v>
      </c>
      <c r="K639" s="63">
        <f t="shared" si="376"/>
        <v>5119.5</v>
      </c>
      <c r="L639" s="63">
        <f t="shared" si="376"/>
        <v>1133.5</v>
      </c>
      <c r="M639" s="7">
        <f t="shared" si="344"/>
        <v>22.140834065826741</v>
      </c>
    </row>
    <row r="640" spans="1:13" ht="31.5">
      <c r="A640" s="31" t="s">
        <v>182</v>
      </c>
      <c r="B640" s="42" t="s">
        <v>317</v>
      </c>
      <c r="C640" s="42" t="s">
        <v>272</v>
      </c>
      <c r="D640" s="42" t="s">
        <v>179</v>
      </c>
      <c r="E640" s="42" t="s">
        <v>183</v>
      </c>
      <c r="F640" s="63">
        <f>'Прил.№4 ведомств.'!G755</f>
        <v>4981.5</v>
      </c>
      <c r="G640" s="63">
        <f>'Прил.№4 ведомств.'!I755</f>
        <v>5072.6000000000004</v>
      </c>
      <c r="H640" s="63">
        <f>'Прил.№4 ведомств.'!J755</f>
        <v>4925.5</v>
      </c>
      <c r="I640" s="63">
        <f>'Прил.№4 ведомств.'!K755</f>
        <v>4925.5</v>
      </c>
      <c r="J640" s="63">
        <f>'Прил.№4 ведомств.'!L755</f>
        <v>4925.5</v>
      </c>
      <c r="K640" s="63">
        <f>'Прил.№4 ведомств.'!M755</f>
        <v>5119.5</v>
      </c>
      <c r="L640" s="63">
        <f>'Прил.№4 ведомств.'!N755</f>
        <v>1133.5</v>
      </c>
      <c r="M640" s="7">
        <f t="shared" si="344"/>
        <v>22.140834065826741</v>
      </c>
    </row>
    <row r="641" spans="1:13" ht="31.5">
      <c r="A641" s="31" t="s">
        <v>184</v>
      </c>
      <c r="B641" s="42" t="s">
        <v>317</v>
      </c>
      <c r="C641" s="42" t="s">
        <v>272</v>
      </c>
      <c r="D641" s="42" t="s">
        <v>179</v>
      </c>
      <c r="E641" s="42" t="s">
        <v>185</v>
      </c>
      <c r="F641" s="7">
        <f>F642</f>
        <v>157.19999999999999</v>
      </c>
      <c r="G641" s="7">
        <f t="shared" ref="G641:L641" si="377">G642</f>
        <v>148.80000000000001</v>
      </c>
      <c r="H641" s="7">
        <f t="shared" si="377"/>
        <v>562.79999999999995</v>
      </c>
      <c r="I641" s="7">
        <f t="shared" si="377"/>
        <v>562.79999999999995</v>
      </c>
      <c r="J641" s="7">
        <f t="shared" si="377"/>
        <v>562.79999999999995</v>
      </c>
      <c r="K641" s="7">
        <f t="shared" si="377"/>
        <v>157.19999999999999</v>
      </c>
      <c r="L641" s="7">
        <f t="shared" si="377"/>
        <v>29.6</v>
      </c>
      <c r="M641" s="7">
        <f t="shared" si="344"/>
        <v>18.829516539440206</v>
      </c>
    </row>
    <row r="642" spans="1:13" ht="47.25">
      <c r="A642" s="31" t="s">
        <v>186</v>
      </c>
      <c r="B642" s="42" t="s">
        <v>317</v>
      </c>
      <c r="C642" s="42" t="s">
        <v>272</v>
      </c>
      <c r="D642" s="42" t="s">
        <v>179</v>
      </c>
      <c r="E642" s="42" t="s">
        <v>187</v>
      </c>
      <c r="F642" s="7">
        <f>'Прил.№4 ведомств.'!G757</f>
        <v>157.19999999999999</v>
      </c>
      <c r="G642" s="7">
        <f>'Прил.№4 ведомств.'!I757</f>
        <v>148.80000000000001</v>
      </c>
      <c r="H642" s="7">
        <f>'Прил.№4 ведомств.'!J757</f>
        <v>562.79999999999995</v>
      </c>
      <c r="I642" s="7">
        <f>'Прил.№4 ведомств.'!K757</f>
        <v>562.79999999999995</v>
      </c>
      <c r="J642" s="7">
        <f>'Прил.№4 ведомств.'!L757</f>
        <v>562.79999999999995</v>
      </c>
      <c r="K642" s="7">
        <f>'Прил.№4 ведомств.'!M757</f>
        <v>157.19999999999999</v>
      </c>
      <c r="L642" s="7">
        <f>'Прил.№4 ведомств.'!N757</f>
        <v>29.6</v>
      </c>
      <c r="M642" s="7">
        <f t="shared" si="344"/>
        <v>18.829516539440206</v>
      </c>
    </row>
    <row r="643" spans="1:13" ht="31.5" hidden="1" customHeight="1">
      <c r="A643" s="31" t="s">
        <v>238</v>
      </c>
      <c r="B643" s="42" t="s">
        <v>317</v>
      </c>
      <c r="C643" s="42" t="s">
        <v>272</v>
      </c>
      <c r="D643" s="42" t="s">
        <v>239</v>
      </c>
      <c r="E643" s="42"/>
      <c r="F643" s="7">
        <f>F644</f>
        <v>0</v>
      </c>
      <c r="G643" s="7">
        <f t="shared" ref="G643:L645" si="378">G644</f>
        <v>0</v>
      </c>
      <c r="H643" s="7">
        <f t="shared" si="378"/>
        <v>0</v>
      </c>
      <c r="I643" s="7">
        <f t="shared" si="378"/>
        <v>0</v>
      </c>
      <c r="J643" s="7">
        <f t="shared" si="378"/>
        <v>0</v>
      </c>
      <c r="K643" s="7">
        <f t="shared" si="378"/>
        <v>0</v>
      </c>
      <c r="L643" s="7">
        <f t="shared" si="378"/>
        <v>0</v>
      </c>
      <c r="M643" s="7" t="e">
        <f t="shared" si="344"/>
        <v>#DIV/0!</v>
      </c>
    </row>
    <row r="644" spans="1:13" ht="31.5" hidden="1" customHeight="1">
      <c r="A644" s="69" t="s">
        <v>349</v>
      </c>
      <c r="B644" s="42" t="s">
        <v>317</v>
      </c>
      <c r="C644" s="42" t="s">
        <v>272</v>
      </c>
      <c r="D644" s="21" t="s">
        <v>350</v>
      </c>
      <c r="E644" s="42"/>
      <c r="F644" s="7">
        <f>F645</f>
        <v>0</v>
      </c>
      <c r="G644" s="7">
        <f t="shared" si="378"/>
        <v>0</v>
      </c>
      <c r="H644" s="7">
        <f t="shared" si="378"/>
        <v>0</v>
      </c>
      <c r="I644" s="7">
        <f t="shared" si="378"/>
        <v>0</v>
      </c>
      <c r="J644" s="7">
        <f t="shared" si="378"/>
        <v>0</v>
      </c>
      <c r="K644" s="7">
        <f t="shared" si="378"/>
        <v>0</v>
      </c>
      <c r="L644" s="7">
        <f t="shared" si="378"/>
        <v>0</v>
      </c>
      <c r="M644" s="7" t="e">
        <f t="shared" si="344"/>
        <v>#DIV/0!</v>
      </c>
    </row>
    <row r="645" spans="1:13" ht="15.75" hidden="1" customHeight="1">
      <c r="A645" s="31" t="s">
        <v>188</v>
      </c>
      <c r="B645" s="42" t="s">
        <v>317</v>
      </c>
      <c r="C645" s="42" t="s">
        <v>272</v>
      </c>
      <c r="D645" s="21" t="s">
        <v>350</v>
      </c>
      <c r="E645" s="42" t="s">
        <v>198</v>
      </c>
      <c r="F645" s="7">
        <f>F646</f>
        <v>0</v>
      </c>
      <c r="G645" s="7">
        <f t="shared" si="378"/>
        <v>0</v>
      </c>
      <c r="H645" s="7">
        <f t="shared" si="378"/>
        <v>0</v>
      </c>
      <c r="I645" s="7">
        <f t="shared" si="378"/>
        <v>0</v>
      </c>
      <c r="J645" s="7">
        <f t="shared" si="378"/>
        <v>0</v>
      </c>
      <c r="K645" s="7">
        <f t="shared" si="378"/>
        <v>0</v>
      </c>
      <c r="L645" s="7">
        <f t="shared" si="378"/>
        <v>0</v>
      </c>
      <c r="M645" s="7" t="e">
        <f t="shared" si="344"/>
        <v>#DIV/0!</v>
      </c>
    </row>
    <row r="646" spans="1:13" ht="47.25" hidden="1" customHeight="1">
      <c r="A646" s="31" t="s">
        <v>237</v>
      </c>
      <c r="B646" s="42" t="s">
        <v>317</v>
      </c>
      <c r="C646" s="42" t="s">
        <v>272</v>
      </c>
      <c r="D646" s="21" t="s">
        <v>350</v>
      </c>
      <c r="E646" s="42" t="s">
        <v>213</v>
      </c>
      <c r="F646" s="7">
        <f>90-90</f>
        <v>0</v>
      </c>
      <c r="G646" s="7">
        <f t="shared" ref="G646:L646" si="379">90-90</f>
        <v>0</v>
      </c>
      <c r="H646" s="7">
        <f t="shared" si="379"/>
        <v>0</v>
      </c>
      <c r="I646" s="7">
        <f t="shared" si="379"/>
        <v>0</v>
      </c>
      <c r="J646" s="7">
        <f t="shared" si="379"/>
        <v>0</v>
      </c>
      <c r="K646" s="7">
        <f t="shared" si="379"/>
        <v>0</v>
      </c>
      <c r="L646" s="7">
        <f t="shared" si="379"/>
        <v>0</v>
      </c>
      <c r="M646" s="7" t="e">
        <f t="shared" si="344"/>
        <v>#DIV/0!</v>
      </c>
    </row>
    <row r="647" spans="1:13" ht="15.75">
      <c r="A647" s="31" t="s">
        <v>194</v>
      </c>
      <c r="B647" s="42" t="s">
        <v>317</v>
      </c>
      <c r="C647" s="42" t="s">
        <v>272</v>
      </c>
      <c r="D647" s="42" t="s">
        <v>195</v>
      </c>
      <c r="E647" s="42"/>
      <c r="F647" s="7">
        <f>F648+F651</f>
        <v>13163.600000000002</v>
      </c>
      <c r="G647" s="7">
        <f t="shared" ref="G647:K647" si="380">G648+G651</f>
        <v>13421.300000000001</v>
      </c>
      <c r="H647" s="7">
        <f t="shared" si="380"/>
        <v>14363.300000000001</v>
      </c>
      <c r="I647" s="7">
        <f t="shared" si="380"/>
        <v>14486.6</v>
      </c>
      <c r="J647" s="7">
        <f t="shared" si="380"/>
        <v>14611.2</v>
      </c>
      <c r="K647" s="7">
        <f t="shared" si="380"/>
        <v>13148.800000000001</v>
      </c>
      <c r="L647" s="7">
        <f t="shared" ref="L647" si="381">L648+L651</f>
        <v>2813.8</v>
      </c>
      <c r="M647" s="7">
        <f t="shared" si="344"/>
        <v>21.399671452908251</v>
      </c>
    </row>
    <row r="648" spans="1:13" ht="15.75">
      <c r="A648" s="31" t="s">
        <v>532</v>
      </c>
      <c r="B648" s="42" t="s">
        <v>317</v>
      </c>
      <c r="C648" s="42" t="s">
        <v>272</v>
      </c>
      <c r="D648" s="42" t="s">
        <v>533</v>
      </c>
      <c r="E648" s="42"/>
      <c r="F648" s="7">
        <f>F649</f>
        <v>375</v>
      </c>
      <c r="G648" s="7">
        <f t="shared" ref="G648:L649" si="382">G649</f>
        <v>375</v>
      </c>
      <c r="H648" s="7">
        <f t="shared" si="382"/>
        <v>0</v>
      </c>
      <c r="I648" s="7">
        <f t="shared" si="382"/>
        <v>0</v>
      </c>
      <c r="J648" s="7">
        <f t="shared" si="382"/>
        <v>0</v>
      </c>
      <c r="K648" s="7">
        <f t="shared" si="382"/>
        <v>350</v>
      </c>
      <c r="L648" s="7">
        <f t="shared" si="382"/>
        <v>63.4</v>
      </c>
      <c r="M648" s="7">
        <f t="shared" si="344"/>
        <v>18.114285714285714</v>
      </c>
    </row>
    <row r="649" spans="1:13" ht="31.5">
      <c r="A649" s="31" t="s">
        <v>184</v>
      </c>
      <c r="B649" s="42" t="s">
        <v>317</v>
      </c>
      <c r="C649" s="42" t="s">
        <v>272</v>
      </c>
      <c r="D649" s="42" t="s">
        <v>533</v>
      </c>
      <c r="E649" s="42" t="s">
        <v>185</v>
      </c>
      <c r="F649" s="7">
        <f>F650</f>
        <v>375</v>
      </c>
      <c r="G649" s="7">
        <f t="shared" si="382"/>
        <v>375</v>
      </c>
      <c r="H649" s="7">
        <f t="shared" si="382"/>
        <v>0</v>
      </c>
      <c r="I649" s="7">
        <f t="shared" si="382"/>
        <v>0</v>
      </c>
      <c r="J649" s="7">
        <f t="shared" si="382"/>
        <v>0</v>
      </c>
      <c r="K649" s="7">
        <f t="shared" si="382"/>
        <v>350</v>
      </c>
      <c r="L649" s="7">
        <f t="shared" si="382"/>
        <v>63.4</v>
      </c>
      <c r="M649" s="7">
        <f t="shared" si="344"/>
        <v>18.114285714285714</v>
      </c>
    </row>
    <row r="650" spans="1:13" ht="47.25">
      <c r="A650" s="31" t="s">
        <v>186</v>
      </c>
      <c r="B650" s="42" t="s">
        <v>317</v>
      </c>
      <c r="C650" s="42" t="s">
        <v>272</v>
      </c>
      <c r="D650" s="42" t="s">
        <v>533</v>
      </c>
      <c r="E650" s="42" t="s">
        <v>187</v>
      </c>
      <c r="F650" s="7">
        <f>'Прил.№4 ведомств.'!G761</f>
        <v>375</v>
      </c>
      <c r="G650" s="7">
        <f>'Прил.№4 ведомств.'!I761</f>
        <v>375</v>
      </c>
      <c r="H650" s="7">
        <f>'Прил.№4 ведомств.'!J761</f>
        <v>0</v>
      </c>
      <c r="I650" s="7">
        <f>'Прил.№4 ведомств.'!K761</f>
        <v>0</v>
      </c>
      <c r="J650" s="7">
        <f>'Прил.№4 ведомств.'!L761</f>
        <v>0</v>
      </c>
      <c r="K650" s="7">
        <f>'Прил.№4 ведомств.'!M761</f>
        <v>350</v>
      </c>
      <c r="L650" s="7">
        <f>'Прил.№4 ведомств.'!N761</f>
        <v>63.4</v>
      </c>
      <c r="M650" s="7">
        <f t="shared" si="344"/>
        <v>18.114285714285714</v>
      </c>
    </row>
    <row r="651" spans="1:13" ht="31.5">
      <c r="A651" s="26" t="s">
        <v>393</v>
      </c>
      <c r="B651" s="42" t="s">
        <v>317</v>
      </c>
      <c r="C651" s="42" t="s">
        <v>272</v>
      </c>
      <c r="D651" s="42" t="s">
        <v>394</v>
      </c>
      <c r="E651" s="42"/>
      <c r="F651" s="7">
        <f>F652+F654+F656</f>
        <v>12788.600000000002</v>
      </c>
      <c r="G651" s="7">
        <f t="shared" ref="G651:K651" si="383">G652+G654+G656</f>
        <v>13046.300000000001</v>
      </c>
      <c r="H651" s="7">
        <f t="shared" si="383"/>
        <v>14363.300000000001</v>
      </c>
      <c r="I651" s="7">
        <f t="shared" si="383"/>
        <v>14486.6</v>
      </c>
      <c r="J651" s="7">
        <f t="shared" si="383"/>
        <v>14611.2</v>
      </c>
      <c r="K651" s="7">
        <f t="shared" si="383"/>
        <v>12798.800000000001</v>
      </c>
      <c r="L651" s="7">
        <f t="shared" ref="L651" si="384">L652+L654+L656</f>
        <v>2750.4</v>
      </c>
      <c r="M651" s="7">
        <f t="shared" si="344"/>
        <v>21.489514641997687</v>
      </c>
    </row>
    <row r="652" spans="1:13" ht="78.75">
      <c r="A652" s="31" t="s">
        <v>180</v>
      </c>
      <c r="B652" s="42" t="s">
        <v>317</v>
      </c>
      <c r="C652" s="42" t="s">
        <v>272</v>
      </c>
      <c r="D652" s="42" t="s">
        <v>394</v>
      </c>
      <c r="E652" s="42" t="s">
        <v>181</v>
      </c>
      <c r="F652" s="7">
        <f>F653</f>
        <v>11519.300000000001</v>
      </c>
      <c r="G652" s="7">
        <f t="shared" ref="G652:L652" si="385">G653</f>
        <v>11777</v>
      </c>
      <c r="H652" s="7">
        <f t="shared" si="385"/>
        <v>12334.2</v>
      </c>
      <c r="I652" s="7">
        <f t="shared" si="385"/>
        <v>12457.5</v>
      </c>
      <c r="J652" s="7">
        <f t="shared" si="385"/>
        <v>12582.1</v>
      </c>
      <c r="K652" s="7">
        <f t="shared" si="385"/>
        <v>11519.300000000001</v>
      </c>
      <c r="L652" s="7">
        <f t="shared" si="385"/>
        <v>2433.6999999999998</v>
      </c>
      <c r="M652" s="7">
        <f t="shared" si="344"/>
        <v>21.127151823461489</v>
      </c>
    </row>
    <row r="653" spans="1:13" ht="31.5">
      <c r="A653" s="48" t="s">
        <v>395</v>
      </c>
      <c r="B653" s="42" t="s">
        <v>317</v>
      </c>
      <c r="C653" s="42" t="s">
        <v>272</v>
      </c>
      <c r="D653" s="42" t="s">
        <v>394</v>
      </c>
      <c r="E653" s="42" t="s">
        <v>262</v>
      </c>
      <c r="F653" s="63">
        <f>'Прил.№4 ведомств.'!G764</f>
        <v>11519.300000000001</v>
      </c>
      <c r="G653" s="63">
        <f>'Прил.№4 ведомств.'!I764</f>
        <v>11777</v>
      </c>
      <c r="H653" s="63">
        <f>'Прил.№4 ведомств.'!J764</f>
        <v>12334.2</v>
      </c>
      <c r="I653" s="63">
        <f>'Прил.№4 ведомств.'!K764</f>
        <v>12457.5</v>
      </c>
      <c r="J653" s="63">
        <f>'Прил.№4 ведомств.'!L764</f>
        <v>12582.1</v>
      </c>
      <c r="K653" s="63">
        <f>'Прил.№4 ведомств.'!M764</f>
        <v>11519.300000000001</v>
      </c>
      <c r="L653" s="63">
        <f>'Прил.№4 ведомств.'!N764</f>
        <v>2433.6999999999998</v>
      </c>
      <c r="M653" s="7">
        <f t="shared" ref="M653:M716" si="386">L653/K653*100</f>
        <v>21.127151823461489</v>
      </c>
    </row>
    <row r="654" spans="1:13" ht="31.5">
      <c r="A654" s="31" t="s">
        <v>184</v>
      </c>
      <c r="B654" s="42" t="s">
        <v>317</v>
      </c>
      <c r="C654" s="42" t="s">
        <v>272</v>
      </c>
      <c r="D654" s="42" t="s">
        <v>394</v>
      </c>
      <c r="E654" s="42" t="s">
        <v>185</v>
      </c>
      <c r="F654" s="7">
        <f>F655</f>
        <v>1264.0999999999999</v>
      </c>
      <c r="G654" s="7">
        <f t="shared" ref="G654:L654" si="387">G655</f>
        <v>1264.0999999999999</v>
      </c>
      <c r="H654" s="7">
        <f t="shared" si="387"/>
        <v>2023.8999999999999</v>
      </c>
      <c r="I654" s="7">
        <f t="shared" si="387"/>
        <v>2023.8999999999999</v>
      </c>
      <c r="J654" s="7">
        <f t="shared" si="387"/>
        <v>2023.8999999999999</v>
      </c>
      <c r="K654" s="7">
        <f t="shared" si="387"/>
        <v>1264.0999999999999</v>
      </c>
      <c r="L654" s="7">
        <f t="shared" si="387"/>
        <v>315.89999999999998</v>
      </c>
      <c r="M654" s="7">
        <f t="shared" si="386"/>
        <v>24.990111541808403</v>
      </c>
    </row>
    <row r="655" spans="1:13" ht="47.25">
      <c r="A655" s="31" t="s">
        <v>186</v>
      </c>
      <c r="B655" s="42" t="s">
        <v>317</v>
      </c>
      <c r="C655" s="42" t="s">
        <v>272</v>
      </c>
      <c r="D655" s="42" t="s">
        <v>394</v>
      </c>
      <c r="E655" s="42" t="s">
        <v>187</v>
      </c>
      <c r="F655" s="7">
        <f>'Прил.№4 ведомств.'!G766</f>
        <v>1264.0999999999999</v>
      </c>
      <c r="G655" s="7">
        <f>'Прил.№4 ведомств.'!I766</f>
        <v>1264.0999999999999</v>
      </c>
      <c r="H655" s="7">
        <f>'Прил.№4 ведомств.'!J766</f>
        <v>2023.8999999999999</v>
      </c>
      <c r="I655" s="7">
        <f>'Прил.№4 ведомств.'!K766</f>
        <v>2023.8999999999999</v>
      </c>
      <c r="J655" s="7">
        <f>'Прил.№4 ведомств.'!L766</f>
        <v>2023.8999999999999</v>
      </c>
      <c r="K655" s="7">
        <f>'Прил.№4 ведомств.'!M766</f>
        <v>1264.0999999999999</v>
      </c>
      <c r="L655" s="7">
        <f>'Прил.№4 ведомств.'!N766</f>
        <v>315.89999999999998</v>
      </c>
      <c r="M655" s="7">
        <f t="shared" si="386"/>
        <v>24.990111541808403</v>
      </c>
    </row>
    <row r="656" spans="1:13" ht="15.75">
      <c r="A656" s="31" t="s">
        <v>188</v>
      </c>
      <c r="B656" s="42" t="s">
        <v>317</v>
      </c>
      <c r="C656" s="42" t="s">
        <v>272</v>
      </c>
      <c r="D656" s="42" t="s">
        <v>394</v>
      </c>
      <c r="E656" s="42" t="s">
        <v>198</v>
      </c>
      <c r="F656" s="7">
        <f>F657</f>
        <v>5.2</v>
      </c>
      <c r="G656" s="7">
        <f t="shared" ref="G656:L656" si="388">G657</f>
        <v>5.2</v>
      </c>
      <c r="H656" s="7">
        <f t="shared" si="388"/>
        <v>5.2</v>
      </c>
      <c r="I656" s="7">
        <f t="shared" si="388"/>
        <v>5.2</v>
      </c>
      <c r="J656" s="7">
        <f t="shared" si="388"/>
        <v>5.2</v>
      </c>
      <c r="K656" s="7">
        <f t="shared" si="388"/>
        <v>15.399999999999999</v>
      </c>
      <c r="L656" s="7">
        <f t="shared" si="388"/>
        <v>0.8</v>
      </c>
      <c r="M656" s="7">
        <f t="shared" si="386"/>
        <v>5.1948051948051956</v>
      </c>
    </row>
    <row r="657" spans="1:17" ht="15.75">
      <c r="A657" s="31" t="s">
        <v>622</v>
      </c>
      <c r="B657" s="42" t="s">
        <v>317</v>
      </c>
      <c r="C657" s="42" t="s">
        <v>272</v>
      </c>
      <c r="D657" s="42" t="s">
        <v>394</v>
      </c>
      <c r="E657" s="42" t="s">
        <v>191</v>
      </c>
      <c r="F657" s="7">
        <f>'Прил.№4 ведомств.'!G768</f>
        <v>5.2</v>
      </c>
      <c r="G657" s="7">
        <f>'Прил.№4 ведомств.'!I768</f>
        <v>5.2</v>
      </c>
      <c r="H657" s="7">
        <f>'Прил.№4 ведомств.'!J768</f>
        <v>5.2</v>
      </c>
      <c r="I657" s="7">
        <f>'Прил.№4 ведомств.'!K768</f>
        <v>5.2</v>
      </c>
      <c r="J657" s="7">
        <f>'Прил.№4 ведомств.'!L768</f>
        <v>5.2</v>
      </c>
      <c r="K657" s="7">
        <f>'Прил.№4 ведомств.'!M768</f>
        <v>15.399999999999999</v>
      </c>
      <c r="L657" s="7">
        <f>'Прил.№4 ведомств.'!N768</f>
        <v>0.8</v>
      </c>
      <c r="M657" s="7">
        <f t="shared" si="386"/>
        <v>5.1948051948051956</v>
      </c>
    </row>
    <row r="658" spans="1:17" ht="15.75">
      <c r="A658" s="43" t="s">
        <v>351</v>
      </c>
      <c r="B658" s="8" t="s">
        <v>352</v>
      </c>
      <c r="C658" s="8"/>
      <c r="D658" s="8"/>
      <c r="E658" s="8"/>
      <c r="F658" s="4">
        <f>F659+F750</f>
        <v>61699.8</v>
      </c>
      <c r="G658" s="4">
        <f t="shared" ref="G658:K658" si="389">G659+G750</f>
        <v>62134.184313725498</v>
      </c>
      <c r="H658" s="4">
        <f t="shared" si="389"/>
        <v>72053.100000000006</v>
      </c>
      <c r="I658" s="4">
        <f t="shared" si="389"/>
        <v>73293.100000000006</v>
      </c>
      <c r="J658" s="4">
        <f t="shared" si="389"/>
        <v>74048.899999999994</v>
      </c>
      <c r="K658" s="4">
        <f t="shared" si="389"/>
        <v>59773.000000000007</v>
      </c>
      <c r="L658" s="4">
        <f t="shared" ref="L658" si="390">L659+L750</f>
        <v>18186</v>
      </c>
      <c r="M658" s="4">
        <f t="shared" si="386"/>
        <v>30.425108326501928</v>
      </c>
    </row>
    <row r="659" spans="1:17" ht="15.75">
      <c r="A659" s="43" t="s">
        <v>353</v>
      </c>
      <c r="B659" s="8" t="s">
        <v>352</v>
      </c>
      <c r="C659" s="8" t="s">
        <v>171</v>
      </c>
      <c r="D659" s="8"/>
      <c r="E659" s="8"/>
      <c r="F659" s="4">
        <f>F660+F729+F725</f>
        <v>44421.000000000007</v>
      </c>
      <c r="G659" s="4">
        <f t="shared" ref="G659:K659" si="391">G660+G729+G725</f>
        <v>44421.000000000007</v>
      </c>
      <c r="H659" s="4">
        <f t="shared" si="391"/>
        <v>52460.700000000004</v>
      </c>
      <c r="I659" s="4">
        <f t="shared" si="391"/>
        <v>53585</v>
      </c>
      <c r="J659" s="4">
        <f t="shared" si="391"/>
        <v>54232.700000000004</v>
      </c>
      <c r="K659" s="4">
        <f t="shared" si="391"/>
        <v>43140.600000000006</v>
      </c>
      <c r="L659" s="4">
        <f t="shared" ref="L659" si="392">L660+L729+L725</f>
        <v>14699.1</v>
      </c>
      <c r="M659" s="4">
        <f t="shared" si="386"/>
        <v>34.072544192709415</v>
      </c>
      <c r="N659" s="23"/>
      <c r="O659" s="23"/>
    </row>
    <row r="660" spans="1:17" ht="31.5">
      <c r="A660" s="31" t="s">
        <v>319</v>
      </c>
      <c r="B660" s="42" t="s">
        <v>352</v>
      </c>
      <c r="C660" s="42" t="s">
        <v>171</v>
      </c>
      <c r="D660" s="42" t="s">
        <v>320</v>
      </c>
      <c r="E660" s="42"/>
      <c r="F660" s="7">
        <f>F661+F692</f>
        <v>42083.100000000006</v>
      </c>
      <c r="G660" s="7">
        <f t="shared" ref="G660:K660" si="393">G661+G692</f>
        <v>42083.100000000006</v>
      </c>
      <c r="H660" s="7">
        <f t="shared" si="393"/>
        <v>50326.8</v>
      </c>
      <c r="I660" s="7">
        <f t="shared" si="393"/>
        <v>51451.1</v>
      </c>
      <c r="J660" s="7">
        <f t="shared" si="393"/>
        <v>52098.8</v>
      </c>
      <c r="K660" s="7">
        <f t="shared" si="393"/>
        <v>41056.300000000003</v>
      </c>
      <c r="L660" s="7">
        <f t="shared" ref="L660" si="394">L661+L692</f>
        <v>14307.5</v>
      </c>
      <c r="M660" s="7">
        <f t="shared" si="386"/>
        <v>34.848488538908761</v>
      </c>
    </row>
    <row r="661" spans="1:17" ht="47.25">
      <c r="A661" s="31" t="s">
        <v>354</v>
      </c>
      <c r="B661" s="42" t="s">
        <v>352</v>
      </c>
      <c r="C661" s="42" t="s">
        <v>171</v>
      </c>
      <c r="D661" s="42" t="s">
        <v>355</v>
      </c>
      <c r="E661" s="42"/>
      <c r="F661" s="7">
        <f>F662+F665+F668+F671+F674+F677+F680+F683+F686+F689</f>
        <v>25422.5</v>
      </c>
      <c r="G661" s="7">
        <f t="shared" ref="G661:K661" si="395">G662+G665+G668+G671+G674+G677+G680+G683+G686+G689</f>
        <v>25422.5</v>
      </c>
      <c r="H661" s="7">
        <f t="shared" si="395"/>
        <v>30257.599999999999</v>
      </c>
      <c r="I661" s="7">
        <f t="shared" si="395"/>
        <v>31110.899999999998</v>
      </c>
      <c r="J661" s="7">
        <f t="shared" si="395"/>
        <v>31536.199999999997</v>
      </c>
      <c r="K661" s="7">
        <f t="shared" si="395"/>
        <v>24030</v>
      </c>
      <c r="L661" s="7">
        <f t="shared" ref="L661" si="396">L662+L665+L668+L671+L674+L677+L680+L683+L686+L689</f>
        <v>8393.1</v>
      </c>
      <c r="M661" s="7">
        <f t="shared" si="386"/>
        <v>34.927590511860174</v>
      </c>
    </row>
    <row r="662" spans="1:17" ht="31.5">
      <c r="A662" s="31" t="s">
        <v>356</v>
      </c>
      <c r="B662" s="42" t="s">
        <v>352</v>
      </c>
      <c r="C662" s="42" t="s">
        <v>171</v>
      </c>
      <c r="D662" s="42" t="s">
        <v>357</v>
      </c>
      <c r="E662" s="42"/>
      <c r="F662" s="7">
        <f>F663</f>
        <v>23654.800000000003</v>
      </c>
      <c r="G662" s="7">
        <f t="shared" ref="G662:L663" si="397">G663</f>
        <v>23654.800000000003</v>
      </c>
      <c r="H662" s="7">
        <f t="shared" si="397"/>
        <v>26579.5</v>
      </c>
      <c r="I662" s="7">
        <f t="shared" si="397"/>
        <v>27182.799999999999</v>
      </c>
      <c r="J662" s="7">
        <f t="shared" si="397"/>
        <v>27608.1</v>
      </c>
      <c r="K662" s="7">
        <f t="shared" si="397"/>
        <v>23276.9</v>
      </c>
      <c r="L662" s="7">
        <f t="shared" si="397"/>
        <v>7640</v>
      </c>
      <c r="M662" s="7">
        <f t="shared" si="386"/>
        <v>32.822240074924061</v>
      </c>
    </row>
    <row r="663" spans="1:17" ht="47.25">
      <c r="A663" s="31" t="s">
        <v>325</v>
      </c>
      <c r="B663" s="42" t="s">
        <v>352</v>
      </c>
      <c r="C663" s="42" t="s">
        <v>171</v>
      </c>
      <c r="D663" s="42" t="s">
        <v>357</v>
      </c>
      <c r="E663" s="42" t="s">
        <v>326</v>
      </c>
      <c r="F663" s="7">
        <f>F664</f>
        <v>23654.800000000003</v>
      </c>
      <c r="G663" s="7">
        <f t="shared" si="397"/>
        <v>23654.800000000003</v>
      </c>
      <c r="H663" s="7">
        <f t="shared" si="397"/>
        <v>26579.5</v>
      </c>
      <c r="I663" s="7">
        <f t="shared" si="397"/>
        <v>27182.799999999999</v>
      </c>
      <c r="J663" s="7">
        <f t="shared" si="397"/>
        <v>27608.1</v>
      </c>
      <c r="K663" s="7">
        <f t="shared" si="397"/>
        <v>23276.9</v>
      </c>
      <c r="L663" s="7">
        <f t="shared" si="397"/>
        <v>7640</v>
      </c>
      <c r="M663" s="7">
        <f t="shared" si="386"/>
        <v>32.822240074924061</v>
      </c>
    </row>
    <row r="664" spans="1:17" ht="15.75">
      <c r="A664" s="31" t="s">
        <v>327</v>
      </c>
      <c r="B664" s="42" t="s">
        <v>352</v>
      </c>
      <c r="C664" s="42" t="s">
        <v>171</v>
      </c>
      <c r="D664" s="42" t="s">
        <v>357</v>
      </c>
      <c r="E664" s="42" t="s">
        <v>328</v>
      </c>
      <c r="F664" s="7">
        <f>'Прил.№4 ведомств.'!G334</f>
        <v>23654.800000000003</v>
      </c>
      <c r="G664" s="7">
        <f>'Прил.№4 ведомств.'!I334</f>
        <v>23654.800000000003</v>
      </c>
      <c r="H664" s="7">
        <f>'Прил.№4 ведомств.'!J334</f>
        <v>26579.5</v>
      </c>
      <c r="I664" s="7">
        <f>'Прил.№4 ведомств.'!K334</f>
        <v>27182.799999999999</v>
      </c>
      <c r="J664" s="7">
        <f>'Прил.№4 ведомств.'!L334</f>
        <v>27608.1</v>
      </c>
      <c r="K664" s="7">
        <f>'Прил.№4 ведомств.'!M334</f>
        <v>23276.9</v>
      </c>
      <c r="L664" s="7">
        <f>'Прил.№4 ведомств.'!N334</f>
        <v>7640</v>
      </c>
      <c r="M664" s="7">
        <f t="shared" si="386"/>
        <v>32.822240074924061</v>
      </c>
      <c r="Q664" s="23"/>
    </row>
    <row r="665" spans="1:17" ht="47.25" hidden="1">
      <c r="A665" s="31" t="s">
        <v>799</v>
      </c>
      <c r="B665" s="42" t="s">
        <v>352</v>
      </c>
      <c r="C665" s="42" t="s">
        <v>171</v>
      </c>
      <c r="D665" s="42" t="s">
        <v>358</v>
      </c>
      <c r="E665" s="42"/>
      <c r="F665" s="7">
        <f>F666</f>
        <v>96.1</v>
      </c>
      <c r="G665" s="7">
        <f t="shared" ref="G665:L666" si="398">G666</f>
        <v>96.1</v>
      </c>
      <c r="H665" s="7">
        <f t="shared" si="398"/>
        <v>650</v>
      </c>
      <c r="I665" s="7">
        <f t="shared" si="398"/>
        <v>800</v>
      </c>
      <c r="J665" s="7">
        <f t="shared" si="398"/>
        <v>900</v>
      </c>
      <c r="K665" s="7">
        <f t="shared" si="398"/>
        <v>0</v>
      </c>
      <c r="L665" s="7">
        <f t="shared" si="398"/>
        <v>0</v>
      </c>
      <c r="M665" s="7" t="e">
        <f t="shared" si="386"/>
        <v>#DIV/0!</v>
      </c>
      <c r="Q665" s="23"/>
    </row>
    <row r="666" spans="1:17" ht="47.25" hidden="1">
      <c r="A666" s="31" t="s">
        <v>325</v>
      </c>
      <c r="B666" s="42" t="s">
        <v>352</v>
      </c>
      <c r="C666" s="42" t="s">
        <v>171</v>
      </c>
      <c r="D666" s="42" t="s">
        <v>358</v>
      </c>
      <c r="E666" s="42" t="s">
        <v>326</v>
      </c>
      <c r="F666" s="7">
        <f>F667</f>
        <v>96.1</v>
      </c>
      <c r="G666" s="7">
        <f t="shared" si="398"/>
        <v>96.1</v>
      </c>
      <c r="H666" s="7">
        <f t="shared" si="398"/>
        <v>650</v>
      </c>
      <c r="I666" s="7">
        <f t="shared" si="398"/>
        <v>800</v>
      </c>
      <c r="J666" s="7">
        <f t="shared" si="398"/>
        <v>900</v>
      </c>
      <c r="K666" s="7">
        <f t="shared" si="398"/>
        <v>0</v>
      </c>
      <c r="L666" s="7">
        <f t="shared" si="398"/>
        <v>0</v>
      </c>
      <c r="M666" s="7" t="e">
        <f t="shared" si="386"/>
        <v>#DIV/0!</v>
      </c>
    </row>
    <row r="667" spans="1:17" ht="15.75" hidden="1">
      <c r="A667" s="31" t="s">
        <v>327</v>
      </c>
      <c r="B667" s="42" t="s">
        <v>352</v>
      </c>
      <c r="C667" s="42" t="s">
        <v>171</v>
      </c>
      <c r="D667" s="42" t="s">
        <v>358</v>
      </c>
      <c r="E667" s="42" t="s">
        <v>328</v>
      </c>
      <c r="F667" s="7">
        <f>'Прил.№4 ведомств.'!G337</f>
        <v>96.1</v>
      </c>
      <c r="G667" s="7">
        <f>'Прил.№4 ведомств.'!I337</f>
        <v>96.1</v>
      </c>
      <c r="H667" s="7">
        <f>'Прил.№4 ведомств.'!J337</f>
        <v>650</v>
      </c>
      <c r="I667" s="7">
        <f>'Прил.№4 ведомств.'!K337</f>
        <v>800</v>
      </c>
      <c r="J667" s="7">
        <f>'Прил.№4 ведомств.'!L337</f>
        <v>900</v>
      </c>
      <c r="K667" s="7">
        <f>'Прил.№4 ведомств.'!M337</f>
        <v>0</v>
      </c>
      <c r="L667" s="7">
        <f>'Прил.№4 ведомств.'!N337</f>
        <v>0</v>
      </c>
      <c r="M667" s="7" t="e">
        <f t="shared" si="386"/>
        <v>#DIV/0!</v>
      </c>
    </row>
    <row r="668" spans="1:17" ht="31.5" hidden="1" customHeight="1">
      <c r="A668" s="31" t="s">
        <v>331</v>
      </c>
      <c r="B668" s="42" t="s">
        <v>352</v>
      </c>
      <c r="C668" s="42" t="s">
        <v>171</v>
      </c>
      <c r="D668" s="42" t="s">
        <v>679</v>
      </c>
      <c r="E668" s="42"/>
      <c r="F668" s="7">
        <f>F669</f>
        <v>0</v>
      </c>
      <c r="G668" s="7">
        <f t="shared" ref="G668:L669" si="399">G669</f>
        <v>0</v>
      </c>
      <c r="H668" s="7">
        <f t="shared" si="399"/>
        <v>0</v>
      </c>
      <c r="I668" s="7">
        <f t="shared" si="399"/>
        <v>0</v>
      </c>
      <c r="J668" s="7">
        <f t="shared" si="399"/>
        <v>0</v>
      </c>
      <c r="K668" s="7">
        <f t="shared" si="399"/>
        <v>0</v>
      </c>
      <c r="L668" s="7">
        <f t="shared" si="399"/>
        <v>0</v>
      </c>
      <c r="M668" s="7" t="e">
        <f t="shared" si="386"/>
        <v>#DIV/0!</v>
      </c>
    </row>
    <row r="669" spans="1:17" ht="47.25" hidden="1" customHeight="1">
      <c r="A669" s="31" t="s">
        <v>325</v>
      </c>
      <c r="B669" s="42" t="s">
        <v>352</v>
      </c>
      <c r="C669" s="42" t="s">
        <v>171</v>
      </c>
      <c r="D669" s="42" t="s">
        <v>679</v>
      </c>
      <c r="E669" s="42" t="s">
        <v>326</v>
      </c>
      <c r="F669" s="7">
        <f>F670</f>
        <v>0</v>
      </c>
      <c r="G669" s="7">
        <f t="shared" si="399"/>
        <v>0</v>
      </c>
      <c r="H669" s="7">
        <f t="shared" si="399"/>
        <v>0</v>
      </c>
      <c r="I669" s="7">
        <f t="shared" si="399"/>
        <v>0</v>
      </c>
      <c r="J669" s="7">
        <f t="shared" si="399"/>
        <v>0</v>
      </c>
      <c r="K669" s="7">
        <f t="shared" si="399"/>
        <v>0</v>
      </c>
      <c r="L669" s="7">
        <f t="shared" si="399"/>
        <v>0</v>
      </c>
      <c r="M669" s="7" t="e">
        <f t="shared" si="386"/>
        <v>#DIV/0!</v>
      </c>
    </row>
    <row r="670" spans="1:17" ht="15.75" hidden="1" customHeight="1">
      <c r="A670" s="31" t="s">
        <v>327</v>
      </c>
      <c r="B670" s="42" t="s">
        <v>352</v>
      </c>
      <c r="C670" s="42" t="s">
        <v>171</v>
      </c>
      <c r="D670" s="42" t="s">
        <v>679</v>
      </c>
      <c r="E670" s="42" t="s">
        <v>328</v>
      </c>
      <c r="F670" s="7"/>
      <c r="G670" s="7"/>
      <c r="H670" s="7"/>
      <c r="I670" s="7"/>
      <c r="J670" s="7"/>
      <c r="K670" s="7"/>
      <c r="L670" s="7"/>
      <c r="M670" s="7" t="e">
        <f t="shared" si="386"/>
        <v>#DIV/0!</v>
      </c>
    </row>
    <row r="671" spans="1:17" ht="31.5" hidden="1" customHeight="1">
      <c r="A671" s="31" t="s">
        <v>333</v>
      </c>
      <c r="B671" s="42" t="s">
        <v>352</v>
      </c>
      <c r="C671" s="42" t="s">
        <v>171</v>
      </c>
      <c r="D671" s="42" t="s">
        <v>680</v>
      </c>
      <c r="E671" s="42"/>
      <c r="F671" s="7">
        <f>F672</f>
        <v>0</v>
      </c>
      <c r="G671" s="7">
        <f t="shared" ref="G671:L672" si="400">G672</f>
        <v>0</v>
      </c>
      <c r="H671" s="7">
        <f t="shared" si="400"/>
        <v>0</v>
      </c>
      <c r="I671" s="7">
        <f t="shared" si="400"/>
        <v>0</v>
      </c>
      <c r="J671" s="7">
        <f t="shared" si="400"/>
        <v>0</v>
      </c>
      <c r="K671" s="7">
        <f t="shared" si="400"/>
        <v>0</v>
      </c>
      <c r="L671" s="7">
        <f t="shared" si="400"/>
        <v>0</v>
      </c>
      <c r="M671" s="7" t="e">
        <f t="shared" si="386"/>
        <v>#DIV/0!</v>
      </c>
    </row>
    <row r="672" spans="1:17" ht="47.25" hidden="1" customHeight="1">
      <c r="A672" s="31" t="s">
        <v>325</v>
      </c>
      <c r="B672" s="42" t="s">
        <v>352</v>
      </c>
      <c r="C672" s="42" t="s">
        <v>171</v>
      </c>
      <c r="D672" s="42" t="s">
        <v>680</v>
      </c>
      <c r="E672" s="42" t="s">
        <v>326</v>
      </c>
      <c r="F672" s="7">
        <f>F673</f>
        <v>0</v>
      </c>
      <c r="G672" s="7">
        <f t="shared" si="400"/>
        <v>0</v>
      </c>
      <c r="H672" s="7">
        <f t="shared" si="400"/>
        <v>0</v>
      </c>
      <c r="I672" s="7">
        <f t="shared" si="400"/>
        <v>0</v>
      </c>
      <c r="J672" s="7">
        <f t="shared" si="400"/>
        <v>0</v>
      </c>
      <c r="K672" s="7">
        <f t="shared" si="400"/>
        <v>0</v>
      </c>
      <c r="L672" s="7">
        <f t="shared" si="400"/>
        <v>0</v>
      </c>
      <c r="M672" s="7" t="e">
        <f t="shared" si="386"/>
        <v>#DIV/0!</v>
      </c>
    </row>
    <row r="673" spans="1:13" ht="15.75" hidden="1" customHeight="1">
      <c r="A673" s="31" t="s">
        <v>327</v>
      </c>
      <c r="B673" s="42" t="s">
        <v>352</v>
      </c>
      <c r="C673" s="42" t="s">
        <v>171</v>
      </c>
      <c r="D673" s="42" t="s">
        <v>680</v>
      </c>
      <c r="E673" s="42" t="s">
        <v>328</v>
      </c>
      <c r="F673" s="7"/>
      <c r="G673" s="7"/>
      <c r="H673" s="7"/>
      <c r="I673" s="7"/>
      <c r="J673" s="7"/>
      <c r="K673" s="7"/>
      <c r="L673" s="7"/>
      <c r="M673" s="7" t="e">
        <f t="shared" si="386"/>
        <v>#DIV/0!</v>
      </c>
    </row>
    <row r="674" spans="1:13" ht="31.5" hidden="1" customHeight="1">
      <c r="A674" s="31" t="s">
        <v>337</v>
      </c>
      <c r="B674" s="42" t="s">
        <v>352</v>
      </c>
      <c r="C674" s="42" t="s">
        <v>171</v>
      </c>
      <c r="D674" s="42" t="s">
        <v>681</v>
      </c>
      <c r="E674" s="42"/>
      <c r="F674" s="7">
        <f>F675</f>
        <v>0</v>
      </c>
      <c r="G674" s="7">
        <f t="shared" ref="G674:L675" si="401">G675</f>
        <v>0</v>
      </c>
      <c r="H674" s="7">
        <f t="shared" si="401"/>
        <v>0</v>
      </c>
      <c r="I674" s="7">
        <f t="shared" si="401"/>
        <v>0</v>
      </c>
      <c r="J674" s="7">
        <f t="shared" si="401"/>
        <v>0</v>
      </c>
      <c r="K674" s="7">
        <f t="shared" si="401"/>
        <v>0</v>
      </c>
      <c r="L674" s="7">
        <f t="shared" si="401"/>
        <v>0</v>
      </c>
      <c r="M674" s="7" t="e">
        <f t="shared" si="386"/>
        <v>#DIV/0!</v>
      </c>
    </row>
    <row r="675" spans="1:13" ht="47.25" hidden="1" customHeight="1">
      <c r="A675" s="31" t="s">
        <v>325</v>
      </c>
      <c r="B675" s="42" t="s">
        <v>352</v>
      </c>
      <c r="C675" s="42" t="s">
        <v>171</v>
      </c>
      <c r="D675" s="42" t="s">
        <v>681</v>
      </c>
      <c r="E675" s="42" t="s">
        <v>326</v>
      </c>
      <c r="F675" s="7">
        <f>F676</f>
        <v>0</v>
      </c>
      <c r="G675" s="7">
        <f t="shared" si="401"/>
        <v>0</v>
      </c>
      <c r="H675" s="7">
        <f t="shared" si="401"/>
        <v>0</v>
      </c>
      <c r="I675" s="7">
        <f t="shared" si="401"/>
        <v>0</v>
      </c>
      <c r="J675" s="7">
        <f t="shared" si="401"/>
        <v>0</v>
      </c>
      <c r="K675" s="7">
        <f t="shared" si="401"/>
        <v>0</v>
      </c>
      <c r="L675" s="7">
        <f t="shared" si="401"/>
        <v>0</v>
      </c>
      <c r="M675" s="7" t="e">
        <f t="shared" si="386"/>
        <v>#DIV/0!</v>
      </c>
    </row>
    <row r="676" spans="1:13" ht="15.75" hidden="1" customHeight="1">
      <c r="A676" s="31" t="s">
        <v>327</v>
      </c>
      <c r="B676" s="42" t="s">
        <v>352</v>
      </c>
      <c r="C676" s="42" t="s">
        <v>171</v>
      </c>
      <c r="D676" s="42" t="s">
        <v>681</v>
      </c>
      <c r="E676" s="42" t="s">
        <v>328</v>
      </c>
      <c r="F676" s="7"/>
      <c r="G676" s="7"/>
      <c r="H676" s="7"/>
      <c r="I676" s="7"/>
      <c r="J676" s="7"/>
      <c r="K676" s="7"/>
      <c r="L676" s="7"/>
      <c r="M676" s="7" t="e">
        <f t="shared" si="386"/>
        <v>#DIV/0!</v>
      </c>
    </row>
    <row r="677" spans="1:13" ht="31.5" hidden="1">
      <c r="A677" s="31" t="s">
        <v>682</v>
      </c>
      <c r="B677" s="42" t="s">
        <v>352</v>
      </c>
      <c r="C677" s="42" t="s">
        <v>171</v>
      </c>
      <c r="D677" s="42" t="s">
        <v>359</v>
      </c>
      <c r="E677" s="42"/>
      <c r="F677" s="7">
        <f>F678</f>
        <v>142.1</v>
      </c>
      <c r="G677" s="7">
        <f t="shared" ref="G677:L678" si="402">G678</f>
        <v>142.1</v>
      </c>
      <c r="H677" s="7">
        <f t="shared" si="402"/>
        <v>2000</v>
      </c>
      <c r="I677" s="7">
        <f t="shared" si="402"/>
        <v>1500</v>
      </c>
      <c r="J677" s="7">
        <f t="shared" si="402"/>
        <v>2000</v>
      </c>
      <c r="K677" s="7">
        <f t="shared" si="402"/>
        <v>0</v>
      </c>
      <c r="L677" s="7">
        <f t="shared" si="402"/>
        <v>0</v>
      </c>
      <c r="M677" s="7" t="e">
        <f t="shared" si="386"/>
        <v>#DIV/0!</v>
      </c>
    </row>
    <row r="678" spans="1:13" ht="47.25" hidden="1">
      <c r="A678" s="31" t="s">
        <v>325</v>
      </c>
      <c r="B678" s="42" t="s">
        <v>352</v>
      </c>
      <c r="C678" s="42" t="s">
        <v>171</v>
      </c>
      <c r="D678" s="42" t="s">
        <v>359</v>
      </c>
      <c r="E678" s="42" t="s">
        <v>326</v>
      </c>
      <c r="F678" s="7">
        <f>F679</f>
        <v>142.1</v>
      </c>
      <c r="G678" s="7">
        <f t="shared" si="402"/>
        <v>142.1</v>
      </c>
      <c r="H678" s="7">
        <f t="shared" si="402"/>
        <v>2000</v>
      </c>
      <c r="I678" s="7">
        <f t="shared" si="402"/>
        <v>1500</v>
      </c>
      <c r="J678" s="7">
        <f t="shared" si="402"/>
        <v>2000</v>
      </c>
      <c r="K678" s="7">
        <f t="shared" si="402"/>
        <v>0</v>
      </c>
      <c r="L678" s="7">
        <f t="shared" si="402"/>
        <v>0</v>
      </c>
      <c r="M678" s="7" t="e">
        <f t="shared" si="386"/>
        <v>#DIV/0!</v>
      </c>
    </row>
    <row r="679" spans="1:13" ht="15.75" hidden="1">
      <c r="A679" s="31" t="s">
        <v>327</v>
      </c>
      <c r="B679" s="42" t="s">
        <v>352</v>
      </c>
      <c r="C679" s="42" t="s">
        <v>171</v>
      </c>
      <c r="D679" s="42" t="s">
        <v>359</v>
      </c>
      <c r="E679" s="42" t="s">
        <v>328</v>
      </c>
      <c r="F679" s="7">
        <f>'Прил.№4 ведомств.'!G340</f>
        <v>142.1</v>
      </c>
      <c r="G679" s="7">
        <f>'Прил.№4 ведомств.'!I340</f>
        <v>142.1</v>
      </c>
      <c r="H679" s="7">
        <f>'Прил.№4 ведомств.'!J340</f>
        <v>2000</v>
      </c>
      <c r="I679" s="7">
        <f>'Прил.№4 ведомств.'!K340</f>
        <v>1500</v>
      </c>
      <c r="J679" s="7">
        <f>'Прил.№4 ведомств.'!L340</f>
        <v>2000</v>
      </c>
      <c r="K679" s="7">
        <f>'Прил.№4 ведомств.'!M340</f>
        <v>0</v>
      </c>
      <c r="L679" s="7">
        <f>'Прил.№4 ведомств.'!N340</f>
        <v>0</v>
      </c>
      <c r="M679" s="7" t="e">
        <f t="shared" si="386"/>
        <v>#DIV/0!</v>
      </c>
    </row>
    <row r="680" spans="1:13" ht="15.75" hidden="1">
      <c r="A680" s="31" t="s">
        <v>360</v>
      </c>
      <c r="B680" s="42" t="s">
        <v>352</v>
      </c>
      <c r="C680" s="42" t="s">
        <v>171</v>
      </c>
      <c r="D680" s="42" t="s">
        <v>361</v>
      </c>
      <c r="E680" s="42"/>
      <c r="F680" s="7">
        <f>F681</f>
        <v>1529.5</v>
      </c>
      <c r="G680" s="7">
        <f t="shared" ref="G680:L681" si="403">G681</f>
        <v>1529.5</v>
      </c>
      <c r="H680" s="7">
        <f t="shared" si="403"/>
        <v>0</v>
      </c>
      <c r="I680" s="7">
        <f t="shared" si="403"/>
        <v>0</v>
      </c>
      <c r="J680" s="7">
        <f t="shared" si="403"/>
        <v>0</v>
      </c>
      <c r="K680" s="7">
        <f t="shared" si="403"/>
        <v>0</v>
      </c>
      <c r="L680" s="7">
        <f t="shared" si="403"/>
        <v>0</v>
      </c>
      <c r="M680" s="7" t="e">
        <f t="shared" si="386"/>
        <v>#DIV/0!</v>
      </c>
    </row>
    <row r="681" spans="1:13" ht="47.25" hidden="1">
      <c r="A681" s="31" t="s">
        <v>325</v>
      </c>
      <c r="B681" s="42" t="s">
        <v>352</v>
      </c>
      <c r="C681" s="42" t="s">
        <v>171</v>
      </c>
      <c r="D681" s="42" t="s">
        <v>361</v>
      </c>
      <c r="E681" s="42" t="s">
        <v>326</v>
      </c>
      <c r="F681" s="7">
        <f>F682</f>
        <v>1529.5</v>
      </c>
      <c r="G681" s="7">
        <f t="shared" si="403"/>
        <v>1529.5</v>
      </c>
      <c r="H681" s="7">
        <f t="shared" si="403"/>
        <v>0</v>
      </c>
      <c r="I681" s="7">
        <f t="shared" si="403"/>
        <v>0</v>
      </c>
      <c r="J681" s="7">
        <f t="shared" si="403"/>
        <v>0</v>
      </c>
      <c r="K681" s="7">
        <f t="shared" si="403"/>
        <v>0</v>
      </c>
      <c r="L681" s="7">
        <f t="shared" si="403"/>
        <v>0</v>
      </c>
      <c r="M681" s="7" t="e">
        <f t="shared" si="386"/>
        <v>#DIV/0!</v>
      </c>
    </row>
    <row r="682" spans="1:13" ht="15.75" hidden="1">
      <c r="A682" s="31" t="s">
        <v>327</v>
      </c>
      <c r="B682" s="42" t="s">
        <v>352</v>
      </c>
      <c r="C682" s="42" t="s">
        <v>171</v>
      </c>
      <c r="D682" s="42" t="s">
        <v>361</v>
      </c>
      <c r="E682" s="42" t="s">
        <v>328</v>
      </c>
      <c r="F682" s="7">
        <f>'Прил.№4 ведомств.'!G343</f>
        <v>1529.5</v>
      </c>
      <c r="G682" s="7">
        <f>'Прил.№4 ведомств.'!I343</f>
        <v>1529.5</v>
      </c>
      <c r="H682" s="7">
        <f>'Прил.№4 ведомств.'!J343</f>
        <v>0</v>
      </c>
      <c r="I682" s="7">
        <f>'Прил.№4 ведомств.'!K343</f>
        <v>0</v>
      </c>
      <c r="J682" s="7">
        <f>'Прил.№4 ведомств.'!L343</f>
        <v>0</v>
      </c>
      <c r="K682" s="7">
        <f>'Прил.№4 ведомств.'!M343</f>
        <v>0</v>
      </c>
      <c r="L682" s="7">
        <f>'Прил.№4 ведомств.'!N343</f>
        <v>0</v>
      </c>
      <c r="M682" s="7" t="e">
        <f t="shared" si="386"/>
        <v>#DIV/0!</v>
      </c>
    </row>
    <row r="683" spans="1:13" ht="31.5" hidden="1">
      <c r="A683" s="26" t="s">
        <v>337</v>
      </c>
      <c r="B683" s="21" t="s">
        <v>352</v>
      </c>
      <c r="C683" s="21" t="s">
        <v>171</v>
      </c>
      <c r="D683" s="21" t="s">
        <v>338</v>
      </c>
      <c r="E683" s="21"/>
      <c r="F683" s="7">
        <f>F684</f>
        <v>0</v>
      </c>
      <c r="G683" s="7">
        <f t="shared" ref="G683:L684" si="404">G684</f>
        <v>0</v>
      </c>
      <c r="H683" s="7">
        <f t="shared" si="404"/>
        <v>275</v>
      </c>
      <c r="I683" s="7">
        <f t="shared" si="404"/>
        <v>275</v>
      </c>
      <c r="J683" s="7">
        <f t="shared" si="404"/>
        <v>275</v>
      </c>
      <c r="K683" s="7">
        <f t="shared" si="404"/>
        <v>0</v>
      </c>
      <c r="L683" s="7">
        <f t="shared" si="404"/>
        <v>0</v>
      </c>
      <c r="M683" s="7" t="e">
        <f t="shared" si="386"/>
        <v>#DIV/0!</v>
      </c>
    </row>
    <row r="684" spans="1:13" ht="47.25" hidden="1">
      <c r="A684" s="26" t="s">
        <v>325</v>
      </c>
      <c r="B684" s="21" t="s">
        <v>352</v>
      </c>
      <c r="C684" s="21" t="s">
        <v>171</v>
      </c>
      <c r="D684" s="21" t="s">
        <v>338</v>
      </c>
      <c r="E684" s="21" t="s">
        <v>326</v>
      </c>
      <c r="F684" s="7">
        <f>F685</f>
        <v>0</v>
      </c>
      <c r="G684" s="7">
        <f t="shared" si="404"/>
        <v>0</v>
      </c>
      <c r="H684" s="7">
        <f t="shared" si="404"/>
        <v>275</v>
      </c>
      <c r="I684" s="7">
        <f t="shared" si="404"/>
        <v>275</v>
      </c>
      <c r="J684" s="7">
        <f t="shared" si="404"/>
        <v>275</v>
      </c>
      <c r="K684" s="7">
        <f t="shared" si="404"/>
        <v>0</v>
      </c>
      <c r="L684" s="7">
        <f t="shared" si="404"/>
        <v>0</v>
      </c>
      <c r="M684" s="7" t="e">
        <f t="shared" si="386"/>
        <v>#DIV/0!</v>
      </c>
    </row>
    <row r="685" spans="1:13" ht="15.75" hidden="1">
      <c r="A685" s="26" t="s">
        <v>327</v>
      </c>
      <c r="B685" s="21" t="s">
        <v>352</v>
      </c>
      <c r="C685" s="21" t="s">
        <v>171</v>
      </c>
      <c r="D685" s="21" t="s">
        <v>338</v>
      </c>
      <c r="E685" s="21" t="s">
        <v>328</v>
      </c>
      <c r="F685" s="7">
        <f>'Прил.№4 ведомств.'!G346</f>
        <v>0</v>
      </c>
      <c r="G685" s="7">
        <f>'Прил.№4 ведомств.'!I346</f>
        <v>0</v>
      </c>
      <c r="H685" s="7">
        <f>'Прил.№4 ведомств.'!J346</f>
        <v>275</v>
      </c>
      <c r="I685" s="7">
        <f>'Прил.№4 ведомств.'!K346</f>
        <v>275</v>
      </c>
      <c r="J685" s="7">
        <f>'Прил.№4 ведомств.'!L346</f>
        <v>275</v>
      </c>
      <c r="K685" s="7">
        <f>'Прил.№4 ведомств.'!M346</f>
        <v>0</v>
      </c>
      <c r="L685" s="7">
        <f>'Прил.№4 ведомств.'!N346</f>
        <v>0</v>
      </c>
      <c r="M685" s="7" t="e">
        <f t="shared" si="386"/>
        <v>#DIV/0!</v>
      </c>
    </row>
    <row r="686" spans="1:13" ht="31.5" hidden="1">
      <c r="A686" s="37" t="s">
        <v>340</v>
      </c>
      <c r="B686" s="21" t="s">
        <v>352</v>
      </c>
      <c r="C686" s="21" t="s">
        <v>171</v>
      </c>
      <c r="D686" s="21" t="s">
        <v>362</v>
      </c>
      <c r="E686" s="21"/>
      <c r="F686" s="7">
        <f>F687</f>
        <v>0</v>
      </c>
      <c r="G686" s="7">
        <f t="shared" ref="G686:L687" si="405">G687</f>
        <v>0</v>
      </c>
      <c r="H686" s="7">
        <f t="shared" si="405"/>
        <v>0</v>
      </c>
      <c r="I686" s="7">
        <f t="shared" si="405"/>
        <v>600</v>
      </c>
      <c r="J686" s="7">
        <f t="shared" si="405"/>
        <v>0</v>
      </c>
      <c r="K686" s="7">
        <f t="shared" si="405"/>
        <v>0</v>
      </c>
      <c r="L686" s="7">
        <f t="shared" si="405"/>
        <v>0</v>
      </c>
      <c r="M686" s="7" t="e">
        <f t="shared" si="386"/>
        <v>#DIV/0!</v>
      </c>
    </row>
    <row r="687" spans="1:13" ht="47.25" hidden="1">
      <c r="A687" s="26" t="s">
        <v>325</v>
      </c>
      <c r="B687" s="21" t="s">
        <v>352</v>
      </c>
      <c r="C687" s="21" t="s">
        <v>171</v>
      </c>
      <c r="D687" s="21" t="s">
        <v>362</v>
      </c>
      <c r="E687" s="21" t="s">
        <v>326</v>
      </c>
      <c r="F687" s="7">
        <f>F688</f>
        <v>0</v>
      </c>
      <c r="G687" s="7">
        <f t="shared" si="405"/>
        <v>0</v>
      </c>
      <c r="H687" s="7">
        <f t="shared" si="405"/>
        <v>0</v>
      </c>
      <c r="I687" s="7">
        <f t="shared" si="405"/>
        <v>600</v>
      </c>
      <c r="J687" s="7">
        <f t="shared" si="405"/>
        <v>0</v>
      </c>
      <c r="K687" s="7">
        <f t="shared" si="405"/>
        <v>0</v>
      </c>
      <c r="L687" s="7">
        <f t="shared" si="405"/>
        <v>0</v>
      </c>
      <c r="M687" s="7" t="e">
        <f t="shared" si="386"/>
        <v>#DIV/0!</v>
      </c>
    </row>
    <row r="688" spans="1:13" ht="15.75" hidden="1">
      <c r="A688" s="26" t="s">
        <v>327</v>
      </c>
      <c r="B688" s="21" t="s">
        <v>352</v>
      </c>
      <c r="C688" s="21" t="s">
        <v>171</v>
      </c>
      <c r="D688" s="21" t="s">
        <v>362</v>
      </c>
      <c r="E688" s="21" t="s">
        <v>328</v>
      </c>
      <c r="F688" s="7">
        <f>'Прил.№4 ведомств.'!G349</f>
        <v>0</v>
      </c>
      <c r="G688" s="7">
        <f>'Прил.№4 ведомств.'!I349</f>
        <v>0</v>
      </c>
      <c r="H688" s="7">
        <f>'Прил.№4 ведомств.'!J349</f>
        <v>0</v>
      </c>
      <c r="I688" s="7">
        <f>'Прил.№4 ведомств.'!K349</f>
        <v>600</v>
      </c>
      <c r="J688" s="7">
        <f>'Прил.№4 ведомств.'!L349</f>
        <v>0</v>
      </c>
      <c r="K688" s="7">
        <f>'Прил.№4 ведомств.'!M349</f>
        <v>0</v>
      </c>
      <c r="L688" s="7">
        <f>'Прил.№4 ведомств.'!N349</f>
        <v>0</v>
      </c>
      <c r="M688" s="7" t="e">
        <f t="shared" si="386"/>
        <v>#DIV/0!</v>
      </c>
    </row>
    <row r="689" spans="1:13" ht="31.5">
      <c r="A689" s="209" t="s">
        <v>871</v>
      </c>
      <c r="B689" s="21" t="s">
        <v>352</v>
      </c>
      <c r="C689" s="21" t="s">
        <v>171</v>
      </c>
      <c r="D689" s="21" t="s">
        <v>876</v>
      </c>
      <c r="E689" s="21"/>
      <c r="F689" s="7">
        <f>F690</f>
        <v>0</v>
      </c>
      <c r="G689" s="7">
        <f t="shared" ref="G689:L690" si="406">G690</f>
        <v>0</v>
      </c>
      <c r="H689" s="7">
        <f t="shared" si="406"/>
        <v>753.1</v>
      </c>
      <c r="I689" s="7">
        <f t="shared" si="406"/>
        <v>753.1</v>
      </c>
      <c r="J689" s="7">
        <f t="shared" si="406"/>
        <v>753.1</v>
      </c>
      <c r="K689" s="7">
        <f t="shared" si="406"/>
        <v>753.1</v>
      </c>
      <c r="L689" s="7">
        <f t="shared" si="406"/>
        <v>753.1</v>
      </c>
      <c r="M689" s="7">
        <f t="shared" si="386"/>
        <v>100</v>
      </c>
    </row>
    <row r="690" spans="1:13" ht="47.25">
      <c r="A690" s="110" t="s">
        <v>325</v>
      </c>
      <c r="B690" s="21" t="s">
        <v>352</v>
      </c>
      <c r="C690" s="21" t="s">
        <v>171</v>
      </c>
      <c r="D690" s="21" t="s">
        <v>876</v>
      </c>
      <c r="E690" s="21" t="s">
        <v>326</v>
      </c>
      <c r="F690" s="7">
        <f>F691</f>
        <v>0</v>
      </c>
      <c r="G690" s="7">
        <f t="shared" si="406"/>
        <v>0</v>
      </c>
      <c r="H690" s="7">
        <f t="shared" si="406"/>
        <v>753.1</v>
      </c>
      <c r="I690" s="7">
        <f t="shared" si="406"/>
        <v>753.1</v>
      </c>
      <c r="J690" s="7">
        <f t="shared" si="406"/>
        <v>753.1</v>
      </c>
      <c r="K690" s="7">
        <f t="shared" si="406"/>
        <v>753.1</v>
      </c>
      <c r="L690" s="7">
        <f t="shared" si="406"/>
        <v>753.1</v>
      </c>
      <c r="M690" s="7">
        <f t="shared" si="386"/>
        <v>100</v>
      </c>
    </row>
    <row r="691" spans="1:13" ht="15.75">
      <c r="A691" s="210" t="s">
        <v>327</v>
      </c>
      <c r="B691" s="21" t="s">
        <v>352</v>
      </c>
      <c r="C691" s="21" t="s">
        <v>171</v>
      </c>
      <c r="D691" s="21" t="s">
        <v>876</v>
      </c>
      <c r="E691" s="21" t="s">
        <v>328</v>
      </c>
      <c r="F691" s="7">
        <f>'Прил.№4 ведомств.'!G352</f>
        <v>0</v>
      </c>
      <c r="G691" s="7">
        <f>'Прил.№4 ведомств.'!I352</f>
        <v>0</v>
      </c>
      <c r="H691" s="7">
        <f>'Прил.№4 ведомств.'!J352</f>
        <v>753.1</v>
      </c>
      <c r="I691" s="7">
        <f>'Прил.№4 ведомств.'!K352</f>
        <v>753.1</v>
      </c>
      <c r="J691" s="7">
        <f>'Прил.№4 ведомств.'!L352</f>
        <v>753.1</v>
      </c>
      <c r="K691" s="7">
        <f>'Прил.№4 ведомств.'!M352</f>
        <v>753.1</v>
      </c>
      <c r="L691" s="7">
        <f>'Прил.№4 ведомств.'!N352</f>
        <v>753.1</v>
      </c>
      <c r="M691" s="7">
        <f t="shared" si="386"/>
        <v>100</v>
      </c>
    </row>
    <row r="692" spans="1:13" ht="31.5">
      <c r="A692" s="31" t="s">
        <v>365</v>
      </c>
      <c r="B692" s="42" t="s">
        <v>352</v>
      </c>
      <c r="C692" s="42" t="s">
        <v>171</v>
      </c>
      <c r="D692" s="42" t="s">
        <v>366</v>
      </c>
      <c r="E692" s="42"/>
      <c r="F692" s="7">
        <f>F693+F696+F701+F704+F707+F710+F712+F716+F722</f>
        <v>16660.600000000002</v>
      </c>
      <c r="G692" s="7">
        <f t="shared" ref="G692:K692" si="407">G693+G696+G701+G704+G707+G710+G712+G716+G722</f>
        <v>16660.600000000002</v>
      </c>
      <c r="H692" s="7">
        <f t="shared" si="407"/>
        <v>20069.2</v>
      </c>
      <c r="I692" s="7">
        <f t="shared" si="407"/>
        <v>20340.2</v>
      </c>
      <c r="J692" s="7">
        <f t="shared" si="407"/>
        <v>20562.600000000002</v>
      </c>
      <c r="K692" s="7">
        <f t="shared" si="407"/>
        <v>17026.3</v>
      </c>
      <c r="L692" s="7">
        <f t="shared" ref="L692" si="408">L693+L696+L701+L704+L707+L710+L712+L716+L722</f>
        <v>5914.4</v>
      </c>
      <c r="M692" s="7">
        <f t="shared" si="386"/>
        <v>34.73684828764911</v>
      </c>
    </row>
    <row r="693" spans="1:13" ht="31.5">
      <c r="A693" s="31" t="s">
        <v>356</v>
      </c>
      <c r="B693" s="42" t="s">
        <v>352</v>
      </c>
      <c r="C693" s="42" t="s">
        <v>171</v>
      </c>
      <c r="D693" s="42" t="s">
        <v>367</v>
      </c>
      <c r="E693" s="42"/>
      <c r="F693" s="7">
        <f>F694</f>
        <v>16655.2</v>
      </c>
      <c r="G693" s="7">
        <f t="shared" ref="G693:L694" si="409">G694</f>
        <v>16655.2</v>
      </c>
      <c r="H693" s="7">
        <f t="shared" si="409"/>
        <v>19144</v>
      </c>
      <c r="I693" s="7">
        <f t="shared" si="409"/>
        <v>19415</v>
      </c>
      <c r="J693" s="7">
        <f t="shared" si="409"/>
        <v>19637.400000000001</v>
      </c>
      <c r="K693" s="7">
        <f t="shared" si="409"/>
        <v>16370.599999999999</v>
      </c>
      <c r="L693" s="7">
        <f t="shared" si="409"/>
        <v>5264.2</v>
      </c>
      <c r="M693" s="7">
        <f t="shared" si="386"/>
        <v>32.156426765054427</v>
      </c>
    </row>
    <row r="694" spans="1:13" ht="47.25">
      <c r="A694" s="31" t="s">
        <v>325</v>
      </c>
      <c r="B694" s="42" t="s">
        <v>352</v>
      </c>
      <c r="C694" s="42" t="s">
        <v>171</v>
      </c>
      <c r="D694" s="42" t="s">
        <v>367</v>
      </c>
      <c r="E694" s="42" t="s">
        <v>326</v>
      </c>
      <c r="F694" s="7">
        <f>F695</f>
        <v>16655.2</v>
      </c>
      <c r="G694" s="7">
        <f t="shared" si="409"/>
        <v>16655.2</v>
      </c>
      <c r="H694" s="7">
        <f t="shared" si="409"/>
        <v>19144</v>
      </c>
      <c r="I694" s="7">
        <f t="shared" si="409"/>
        <v>19415</v>
      </c>
      <c r="J694" s="7">
        <f t="shared" si="409"/>
        <v>19637.400000000001</v>
      </c>
      <c r="K694" s="7">
        <f t="shared" si="409"/>
        <v>16370.599999999999</v>
      </c>
      <c r="L694" s="7">
        <f t="shared" si="409"/>
        <v>5264.2</v>
      </c>
      <c r="M694" s="7">
        <f t="shared" si="386"/>
        <v>32.156426765054427</v>
      </c>
    </row>
    <row r="695" spans="1:13" ht="15.75">
      <c r="A695" s="31" t="s">
        <v>327</v>
      </c>
      <c r="B695" s="42" t="s">
        <v>352</v>
      </c>
      <c r="C695" s="42" t="s">
        <v>171</v>
      </c>
      <c r="D695" s="42" t="s">
        <v>367</v>
      </c>
      <c r="E695" s="42" t="s">
        <v>328</v>
      </c>
      <c r="F695" s="7">
        <f>'Прил.№4 ведомств.'!G363</f>
        <v>16655.2</v>
      </c>
      <c r="G695" s="7">
        <f>'Прил.№4 ведомств.'!I363</f>
        <v>16655.2</v>
      </c>
      <c r="H695" s="7">
        <f>'Прил.№4 ведомств.'!J363</f>
        <v>19144</v>
      </c>
      <c r="I695" s="7">
        <f>'Прил.№4 ведомств.'!K363</f>
        <v>19415</v>
      </c>
      <c r="J695" s="7">
        <f>'Прил.№4 ведомств.'!L363</f>
        <v>19637.400000000001</v>
      </c>
      <c r="K695" s="7">
        <f>'Прил.№4 ведомств.'!M363</f>
        <v>16370.599999999999</v>
      </c>
      <c r="L695" s="7">
        <f>'Прил.№4 ведомств.'!N363</f>
        <v>5264.2</v>
      </c>
      <c r="M695" s="7">
        <f t="shared" si="386"/>
        <v>32.156426765054427</v>
      </c>
    </row>
    <row r="696" spans="1:13" ht="26.25" customHeight="1">
      <c r="A696" s="31" t="s">
        <v>368</v>
      </c>
      <c r="B696" s="42" t="s">
        <v>352</v>
      </c>
      <c r="C696" s="42" t="s">
        <v>171</v>
      </c>
      <c r="D696" s="42" t="s">
        <v>683</v>
      </c>
      <c r="E696" s="42"/>
      <c r="F696" s="7">
        <f>F697+F699</f>
        <v>5</v>
      </c>
      <c r="G696" s="7">
        <f t="shared" ref="G696:K696" si="410">G697+G699</f>
        <v>5</v>
      </c>
      <c r="H696" s="7">
        <f t="shared" si="410"/>
        <v>0</v>
      </c>
      <c r="I696" s="7">
        <f t="shared" si="410"/>
        <v>0</v>
      </c>
      <c r="J696" s="7">
        <f t="shared" si="410"/>
        <v>0</v>
      </c>
      <c r="K696" s="7">
        <f t="shared" si="410"/>
        <v>5</v>
      </c>
      <c r="L696" s="7">
        <f t="shared" ref="L696" si="411">L697+L699</f>
        <v>0</v>
      </c>
      <c r="M696" s="7">
        <f t="shared" si="386"/>
        <v>0</v>
      </c>
    </row>
    <row r="697" spans="1:13" ht="31.5" hidden="1" customHeight="1">
      <c r="A697" s="31" t="s">
        <v>184</v>
      </c>
      <c r="B697" s="42" t="s">
        <v>352</v>
      </c>
      <c r="C697" s="42" t="s">
        <v>171</v>
      </c>
      <c r="D697" s="42" t="s">
        <v>683</v>
      </c>
      <c r="E697" s="42" t="s">
        <v>185</v>
      </c>
      <c r="F697" s="7">
        <f>F698</f>
        <v>0</v>
      </c>
      <c r="G697" s="7">
        <f t="shared" ref="G697:L697" si="412">G698</f>
        <v>0</v>
      </c>
      <c r="H697" s="7">
        <f t="shared" si="412"/>
        <v>0</v>
      </c>
      <c r="I697" s="7">
        <f t="shared" si="412"/>
        <v>0</v>
      </c>
      <c r="J697" s="7">
        <f t="shared" si="412"/>
        <v>0</v>
      </c>
      <c r="K697" s="7">
        <f t="shared" si="412"/>
        <v>0</v>
      </c>
      <c r="L697" s="7">
        <f t="shared" si="412"/>
        <v>0</v>
      </c>
      <c r="M697" s="7" t="e">
        <f t="shared" si="386"/>
        <v>#DIV/0!</v>
      </c>
    </row>
    <row r="698" spans="1:13" ht="47.25" hidden="1" customHeight="1">
      <c r="A698" s="31" t="s">
        <v>186</v>
      </c>
      <c r="B698" s="42" t="s">
        <v>352</v>
      </c>
      <c r="C698" s="42" t="s">
        <v>171</v>
      </c>
      <c r="D698" s="42" t="s">
        <v>683</v>
      </c>
      <c r="E698" s="42" t="s">
        <v>187</v>
      </c>
      <c r="F698" s="7"/>
      <c r="G698" s="7"/>
      <c r="H698" s="7"/>
      <c r="I698" s="7"/>
      <c r="J698" s="7"/>
      <c r="K698" s="7"/>
      <c r="L698" s="7"/>
      <c r="M698" s="7" t="e">
        <f t="shared" si="386"/>
        <v>#DIV/0!</v>
      </c>
    </row>
    <row r="699" spans="1:13" ht="47.25">
      <c r="A699" s="31" t="s">
        <v>325</v>
      </c>
      <c r="B699" s="42" t="s">
        <v>352</v>
      </c>
      <c r="C699" s="42" t="s">
        <v>171</v>
      </c>
      <c r="D699" s="42" t="s">
        <v>683</v>
      </c>
      <c r="E699" s="42" t="s">
        <v>326</v>
      </c>
      <c r="F699" s="7">
        <f>F700</f>
        <v>5</v>
      </c>
      <c r="G699" s="7">
        <f t="shared" ref="G699:L699" si="413">G700</f>
        <v>5</v>
      </c>
      <c r="H699" s="7">
        <f t="shared" si="413"/>
        <v>0</v>
      </c>
      <c r="I699" s="7">
        <f t="shared" si="413"/>
        <v>0</v>
      </c>
      <c r="J699" s="7">
        <f t="shared" si="413"/>
        <v>0</v>
      </c>
      <c r="K699" s="7">
        <f t="shared" si="413"/>
        <v>5</v>
      </c>
      <c r="L699" s="7">
        <f t="shared" si="413"/>
        <v>0</v>
      </c>
      <c r="M699" s="7">
        <f t="shared" si="386"/>
        <v>0</v>
      </c>
    </row>
    <row r="700" spans="1:13" ht="15.75">
      <c r="A700" s="31" t="s">
        <v>327</v>
      </c>
      <c r="B700" s="42" t="s">
        <v>352</v>
      </c>
      <c r="C700" s="42" t="s">
        <v>171</v>
      </c>
      <c r="D700" s="42" t="s">
        <v>683</v>
      </c>
      <c r="E700" s="42" t="s">
        <v>328</v>
      </c>
      <c r="F700" s="7">
        <f>'Прил.№4 ведомств.'!G368</f>
        <v>5</v>
      </c>
      <c r="G700" s="7">
        <f>'Прил.№4 ведомств.'!I368</f>
        <v>5</v>
      </c>
      <c r="H700" s="7">
        <f>'Прил.№4 ведомств.'!J368</f>
        <v>0</v>
      </c>
      <c r="I700" s="7">
        <f>'Прил.№4 ведомств.'!K368</f>
        <v>0</v>
      </c>
      <c r="J700" s="7">
        <f>'Прил.№4 ведомств.'!L368</f>
        <v>0</v>
      </c>
      <c r="K700" s="7">
        <f>'Прил.№4 ведомств.'!M368</f>
        <v>5</v>
      </c>
      <c r="L700" s="7">
        <f>'Прил.№4 ведомств.'!N368</f>
        <v>0</v>
      </c>
      <c r="M700" s="7">
        <f t="shared" si="386"/>
        <v>0</v>
      </c>
    </row>
    <row r="701" spans="1:13" ht="31.5" hidden="1" customHeight="1">
      <c r="A701" s="31" t="s">
        <v>331</v>
      </c>
      <c r="B701" s="42" t="s">
        <v>352</v>
      </c>
      <c r="C701" s="42" t="s">
        <v>171</v>
      </c>
      <c r="D701" s="42" t="s">
        <v>684</v>
      </c>
      <c r="E701" s="42"/>
      <c r="F701" s="7">
        <f>F702</f>
        <v>0</v>
      </c>
      <c r="G701" s="7">
        <f t="shared" ref="G701:L702" si="414">G702</f>
        <v>0</v>
      </c>
      <c r="H701" s="7">
        <f t="shared" si="414"/>
        <v>0</v>
      </c>
      <c r="I701" s="7">
        <f t="shared" si="414"/>
        <v>0</v>
      </c>
      <c r="J701" s="7">
        <f t="shared" si="414"/>
        <v>0</v>
      </c>
      <c r="K701" s="7">
        <f t="shared" si="414"/>
        <v>0</v>
      </c>
      <c r="L701" s="7">
        <f t="shared" si="414"/>
        <v>0</v>
      </c>
      <c r="M701" s="7" t="e">
        <f t="shared" si="386"/>
        <v>#DIV/0!</v>
      </c>
    </row>
    <row r="702" spans="1:13" ht="47.25" hidden="1" customHeight="1">
      <c r="A702" s="31" t="s">
        <v>325</v>
      </c>
      <c r="B702" s="42" t="s">
        <v>352</v>
      </c>
      <c r="C702" s="42" t="s">
        <v>171</v>
      </c>
      <c r="D702" s="42" t="s">
        <v>684</v>
      </c>
      <c r="E702" s="42" t="s">
        <v>326</v>
      </c>
      <c r="F702" s="7">
        <f>F703</f>
        <v>0</v>
      </c>
      <c r="G702" s="7">
        <f t="shared" si="414"/>
        <v>0</v>
      </c>
      <c r="H702" s="7">
        <f t="shared" si="414"/>
        <v>0</v>
      </c>
      <c r="I702" s="7">
        <f t="shared" si="414"/>
        <v>0</v>
      </c>
      <c r="J702" s="7">
        <f t="shared" si="414"/>
        <v>0</v>
      </c>
      <c r="K702" s="7">
        <f t="shared" si="414"/>
        <v>0</v>
      </c>
      <c r="L702" s="7">
        <f t="shared" si="414"/>
        <v>0</v>
      </c>
      <c r="M702" s="7" t="e">
        <f t="shared" si="386"/>
        <v>#DIV/0!</v>
      </c>
    </row>
    <row r="703" spans="1:13" ht="15.75" hidden="1" customHeight="1">
      <c r="A703" s="31" t="s">
        <v>327</v>
      </c>
      <c r="B703" s="42" t="s">
        <v>352</v>
      </c>
      <c r="C703" s="42" t="s">
        <v>171</v>
      </c>
      <c r="D703" s="42" t="s">
        <v>684</v>
      </c>
      <c r="E703" s="42" t="s">
        <v>328</v>
      </c>
      <c r="F703" s="7"/>
      <c r="G703" s="7"/>
      <c r="H703" s="7"/>
      <c r="I703" s="7"/>
      <c r="J703" s="7"/>
      <c r="K703" s="7"/>
      <c r="L703" s="7"/>
      <c r="M703" s="7" t="e">
        <f t="shared" si="386"/>
        <v>#DIV/0!</v>
      </c>
    </row>
    <row r="704" spans="1:13" ht="31.5" hidden="1" customHeight="1">
      <c r="A704" s="31" t="s">
        <v>333</v>
      </c>
      <c r="B704" s="42" t="s">
        <v>352</v>
      </c>
      <c r="C704" s="42" t="s">
        <v>171</v>
      </c>
      <c r="D704" s="42" t="s">
        <v>685</v>
      </c>
      <c r="E704" s="42"/>
      <c r="F704" s="7">
        <f>F705</f>
        <v>0</v>
      </c>
      <c r="G704" s="7">
        <f t="shared" ref="G704:L705" si="415">G705</f>
        <v>0</v>
      </c>
      <c r="H704" s="7">
        <f t="shared" si="415"/>
        <v>0</v>
      </c>
      <c r="I704" s="7">
        <f t="shared" si="415"/>
        <v>0</v>
      </c>
      <c r="J704" s="7">
        <f t="shared" si="415"/>
        <v>0</v>
      </c>
      <c r="K704" s="7">
        <f t="shared" si="415"/>
        <v>0</v>
      </c>
      <c r="L704" s="7">
        <f t="shared" si="415"/>
        <v>0</v>
      </c>
      <c r="M704" s="7" t="e">
        <f t="shared" si="386"/>
        <v>#DIV/0!</v>
      </c>
    </row>
    <row r="705" spans="1:13" ht="47.25" hidden="1" customHeight="1">
      <c r="A705" s="31" t="s">
        <v>325</v>
      </c>
      <c r="B705" s="42" t="s">
        <v>352</v>
      </c>
      <c r="C705" s="42" t="s">
        <v>171</v>
      </c>
      <c r="D705" s="42" t="s">
        <v>685</v>
      </c>
      <c r="E705" s="42" t="s">
        <v>326</v>
      </c>
      <c r="F705" s="7">
        <f>F706</f>
        <v>0</v>
      </c>
      <c r="G705" s="7">
        <f t="shared" si="415"/>
        <v>0</v>
      </c>
      <c r="H705" s="7">
        <f t="shared" si="415"/>
        <v>0</v>
      </c>
      <c r="I705" s="7">
        <f t="shared" si="415"/>
        <v>0</v>
      </c>
      <c r="J705" s="7">
        <f t="shared" si="415"/>
        <v>0</v>
      </c>
      <c r="K705" s="7">
        <f t="shared" si="415"/>
        <v>0</v>
      </c>
      <c r="L705" s="7">
        <f t="shared" si="415"/>
        <v>0</v>
      </c>
      <c r="M705" s="7" t="e">
        <f t="shared" si="386"/>
        <v>#DIV/0!</v>
      </c>
    </row>
    <row r="706" spans="1:13" ht="15.75" hidden="1" customHeight="1">
      <c r="A706" s="31" t="s">
        <v>327</v>
      </c>
      <c r="B706" s="42" t="s">
        <v>352</v>
      </c>
      <c r="C706" s="42" t="s">
        <v>171</v>
      </c>
      <c r="D706" s="42" t="s">
        <v>685</v>
      </c>
      <c r="E706" s="42" t="s">
        <v>328</v>
      </c>
      <c r="F706" s="7"/>
      <c r="G706" s="7"/>
      <c r="H706" s="7"/>
      <c r="I706" s="7"/>
      <c r="J706" s="7"/>
      <c r="K706" s="7"/>
      <c r="L706" s="7"/>
      <c r="M706" s="7" t="e">
        <f t="shared" si="386"/>
        <v>#DIV/0!</v>
      </c>
    </row>
    <row r="707" spans="1:13" ht="31.5" hidden="1" customHeight="1">
      <c r="A707" s="31" t="s">
        <v>337</v>
      </c>
      <c r="B707" s="42" t="s">
        <v>352</v>
      </c>
      <c r="C707" s="42" t="s">
        <v>171</v>
      </c>
      <c r="D707" s="42" t="s">
        <v>686</v>
      </c>
      <c r="E707" s="42"/>
      <c r="F707" s="7">
        <f>F708</f>
        <v>0</v>
      </c>
      <c r="G707" s="7">
        <f t="shared" ref="G707:L708" si="416">G708</f>
        <v>0</v>
      </c>
      <c r="H707" s="7">
        <f t="shared" si="416"/>
        <v>0</v>
      </c>
      <c r="I707" s="7">
        <f t="shared" si="416"/>
        <v>0</v>
      </c>
      <c r="J707" s="7">
        <f t="shared" si="416"/>
        <v>0</v>
      </c>
      <c r="K707" s="7">
        <f t="shared" si="416"/>
        <v>0</v>
      </c>
      <c r="L707" s="7">
        <f t="shared" si="416"/>
        <v>0</v>
      </c>
      <c r="M707" s="7" t="e">
        <f t="shared" si="386"/>
        <v>#DIV/0!</v>
      </c>
    </row>
    <row r="708" spans="1:13" ht="47.25" hidden="1" customHeight="1">
      <c r="A708" s="31" t="s">
        <v>325</v>
      </c>
      <c r="B708" s="42" t="s">
        <v>352</v>
      </c>
      <c r="C708" s="42" t="s">
        <v>171</v>
      </c>
      <c r="D708" s="42" t="s">
        <v>686</v>
      </c>
      <c r="E708" s="42" t="s">
        <v>326</v>
      </c>
      <c r="F708" s="7">
        <f>F709</f>
        <v>0</v>
      </c>
      <c r="G708" s="7">
        <f t="shared" si="416"/>
        <v>0</v>
      </c>
      <c r="H708" s="7">
        <f t="shared" si="416"/>
        <v>0</v>
      </c>
      <c r="I708" s="7">
        <f t="shared" si="416"/>
        <v>0</v>
      </c>
      <c r="J708" s="7">
        <f t="shared" si="416"/>
        <v>0</v>
      </c>
      <c r="K708" s="7">
        <f t="shared" si="416"/>
        <v>0</v>
      </c>
      <c r="L708" s="7">
        <f t="shared" si="416"/>
        <v>0</v>
      </c>
      <c r="M708" s="7" t="e">
        <f t="shared" si="386"/>
        <v>#DIV/0!</v>
      </c>
    </row>
    <row r="709" spans="1:13" ht="15.75" hidden="1" customHeight="1">
      <c r="A709" s="31" t="s">
        <v>327</v>
      </c>
      <c r="B709" s="42" t="s">
        <v>352</v>
      </c>
      <c r="C709" s="42" t="s">
        <v>171</v>
      </c>
      <c r="D709" s="42" t="s">
        <v>686</v>
      </c>
      <c r="E709" s="42" t="s">
        <v>328</v>
      </c>
      <c r="F709" s="7"/>
      <c r="G709" s="7"/>
      <c r="H709" s="7"/>
      <c r="I709" s="7"/>
      <c r="J709" s="7"/>
      <c r="K709" s="7"/>
      <c r="L709" s="7"/>
      <c r="M709" s="7" t="e">
        <f t="shared" si="386"/>
        <v>#DIV/0!</v>
      </c>
    </row>
    <row r="710" spans="1:13" ht="31.5" hidden="1" customHeight="1">
      <c r="A710" s="70" t="s">
        <v>374</v>
      </c>
      <c r="B710" s="42" t="s">
        <v>352</v>
      </c>
      <c r="C710" s="42" t="s">
        <v>171</v>
      </c>
      <c r="D710" s="42" t="s">
        <v>375</v>
      </c>
      <c r="E710" s="42"/>
      <c r="F710" s="7">
        <f>F711</f>
        <v>0</v>
      </c>
      <c r="G710" s="7">
        <f t="shared" ref="G710:L710" si="417">G711</f>
        <v>0</v>
      </c>
      <c r="H710" s="7">
        <f t="shared" si="417"/>
        <v>0</v>
      </c>
      <c r="I710" s="7">
        <f t="shared" si="417"/>
        <v>0</v>
      </c>
      <c r="J710" s="7">
        <f t="shared" si="417"/>
        <v>0</v>
      </c>
      <c r="K710" s="7">
        <f t="shared" si="417"/>
        <v>0</v>
      </c>
      <c r="L710" s="7">
        <f t="shared" si="417"/>
        <v>0</v>
      </c>
      <c r="M710" s="7" t="e">
        <f t="shared" si="386"/>
        <v>#DIV/0!</v>
      </c>
    </row>
    <row r="711" spans="1:13" ht="47.25" hidden="1" customHeight="1">
      <c r="A711" s="31" t="s">
        <v>325</v>
      </c>
      <c r="B711" s="42" t="s">
        <v>352</v>
      </c>
      <c r="C711" s="42" t="s">
        <v>171</v>
      </c>
      <c r="D711" s="42" t="s">
        <v>375</v>
      </c>
      <c r="E711" s="42" t="s">
        <v>326</v>
      </c>
      <c r="F711" s="7">
        <f>F715</f>
        <v>0</v>
      </c>
      <c r="G711" s="7">
        <f t="shared" ref="G711:K711" si="418">G715</f>
        <v>0</v>
      </c>
      <c r="H711" s="7">
        <f t="shared" si="418"/>
        <v>0</v>
      </c>
      <c r="I711" s="7">
        <f t="shared" si="418"/>
        <v>0</v>
      </c>
      <c r="J711" s="7">
        <f t="shared" si="418"/>
        <v>0</v>
      </c>
      <c r="K711" s="7">
        <f t="shared" si="418"/>
        <v>0</v>
      </c>
      <c r="L711" s="7">
        <f t="shared" ref="L711" si="419">L715</f>
        <v>0</v>
      </c>
      <c r="M711" s="7" t="e">
        <f t="shared" si="386"/>
        <v>#DIV/0!</v>
      </c>
    </row>
    <row r="712" spans="1:13" ht="15.75">
      <c r="A712" s="26" t="s">
        <v>767</v>
      </c>
      <c r="B712" s="42" t="s">
        <v>352</v>
      </c>
      <c r="C712" s="42" t="s">
        <v>171</v>
      </c>
      <c r="D712" s="21" t="s">
        <v>768</v>
      </c>
      <c r="E712" s="42"/>
      <c r="F712" s="7">
        <f>F713</f>
        <v>0.4</v>
      </c>
      <c r="G712" s="7">
        <f t="shared" ref="G712:L713" si="420">G713</f>
        <v>0.4</v>
      </c>
      <c r="H712" s="7">
        <f t="shared" si="420"/>
        <v>0</v>
      </c>
      <c r="I712" s="7">
        <f t="shared" si="420"/>
        <v>0</v>
      </c>
      <c r="J712" s="7">
        <f t="shared" si="420"/>
        <v>0</v>
      </c>
      <c r="K712" s="7">
        <f t="shared" si="420"/>
        <v>0.5</v>
      </c>
      <c r="L712" s="7">
        <f t="shared" si="420"/>
        <v>0</v>
      </c>
      <c r="M712" s="7">
        <f t="shared" si="386"/>
        <v>0</v>
      </c>
    </row>
    <row r="713" spans="1:13" ht="47.25">
      <c r="A713" s="26" t="s">
        <v>325</v>
      </c>
      <c r="B713" s="42" t="s">
        <v>352</v>
      </c>
      <c r="C713" s="42" t="s">
        <v>171</v>
      </c>
      <c r="D713" s="21" t="s">
        <v>768</v>
      </c>
      <c r="E713" s="42" t="s">
        <v>326</v>
      </c>
      <c r="F713" s="7">
        <f>F714</f>
        <v>0.4</v>
      </c>
      <c r="G713" s="7">
        <f t="shared" si="420"/>
        <v>0.4</v>
      </c>
      <c r="H713" s="7">
        <f t="shared" si="420"/>
        <v>0</v>
      </c>
      <c r="I713" s="7">
        <f t="shared" si="420"/>
        <v>0</v>
      </c>
      <c r="J713" s="7">
        <f t="shared" si="420"/>
        <v>0</v>
      </c>
      <c r="K713" s="7">
        <f t="shared" si="420"/>
        <v>0.5</v>
      </c>
      <c r="L713" s="7">
        <f t="shared" si="420"/>
        <v>0</v>
      </c>
      <c r="M713" s="7">
        <f t="shared" si="386"/>
        <v>0</v>
      </c>
    </row>
    <row r="714" spans="1:13" ht="15.75">
      <c r="A714" s="26" t="s">
        <v>327</v>
      </c>
      <c r="B714" s="42" t="s">
        <v>352</v>
      </c>
      <c r="C714" s="42" t="s">
        <v>171</v>
      </c>
      <c r="D714" s="21" t="s">
        <v>768</v>
      </c>
      <c r="E714" s="42" t="s">
        <v>328</v>
      </c>
      <c r="F714" s="7">
        <f>'Прил.№4 ведомств.'!G371</f>
        <v>0.4</v>
      </c>
      <c r="G714" s="7">
        <f>'Прил.№4 ведомств.'!I371</f>
        <v>0.4</v>
      </c>
      <c r="H714" s="7">
        <f>'Прил.№4 ведомств.'!J371</f>
        <v>0</v>
      </c>
      <c r="I714" s="7">
        <f>'Прил.№4 ведомств.'!K371</f>
        <v>0</v>
      </c>
      <c r="J714" s="7">
        <f>'Прил.№4 ведомств.'!L371</f>
        <v>0</v>
      </c>
      <c r="K714" s="7">
        <f>'Прил.№4 ведомств.'!M371</f>
        <v>0.5</v>
      </c>
      <c r="L714" s="7">
        <f>'Прил.№4 ведомств.'!N371</f>
        <v>0</v>
      </c>
      <c r="M714" s="7">
        <f t="shared" si="386"/>
        <v>0</v>
      </c>
    </row>
    <row r="715" spans="1:13" ht="15.75" hidden="1">
      <c r="A715" s="31" t="s">
        <v>327</v>
      </c>
      <c r="B715" s="42" t="s">
        <v>352</v>
      </c>
      <c r="C715" s="42" t="s">
        <v>171</v>
      </c>
      <c r="D715" s="42" t="s">
        <v>375</v>
      </c>
      <c r="E715" s="42" t="s">
        <v>328</v>
      </c>
      <c r="F715" s="7"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 t="e">
        <f t="shared" si="386"/>
        <v>#DIV/0!</v>
      </c>
    </row>
    <row r="716" spans="1:13" ht="31.5" hidden="1">
      <c r="A716" s="26" t="s">
        <v>337</v>
      </c>
      <c r="B716" s="21" t="s">
        <v>352</v>
      </c>
      <c r="C716" s="21" t="s">
        <v>171</v>
      </c>
      <c r="D716" s="21" t="s">
        <v>373</v>
      </c>
      <c r="E716" s="21"/>
      <c r="F716" s="7">
        <f>F717</f>
        <v>0</v>
      </c>
      <c r="G716" s="7">
        <f t="shared" ref="G716:L717" si="421">G717</f>
        <v>0</v>
      </c>
      <c r="H716" s="7">
        <f t="shared" si="421"/>
        <v>275</v>
      </c>
      <c r="I716" s="7">
        <f t="shared" si="421"/>
        <v>275</v>
      </c>
      <c r="J716" s="7">
        <f t="shared" si="421"/>
        <v>275</v>
      </c>
      <c r="K716" s="7">
        <f t="shared" si="421"/>
        <v>0</v>
      </c>
      <c r="L716" s="7">
        <f t="shared" si="421"/>
        <v>0</v>
      </c>
      <c r="M716" s="7" t="e">
        <f t="shared" si="386"/>
        <v>#DIV/0!</v>
      </c>
    </row>
    <row r="717" spans="1:13" ht="47.25" hidden="1">
      <c r="A717" s="26" t="s">
        <v>325</v>
      </c>
      <c r="B717" s="21" t="s">
        <v>352</v>
      </c>
      <c r="C717" s="21" t="s">
        <v>171</v>
      </c>
      <c r="D717" s="21" t="s">
        <v>373</v>
      </c>
      <c r="E717" s="21" t="s">
        <v>326</v>
      </c>
      <c r="F717" s="7">
        <f>F718</f>
        <v>0</v>
      </c>
      <c r="G717" s="7">
        <f t="shared" si="421"/>
        <v>0</v>
      </c>
      <c r="H717" s="7">
        <f t="shared" si="421"/>
        <v>275</v>
      </c>
      <c r="I717" s="7">
        <f t="shared" si="421"/>
        <v>275</v>
      </c>
      <c r="J717" s="7">
        <f t="shared" si="421"/>
        <v>275</v>
      </c>
      <c r="K717" s="7">
        <f t="shared" si="421"/>
        <v>0</v>
      </c>
      <c r="L717" s="7">
        <f t="shared" si="421"/>
        <v>0</v>
      </c>
      <c r="M717" s="7" t="e">
        <f t="shared" ref="M717:M780" si="422">L717/K717*100</f>
        <v>#DIV/0!</v>
      </c>
    </row>
    <row r="718" spans="1:13" ht="15.75" hidden="1">
      <c r="A718" s="26" t="s">
        <v>327</v>
      </c>
      <c r="B718" s="21" t="s">
        <v>352</v>
      </c>
      <c r="C718" s="21" t="s">
        <v>171</v>
      </c>
      <c r="D718" s="21" t="s">
        <v>373</v>
      </c>
      <c r="E718" s="21" t="s">
        <v>328</v>
      </c>
      <c r="F718" s="7">
        <f>'Прил.№4 ведомств.'!G383</f>
        <v>0</v>
      </c>
      <c r="G718" s="7">
        <f>'Прил.№4 ведомств.'!I383</f>
        <v>0</v>
      </c>
      <c r="H718" s="7">
        <f>'Прил.№4 ведомств.'!J383</f>
        <v>275</v>
      </c>
      <c r="I718" s="7">
        <f>'Прил.№4 ведомств.'!K383</f>
        <v>275</v>
      </c>
      <c r="J718" s="7">
        <f>'Прил.№4 ведомств.'!L383</f>
        <v>275</v>
      </c>
      <c r="K718" s="7">
        <f>'Прил.№4 ведомств.'!M383</f>
        <v>0</v>
      </c>
      <c r="L718" s="7">
        <f>'Прил.№4 ведомств.'!N383</f>
        <v>0</v>
      </c>
      <c r="M718" s="7" t="e">
        <f t="shared" si="422"/>
        <v>#DIV/0!</v>
      </c>
    </row>
    <row r="719" spans="1:13" ht="31.5" hidden="1">
      <c r="A719" s="37" t="s">
        <v>374</v>
      </c>
      <c r="B719" s="21" t="s">
        <v>352</v>
      </c>
      <c r="C719" s="21" t="s">
        <v>171</v>
      </c>
      <c r="D719" s="21" t="s">
        <v>375</v>
      </c>
      <c r="E719" s="21"/>
      <c r="F719" s="7"/>
      <c r="G719" s="7"/>
      <c r="H719" s="7"/>
      <c r="I719" s="7"/>
      <c r="J719" s="7"/>
      <c r="K719" s="7"/>
      <c r="L719" s="7"/>
      <c r="M719" s="7" t="e">
        <f t="shared" si="422"/>
        <v>#DIV/0!</v>
      </c>
    </row>
    <row r="720" spans="1:13" ht="47.25" hidden="1">
      <c r="A720" s="26" t="s">
        <v>325</v>
      </c>
      <c r="B720" s="21" t="s">
        <v>352</v>
      </c>
      <c r="C720" s="21" t="s">
        <v>171</v>
      </c>
      <c r="D720" s="21" t="s">
        <v>375</v>
      </c>
      <c r="E720" s="21" t="s">
        <v>326</v>
      </c>
      <c r="F720" s="7"/>
      <c r="G720" s="7"/>
      <c r="H720" s="7"/>
      <c r="I720" s="7"/>
      <c r="J720" s="7"/>
      <c r="K720" s="7"/>
      <c r="L720" s="7"/>
      <c r="M720" s="7" t="e">
        <f t="shared" si="422"/>
        <v>#DIV/0!</v>
      </c>
    </row>
    <row r="721" spans="1:13" ht="15.75" hidden="1">
      <c r="A721" s="26" t="s">
        <v>327</v>
      </c>
      <c r="B721" s="21" t="s">
        <v>352</v>
      </c>
      <c r="C721" s="21" t="s">
        <v>171</v>
      </c>
      <c r="D721" s="21" t="s">
        <v>375</v>
      </c>
      <c r="E721" s="21" t="s">
        <v>328</v>
      </c>
      <c r="F721" s="7"/>
      <c r="G721" s="7"/>
      <c r="H721" s="7"/>
      <c r="I721" s="7"/>
      <c r="J721" s="7"/>
      <c r="K721" s="7"/>
      <c r="L721" s="7"/>
      <c r="M721" s="7" t="e">
        <f t="shared" si="422"/>
        <v>#DIV/0!</v>
      </c>
    </row>
    <row r="722" spans="1:13" ht="31.5">
      <c r="A722" s="209" t="s">
        <v>871</v>
      </c>
      <c r="B722" s="21" t="s">
        <v>352</v>
      </c>
      <c r="C722" s="21" t="s">
        <v>171</v>
      </c>
      <c r="D722" s="21" t="s">
        <v>884</v>
      </c>
      <c r="E722" s="21"/>
      <c r="F722" s="7">
        <f>F723</f>
        <v>0</v>
      </c>
      <c r="G722" s="7">
        <f t="shared" ref="G722:L723" si="423">G723</f>
        <v>0</v>
      </c>
      <c r="H722" s="7">
        <f t="shared" si="423"/>
        <v>650.20000000000005</v>
      </c>
      <c r="I722" s="7">
        <f t="shared" si="423"/>
        <v>650.20000000000005</v>
      </c>
      <c r="J722" s="7">
        <f t="shared" si="423"/>
        <v>650.20000000000005</v>
      </c>
      <c r="K722" s="7">
        <f t="shared" si="423"/>
        <v>650.20000000000005</v>
      </c>
      <c r="L722" s="7">
        <f t="shared" si="423"/>
        <v>650.20000000000005</v>
      </c>
      <c r="M722" s="7">
        <f t="shared" si="422"/>
        <v>100</v>
      </c>
    </row>
    <row r="723" spans="1:13" ht="47.25">
      <c r="A723" s="110" t="s">
        <v>325</v>
      </c>
      <c r="B723" s="21" t="s">
        <v>352</v>
      </c>
      <c r="C723" s="21" t="s">
        <v>171</v>
      </c>
      <c r="D723" s="21" t="s">
        <v>884</v>
      </c>
      <c r="E723" s="21" t="s">
        <v>326</v>
      </c>
      <c r="F723" s="7">
        <f>F724</f>
        <v>0</v>
      </c>
      <c r="G723" s="7">
        <f t="shared" si="423"/>
        <v>0</v>
      </c>
      <c r="H723" s="7">
        <f t="shared" si="423"/>
        <v>650.20000000000005</v>
      </c>
      <c r="I723" s="7">
        <f t="shared" si="423"/>
        <v>650.20000000000005</v>
      </c>
      <c r="J723" s="7">
        <f t="shared" si="423"/>
        <v>650.20000000000005</v>
      </c>
      <c r="K723" s="7">
        <f t="shared" si="423"/>
        <v>650.20000000000005</v>
      </c>
      <c r="L723" s="7">
        <f t="shared" si="423"/>
        <v>650.20000000000005</v>
      </c>
      <c r="M723" s="7">
        <f t="shared" si="422"/>
        <v>100</v>
      </c>
    </row>
    <row r="724" spans="1:13" ht="15.75">
      <c r="A724" s="210" t="s">
        <v>327</v>
      </c>
      <c r="B724" s="21" t="s">
        <v>352</v>
      </c>
      <c r="C724" s="21" t="s">
        <v>171</v>
      </c>
      <c r="D724" s="21" t="s">
        <v>884</v>
      </c>
      <c r="E724" s="21" t="s">
        <v>328</v>
      </c>
      <c r="F724" s="7">
        <f>'Прил.№4 ведомств.'!G389</f>
        <v>0</v>
      </c>
      <c r="G724" s="7">
        <f>'Прил.№4 ведомств.'!I389</f>
        <v>0</v>
      </c>
      <c r="H724" s="7">
        <f>'Прил.№4 ведомств.'!J389</f>
        <v>650.20000000000005</v>
      </c>
      <c r="I724" s="7">
        <f>'Прил.№4 ведомств.'!K389</f>
        <v>650.20000000000005</v>
      </c>
      <c r="J724" s="7">
        <f>'Прил.№4 ведомств.'!L389</f>
        <v>650.20000000000005</v>
      </c>
      <c r="K724" s="7">
        <f>'Прил.№4 ведомств.'!M389</f>
        <v>650.20000000000005</v>
      </c>
      <c r="L724" s="7">
        <f>'Прил.№4 ведомств.'!N389</f>
        <v>650.20000000000005</v>
      </c>
      <c r="M724" s="7">
        <f t="shared" si="422"/>
        <v>100</v>
      </c>
    </row>
    <row r="725" spans="1:13" ht="63" hidden="1">
      <c r="A725" s="31" t="s">
        <v>376</v>
      </c>
      <c r="B725" s="42" t="s">
        <v>352</v>
      </c>
      <c r="C725" s="42" t="s">
        <v>171</v>
      </c>
      <c r="D725" s="42" t="s">
        <v>377</v>
      </c>
      <c r="E725" s="21"/>
      <c r="F725" s="7">
        <f>F726</f>
        <v>200</v>
      </c>
      <c r="G725" s="7">
        <f t="shared" ref="G725:L727" si="424">G726</f>
        <v>200</v>
      </c>
      <c r="H725" s="7">
        <f t="shared" si="424"/>
        <v>0</v>
      </c>
      <c r="I725" s="7">
        <f t="shared" si="424"/>
        <v>0</v>
      </c>
      <c r="J725" s="7">
        <f t="shared" si="424"/>
        <v>0</v>
      </c>
      <c r="K725" s="7">
        <f t="shared" si="424"/>
        <v>0</v>
      </c>
      <c r="L725" s="7">
        <f t="shared" si="424"/>
        <v>0</v>
      </c>
      <c r="M725" s="7" t="e">
        <f t="shared" si="422"/>
        <v>#DIV/0!</v>
      </c>
    </row>
    <row r="726" spans="1:13" ht="47.25" hidden="1">
      <c r="A726" s="26" t="s">
        <v>687</v>
      </c>
      <c r="B726" s="42" t="s">
        <v>352</v>
      </c>
      <c r="C726" s="42" t="s">
        <v>171</v>
      </c>
      <c r="D726" s="42" t="s">
        <v>379</v>
      </c>
      <c r="E726" s="21"/>
      <c r="F726" s="7">
        <f>F727</f>
        <v>200</v>
      </c>
      <c r="G726" s="7">
        <f t="shared" si="424"/>
        <v>200</v>
      </c>
      <c r="H726" s="7">
        <f t="shared" si="424"/>
        <v>0</v>
      </c>
      <c r="I726" s="7">
        <f t="shared" si="424"/>
        <v>0</v>
      </c>
      <c r="J726" s="7">
        <f t="shared" si="424"/>
        <v>0</v>
      </c>
      <c r="K726" s="7">
        <f t="shared" si="424"/>
        <v>0</v>
      </c>
      <c r="L726" s="7">
        <f t="shared" si="424"/>
        <v>0</v>
      </c>
      <c r="M726" s="7" t="e">
        <f t="shared" si="422"/>
        <v>#DIV/0!</v>
      </c>
    </row>
    <row r="727" spans="1:13" ht="47.25" hidden="1">
      <c r="A727" s="31" t="s">
        <v>325</v>
      </c>
      <c r="B727" s="42" t="s">
        <v>352</v>
      </c>
      <c r="C727" s="42" t="s">
        <v>171</v>
      </c>
      <c r="D727" s="42" t="s">
        <v>379</v>
      </c>
      <c r="E727" s="21" t="s">
        <v>326</v>
      </c>
      <c r="F727" s="7">
        <f>F728</f>
        <v>200</v>
      </c>
      <c r="G727" s="7">
        <f t="shared" si="424"/>
        <v>200</v>
      </c>
      <c r="H727" s="7">
        <f t="shared" si="424"/>
        <v>0</v>
      </c>
      <c r="I727" s="7">
        <f t="shared" si="424"/>
        <v>0</v>
      </c>
      <c r="J727" s="7">
        <f t="shared" si="424"/>
        <v>0</v>
      </c>
      <c r="K727" s="7">
        <f t="shared" si="424"/>
        <v>0</v>
      </c>
      <c r="L727" s="7">
        <f t="shared" si="424"/>
        <v>0</v>
      </c>
      <c r="M727" s="7" t="e">
        <f t="shared" si="422"/>
        <v>#DIV/0!</v>
      </c>
    </row>
    <row r="728" spans="1:13" ht="15.75" hidden="1">
      <c r="A728" s="31" t="s">
        <v>327</v>
      </c>
      <c r="B728" s="42" t="s">
        <v>352</v>
      </c>
      <c r="C728" s="42" t="s">
        <v>171</v>
      </c>
      <c r="D728" s="42" t="s">
        <v>379</v>
      </c>
      <c r="E728" s="21" t="s">
        <v>328</v>
      </c>
      <c r="F728" s="7">
        <f>'Прил.№4 ведомств.'!G393</f>
        <v>200</v>
      </c>
      <c r="G728" s="7">
        <f>'Прил.№4 ведомств.'!I393</f>
        <v>200</v>
      </c>
      <c r="H728" s="7">
        <f>'Прил.№4 ведомств.'!J393</f>
        <v>0</v>
      </c>
      <c r="I728" s="7">
        <f>'Прил.№4 ведомств.'!K393</f>
        <v>0</v>
      </c>
      <c r="J728" s="7">
        <f>'Прил.№4 ведомств.'!L393</f>
        <v>0</v>
      </c>
      <c r="K728" s="7">
        <f>'Прил.№4 ведомств.'!M393</f>
        <v>0</v>
      </c>
      <c r="L728" s="7">
        <f>'Прил.№4 ведомств.'!N393</f>
        <v>0</v>
      </c>
      <c r="M728" s="7" t="e">
        <f t="shared" si="422"/>
        <v>#DIV/0!</v>
      </c>
    </row>
    <row r="729" spans="1:13" ht="15.75">
      <c r="A729" s="31" t="s">
        <v>174</v>
      </c>
      <c r="B729" s="42" t="s">
        <v>352</v>
      </c>
      <c r="C729" s="42" t="s">
        <v>171</v>
      </c>
      <c r="D729" s="42" t="s">
        <v>175</v>
      </c>
      <c r="E729" s="42"/>
      <c r="F729" s="7">
        <f>F730</f>
        <v>2137.9</v>
      </c>
      <c r="G729" s="7">
        <f t="shared" ref="G729:L729" si="425">G730</f>
        <v>2137.9</v>
      </c>
      <c r="H729" s="7">
        <f t="shared" si="425"/>
        <v>2133.9</v>
      </c>
      <c r="I729" s="7">
        <f t="shared" si="425"/>
        <v>2133.9</v>
      </c>
      <c r="J729" s="7">
        <f t="shared" si="425"/>
        <v>2133.9</v>
      </c>
      <c r="K729" s="7">
        <f t="shared" si="425"/>
        <v>2084.3000000000002</v>
      </c>
      <c r="L729" s="7">
        <f t="shared" si="425"/>
        <v>391.6</v>
      </c>
      <c r="M729" s="7">
        <f t="shared" si="422"/>
        <v>18.788082329798971</v>
      </c>
    </row>
    <row r="730" spans="1:13" ht="31.5">
      <c r="A730" s="31" t="s">
        <v>238</v>
      </c>
      <c r="B730" s="42" t="s">
        <v>352</v>
      </c>
      <c r="C730" s="42" t="s">
        <v>171</v>
      </c>
      <c r="D730" s="42" t="s">
        <v>239</v>
      </c>
      <c r="E730" s="42"/>
      <c r="F730" s="7">
        <f>F733+F735+F738+F740+F743+F744+F747</f>
        <v>2137.9</v>
      </c>
      <c r="G730" s="7">
        <f t="shared" ref="G730:K730" si="426">G733+G735+G738+G740+G743+G744+G747</f>
        <v>2137.9</v>
      </c>
      <c r="H730" s="7">
        <f t="shared" si="426"/>
        <v>2133.9</v>
      </c>
      <c r="I730" s="7">
        <f t="shared" si="426"/>
        <v>2133.9</v>
      </c>
      <c r="J730" s="7">
        <f t="shared" si="426"/>
        <v>2133.9</v>
      </c>
      <c r="K730" s="7">
        <f t="shared" si="426"/>
        <v>2084.3000000000002</v>
      </c>
      <c r="L730" s="7">
        <f t="shared" ref="L730" si="427">L733+L735+L738+L740+L743+L744+L747</f>
        <v>391.6</v>
      </c>
      <c r="M730" s="7">
        <f t="shared" si="422"/>
        <v>18.788082329798971</v>
      </c>
    </row>
    <row r="731" spans="1:13" ht="31.5" hidden="1" customHeight="1">
      <c r="A731" s="69" t="s">
        <v>380</v>
      </c>
      <c r="B731" s="42" t="s">
        <v>352</v>
      </c>
      <c r="C731" s="42" t="s">
        <v>171</v>
      </c>
      <c r="D731" s="42" t="s">
        <v>381</v>
      </c>
      <c r="E731" s="42"/>
      <c r="F731" s="7">
        <f>F732+F734</f>
        <v>0</v>
      </c>
      <c r="G731" s="7">
        <f t="shared" ref="G731:K731" si="428">G732+G734</f>
        <v>0</v>
      </c>
      <c r="H731" s="7">
        <f t="shared" si="428"/>
        <v>0</v>
      </c>
      <c r="I731" s="7">
        <f t="shared" si="428"/>
        <v>0</v>
      </c>
      <c r="J731" s="7">
        <f t="shared" si="428"/>
        <v>0</v>
      </c>
      <c r="K731" s="7">
        <f t="shared" si="428"/>
        <v>0</v>
      </c>
      <c r="L731" s="7">
        <f t="shared" ref="L731" si="429">L732+L734</f>
        <v>0</v>
      </c>
      <c r="M731" s="7" t="e">
        <f t="shared" si="422"/>
        <v>#DIV/0!</v>
      </c>
    </row>
    <row r="732" spans="1:13" ht="31.5" hidden="1" customHeight="1">
      <c r="A732" s="31" t="s">
        <v>184</v>
      </c>
      <c r="B732" s="42" t="s">
        <v>352</v>
      </c>
      <c r="C732" s="42" t="s">
        <v>171</v>
      </c>
      <c r="D732" s="42" t="s">
        <v>381</v>
      </c>
      <c r="E732" s="42" t="s">
        <v>185</v>
      </c>
      <c r="F732" s="7">
        <f>F733</f>
        <v>0</v>
      </c>
      <c r="G732" s="7">
        <f t="shared" ref="G732:L732" si="430">G733</f>
        <v>0</v>
      </c>
      <c r="H732" s="7">
        <f t="shared" si="430"/>
        <v>0</v>
      </c>
      <c r="I732" s="7">
        <f t="shared" si="430"/>
        <v>0</v>
      </c>
      <c r="J732" s="7">
        <f t="shared" si="430"/>
        <v>0</v>
      </c>
      <c r="K732" s="7">
        <f t="shared" si="430"/>
        <v>0</v>
      </c>
      <c r="L732" s="7">
        <f t="shared" si="430"/>
        <v>0</v>
      </c>
      <c r="M732" s="7" t="e">
        <f t="shared" si="422"/>
        <v>#DIV/0!</v>
      </c>
    </row>
    <row r="733" spans="1:13" ht="47.25" hidden="1" customHeight="1">
      <c r="A733" s="31" t="s">
        <v>186</v>
      </c>
      <c r="B733" s="42" t="s">
        <v>352</v>
      </c>
      <c r="C733" s="42" t="s">
        <v>171</v>
      </c>
      <c r="D733" s="42" t="s">
        <v>381</v>
      </c>
      <c r="E733" s="42" t="s">
        <v>187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 t="e">
        <f t="shared" si="422"/>
        <v>#DIV/0!</v>
      </c>
    </row>
    <row r="734" spans="1:13" ht="47.25" hidden="1" customHeight="1">
      <c r="A734" s="31" t="s">
        <v>325</v>
      </c>
      <c r="B734" s="42" t="s">
        <v>352</v>
      </c>
      <c r="C734" s="42" t="s">
        <v>171</v>
      </c>
      <c r="D734" s="42" t="s">
        <v>381</v>
      </c>
      <c r="E734" s="42" t="s">
        <v>326</v>
      </c>
      <c r="F734" s="7">
        <f>F735</f>
        <v>0</v>
      </c>
      <c r="G734" s="7">
        <f t="shared" ref="G734:L734" si="431">G735</f>
        <v>0</v>
      </c>
      <c r="H734" s="7">
        <f t="shared" si="431"/>
        <v>0</v>
      </c>
      <c r="I734" s="7">
        <f t="shared" si="431"/>
        <v>0</v>
      </c>
      <c r="J734" s="7">
        <f t="shared" si="431"/>
        <v>0</v>
      </c>
      <c r="K734" s="7">
        <f t="shared" si="431"/>
        <v>0</v>
      </c>
      <c r="L734" s="7">
        <f t="shared" si="431"/>
        <v>0</v>
      </c>
      <c r="M734" s="7" t="e">
        <f t="shared" si="422"/>
        <v>#DIV/0!</v>
      </c>
    </row>
    <row r="735" spans="1:13" ht="15.75" hidden="1" customHeight="1">
      <c r="A735" s="31" t="s">
        <v>327</v>
      </c>
      <c r="B735" s="42" t="s">
        <v>352</v>
      </c>
      <c r="C735" s="42" t="s">
        <v>171</v>
      </c>
      <c r="D735" s="42" t="s">
        <v>381</v>
      </c>
      <c r="E735" s="42" t="s">
        <v>328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 t="e">
        <f t="shared" si="422"/>
        <v>#DIV/0!</v>
      </c>
    </row>
    <row r="736" spans="1:13" ht="31.5">
      <c r="A736" s="31" t="s">
        <v>368</v>
      </c>
      <c r="B736" s="42" t="s">
        <v>352</v>
      </c>
      <c r="C736" s="42" t="s">
        <v>171</v>
      </c>
      <c r="D736" s="42" t="s">
        <v>383</v>
      </c>
      <c r="E736" s="42"/>
      <c r="F736" s="7">
        <f>F739+F737</f>
        <v>177.3</v>
      </c>
      <c r="G736" s="7">
        <f t="shared" ref="G736:K736" si="432">G739+G737</f>
        <v>177.3</v>
      </c>
      <c r="H736" s="7">
        <f t="shared" si="432"/>
        <v>177.3</v>
      </c>
      <c r="I736" s="7">
        <f t="shared" si="432"/>
        <v>177.3</v>
      </c>
      <c r="J736" s="7">
        <f t="shared" si="432"/>
        <v>177.3</v>
      </c>
      <c r="K736" s="7">
        <f t="shared" si="432"/>
        <v>158.5</v>
      </c>
      <c r="L736" s="7">
        <f t="shared" ref="L736" si="433">L739+L737</f>
        <v>158.5</v>
      </c>
      <c r="M736" s="7">
        <f t="shared" si="422"/>
        <v>100</v>
      </c>
    </row>
    <row r="737" spans="1:13" ht="31.5" hidden="1" customHeight="1">
      <c r="A737" s="31" t="s">
        <v>184</v>
      </c>
      <c r="B737" s="42" t="s">
        <v>352</v>
      </c>
      <c r="C737" s="42" t="s">
        <v>171</v>
      </c>
      <c r="D737" s="42" t="s">
        <v>383</v>
      </c>
      <c r="E737" s="42" t="s">
        <v>185</v>
      </c>
      <c r="F737" s="7">
        <f>F738</f>
        <v>0</v>
      </c>
      <c r="G737" s="7">
        <f t="shared" ref="G737:L737" si="434">G738</f>
        <v>0</v>
      </c>
      <c r="H737" s="7">
        <f t="shared" si="434"/>
        <v>0</v>
      </c>
      <c r="I737" s="7">
        <f t="shared" si="434"/>
        <v>0</v>
      </c>
      <c r="J737" s="7">
        <f t="shared" si="434"/>
        <v>0</v>
      </c>
      <c r="K737" s="7">
        <f t="shared" si="434"/>
        <v>0</v>
      </c>
      <c r="L737" s="7">
        <f t="shared" si="434"/>
        <v>0</v>
      </c>
      <c r="M737" s="7" t="e">
        <f t="shared" si="422"/>
        <v>#DIV/0!</v>
      </c>
    </row>
    <row r="738" spans="1:13" ht="47.25" hidden="1" customHeight="1">
      <c r="A738" s="31" t="s">
        <v>186</v>
      </c>
      <c r="B738" s="42" t="s">
        <v>352</v>
      </c>
      <c r="C738" s="42" t="s">
        <v>171</v>
      </c>
      <c r="D738" s="42" t="s">
        <v>383</v>
      </c>
      <c r="E738" s="42" t="s">
        <v>187</v>
      </c>
      <c r="F738" s="7"/>
      <c r="G738" s="7"/>
      <c r="H738" s="7"/>
      <c r="I738" s="7"/>
      <c r="J738" s="7"/>
      <c r="K738" s="7"/>
      <c r="L738" s="7"/>
      <c r="M738" s="7" t="e">
        <f t="shared" si="422"/>
        <v>#DIV/0!</v>
      </c>
    </row>
    <row r="739" spans="1:13" ht="47.25">
      <c r="A739" s="31" t="s">
        <v>325</v>
      </c>
      <c r="B739" s="42" t="s">
        <v>352</v>
      </c>
      <c r="C739" s="42" t="s">
        <v>171</v>
      </c>
      <c r="D739" s="42" t="s">
        <v>383</v>
      </c>
      <c r="E739" s="42" t="s">
        <v>326</v>
      </c>
      <c r="F739" s="7">
        <f>F740</f>
        <v>177.3</v>
      </c>
      <c r="G739" s="7">
        <f t="shared" ref="G739:L739" si="435">G740</f>
        <v>177.3</v>
      </c>
      <c r="H739" s="7">
        <f t="shared" si="435"/>
        <v>177.3</v>
      </c>
      <c r="I739" s="7">
        <f t="shared" si="435"/>
        <v>177.3</v>
      </c>
      <c r="J739" s="7">
        <f t="shared" si="435"/>
        <v>177.3</v>
      </c>
      <c r="K739" s="7">
        <f t="shared" si="435"/>
        <v>158.5</v>
      </c>
      <c r="L739" s="7">
        <f t="shared" si="435"/>
        <v>158.5</v>
      </c>
      <c r="M739" s="7">
        <f t="shared" si="422"/>
        <v>100</v>
      </c>
    </row>
    <row r="740" spans="1:13" ht="15.75">
      <c r="A740" s="31" t="s">
        <v>327</v>
      </c>
      <c r="B740" s="42" t="s">
        <v>352</v>
      </c>
      <c r="C740" s="42" t="s">
        <v>171</v>
      </c>
      <c r="D740" s="42" t="s">
        <v>383</v>
      </c>
      <c r="E740" s="42" t="s">
        <v>328</v>
      </c>
      <c r="F740" s="7">
        <f>'Прил.№4 ведомств.'!G405</f>
        <v>177.3</v>
      </c>
      <c r="G740" s="7">
        <f>'Прил.№4 ведомств.'!I405</f>
        <v>177.3</v>
      </c>
      <c r="H740" s="7">
        <f>'Прил.№4 ведомств.'!J405</f>
        <v>177.3</v>
      </c>
      <c r="I740" s="7">
        <f>'Прил.№4 ведомств.'!K405</f>
        <v>177.3</v>
      </c>
      <c r="J740" s="7">
        <f>'Прил.№4 ведомств.'!L405</f>
        <v>177.3</v>
      </c>
      <c r="K740" s="7">
        <f>'Прил.№4 ведомств.'!M405</f>
        <v>158.5</v>
      </c>
      <c r="L740" s="7">
        <f>'Прил.№4 ведомств.'!N405</f>
        <v>158.5</v>
      </c>
      <c r="M740" s="7">
        <f t="shared" si="422"/>
        <v>100</v>
      </c>
    </row>
    <row r="741" spans="1:13" ht="94.5">
      <c r="A741" s="31" t="s">
        <v>688</v>
      </c>
      <c r="B741" s="42" t="s">
        <v>352</v>
      </c>
      <c r="C741" s="42" t="s">
        <v>171</v>
      </c>
      <c r="D741" s="42" t="s">
        <v>385</v>
      </c>
      <c r="E741" s="42"/>
      <c r="F741" s="7">
        <f>F742</f>
        <v>263.3</v>
      </c>
      <c r="G741" s="7">
        <f t="shared" ref="G741:L742" si="436">G742</f>
        <v>263.3</v>
      </c>
      <c r="H741" s="7">
        <f t="shared" si="436"/>
        <v>263.3</v>
      </c>
      <c r="I741" s="7">
        <f t="shared" si="436"/>
        <v>263.3</v>
      </c>
      <c r="J741" s="7">
        <f t="shared" si="436"/>
        <v>263.3</v>
      </c>
      <c r="K741" s="7">
        <f t="shared" si="436"/>
        <v>273.7</v>
      </c>
      <c r="L741" s="7">
        <f t="shared" si="436"/>
        <v>45.8</v>
      </c>
      <c r="M741" s="7">
        <f t="shared" si="422"/>
        <v>16.733649981731823</v>
      </c>
    </row>
    <row r="742" spans="1:13" ht="47.25">
      <c r="A742" s="31" t="s">
        <v>325</v>
      </c>
      <c r="B742" s="42" t="s">
        <v>352</v>
      </c>
      <c r="C742" s="42" t="s">
        <v>171</v>
      </c>
      <c r="D742" s="42" t="s">
        <v>385</v>
      </c>
      <c r="E742" s="42" t="s">
        <v>326</v>
      </c>
      <c r="F742" s="7">
        <f>F743</f>
        <v>263.3</v>
      </c>
      <c r="G742" s="7">
        <f t="shared" si="436"/>
        <v>263.3</v>
      </c>
      <c r="H742" s="7">
        <f t="shared" si="436"/>
        <v>263.3</v>
      </c>
      <c r="I742" s="7">
        <f t="shared" si="436"/>
        <v>263.3</v>
      </c>
      <c r="J742" s="7">
        <f t="shared" si="436"/>
        <v>263.3</v>
      </c>
      <c r="K742" s="7">
        <f t="shared" si="436"/>
        <v>273.7</v>
      </c>
      <c r="L742" s="7">
        <f t="shared" si="436"/>
        <v>45.8</v>
      </c>
      <c r="M742" s="7">
        <f t="shared" si="422"/>
        <v>16.733649981731823</v>
      </c>
    </row>
    <row r="743" spans="1:13" ht="15.75">
      <c r="A743" s="31" t="s">
        <v>327</v>
      </c>
      <c r="B743" s="42" t="s">
        <v>352</v>
      </c>
      <c r="C743" s="42" t="s">
        <v>171</v>
      </c>
      <c r="D743" s="42" t="s">
        <v>385</v>
      </c>
      <c r="E743" s="42" t="s">
        <v>328</v>
      </c>
      <c r="F743" s="7">
        <f>'Прил.№4 ведомств.'!G408</f>
        <v>263.3</v>
      </c>
      <c r="G743" s="7">
        <f>'Прил.№4 ведомств.'!I408</f>
        <v>263.3</v>
      </c>
      <c r="H743" s="7">
        <f>'Прил.№4 ведомств.'!J408</f>
        <v>263.3</v>
      </c>
      <c r="I743" s="7">
        <f>'Прил.№4 ведомств.'!K408</f>
        <v>263.3</v>
      </c>
      <c r="J743" s="7">
        <f>'Прил.№4 ведомств.'!L408</f>
        <v>263.3</v>
      </c>
      <c r="K743" s="7">
        <f>'Прил.№4 ведомств.'!M408</f>
        <v>273.7</v>
      </c>
      <c r="L743" s="7">
        <f>'Прил.№4 ведомств.'!N408</f>
        <v>45.8</v>
      </c>
      <c r="M743" s="7">
        <f t="shared" si="422"/>
        <v>16.733649981731823</v>
      </c>
    </row>
    <row r="744" spans="1:13" ht="94.5">
      <c r="A744" s="33" t="s">
        <v>346</v>
      </c>
      <c r="B744" s="42" t="s">
        <v>352</v>
      </c>
      <c r="C744" s="42" t="s">
        <v>171</v>
      </c>
      <c r="D744" s="21" t="s">
        <v>347</v>
      </c>
      <c r="E744" s="42"/>
      <c r="F744" s="7">
        <f>F745</f>
        <v>1693.3000000000002</v>
      </c>
      <c r="G744" s="7">
        <f t="shared" ref="G744:L745" si="437">G745</f>
        <v>1693.3000000000002</v>
      </c>
      <c r="H744" s="7">
        <f t="shared" si="437"/>
        <v>1693.3000000000002</v>
      </c>
      <c r="I744" s="7">
        <f t="shared" si="437"/>
        <v>1693.3000000000002</v>
      </c>
      <c r="J744" s="7">
        <f t="shared" si="437"/>
        <v>1693.3000000000002</v>
      </c>
      <c r="K744" s="7">
        <f t="shared" si="437"/>
        <v>1648.8000000000002</v>
      </c>
      <c r="L744" s="7">
        <f t="shared" si="437"/>
        <v>187.3</v>
      </c>
      <c r="M744" s="7">
        <f t="shared" si="422"/>
        <v>11.359776807375061</v>
      </c>
    </row>
    <row r="745" spans="1:13" ht="47.25">
      <c r="A745" s="31" t="s">
        <v>325</v>
      </c>
      <c r="B745" s="42" t="s">
        <v>352</v>
      </c>
      <c r="C745" s="42" t="s">
        <v>171</v>
      </c>
      <c r="D745" s="21" t="s">
        <v>347</v>
      </c>
      <c r="E745" s="42" t="s">
        <v>326</v>
      </c>
      <c r="F745" s="7">
        <f>F746</f>
        <v>1693.3000000000002</v>
      </c>
      <c r="G745" s="7">
        <f t="shared" si="437"/>
        <v>1693.3000000000002</v>
      </c>
      <c r="H745" s="7">
        <f t="shared" si="437"/>
        <v>1693.3000000000002</v>
      </c>
      <c r="I745" s="7">
        <f t="shared" si="437"/>
        <v>1693.3000000000002</v>
      </c>
      <c r="J745" s="7">
        <f t="shared" si="437"/>
        <v>1693.3000000000002</v>
      </c>
      <c r="K745" s="7">
        <f t="shared" si="437"/>
        <v>1648.8000000000002</v>
      </c>
      <c r="L745" s="7">
        <f t="shared" si="437"/>
        <v>187.3</v>
      </c>
      <c r="M745" s="7">
        <f t="shared" si="422"/>
        <v>11.359776807375061</v>
      </c>
    </row>
    <row r="746" spans="1:13" ht="15.75">
      <c r="A746" s="31" t="s">
        <v>327</v>
      </c>
      <c r="B746" s="42" t="s">
        <v>352</v>
      </c>
      <c r="C746" s="42" t="s">
        <v>171</v>
      </c>
      <c r="D746" s="21" t="s">
        <v>347</v>
      </c>
      <c r="E746" s="42" t="s">
        <v>328</v>
      </c>
      <c r="F746" s="7">
        <f>'Прил.№4 ведомств.'!G409</f>
        <v>1693.3000000000002</v>
      </c>
      <c r="G746" s="7">
        <f>'Прил.№4 ведомств.'!I409</f>
        <v>1693.3000000000002</v>
      </c>
      <c r="H746" s="7">
        <f>'Прил.№4 ведомств.'!J409</f>
        <v>1693.3000000000002</v>
      </c>
      <c r="I746" s="7">
        <f>'Прил.№4 ведомств.'!K409</f>
        <v>1693.3000000000002</v>
      </c>
      <c r="J746" s="7">
        <f>'Прил.№4 ведомств.'!L409</f>
        <v>1693.3000000000002</v>
      </c>
      <c r="K746" s="7">
        <f>'Прил.№4 ведомств.'!M409</f>
        <v>1648.8000000000002</v>
      </c>
      <c r="L746" s="7">
        <f>'Прил.№4 ведомств.'!N409</f>
        <v>187.3</v>
      </c>
      <c r="M746" s="7">
        <f t="shared" si="422"/>
        <v>11.359776807375061</v>
      </c>
    </row>
    <row r="747" spans="1:13" ht="15.75">
      <c r="A747" s="33" t="s">
        <v>769</v>
      </c>
      <c r="B747" s="42" t="s">
        <v>352</v>
      </c>
      <c r="C747" s="42" t="s">
        <v>171</v>
      </c>
      <c r="D747" s="21" t="s">
        <v>770</v>
      </c>
      <c r="E747" s="42"/>
      <c r="F747" s="7">
        <f>F748</f>
        <v>4</v>
      </c>
      <c r="G747" s="7">
        <f t="shared" ref="G747:L748" si="438">G748</f>
        <v>4</v>
      </c>
      <c r="H747" s="7">
        <f t="shared" si="438"/>
        <v>0</v>
      </c>
      <c r="I747" s="7">
        <f t="shared" si="438"/>
        <v>0</v>
      </c>
      <c r="J747" s="7">
        <f t="shared" si="438"/>
        <v>0</v>
      </c>
      <c r="K747" s="7">
        <f t="shared" si="438"/>
        <v>3.3</v>
      </c>
      <c r="L747" s="7">
        <f t="shared" si="438"/>
        <v>0</v>
      </c>
      <c r="M747" s="7">
        <f t="shared" si="422"/>
        <v>0</v>
      </c>
    </row>
    <row r="748" spans="1:13" ht="47.25">
      <c r="A748" s="26" t="s">
        <v>325</v>
      </c>
      <c r="B748" s="42" t="s">
        <v>352</v>
      </c>
      <c r="C748" s="42" t="s">
        <v>171</v>
      </c>
      <c r="D748" s="21" t="s">
        <v>770</v>
      </c>
      <c r="E748" s="42" t="s">
        <v>326</v>
      </c>
      <c r="F748" s="7">
        <f>F749</f>
        <v>4</v>
      </c>
      <c r="G748" s="7">
        <f t="shared" si="438"/>
        <v>4</v>
      </c>
      <c r="H748" s="7">
        <f t="shared" si="438"/>
        <v>0</v>
      </c>
      <c r="I748" s="7">
        <f t="shared" si="438"/>
        <v>0</v>
      </c>
      <c r="J748" s="7">
        <f t="shared" si="438"/>
        <v>0</v>
      </c>
      <c r="K748" s="7">
        <f t="shared" si="438"/>
        <v>3.3</v>
      </c>
      <c r="L748" s="7">
        <f t="shared" si="438"/>
        <v>0</v>
      </c>
      <c r="M748" s="7">
        <f t="shared" si="422"/>
        <v>0</v>
      </c>
    </row>
    <row r="749" spans="1:13" ht="15.75">
      <c r="A749" s="26" t="s">
        <v>327</v>
      </c>
      <c r="B749" s="42" t="s">
        <v>352</v>
      </c>
      <c r="C749" s="42" t="s">
        <v>171</v>
      </c>
      <c r="D749" s="21" t="s">
        <v>770</v>
      </c>
      <c r="E749" s="42" t="s">
        <v>328</v>
      </c>
      <c r="F749" s="7">
        <f>'Прил.№4 ведомств.'!G414</f>
        <v>4</v>
      </c>
      <c r="G749" s="7">
        <f>'Прил.№4 ведомств.'!I414</f>
        <v>4</v>
      </c>
      <c r="H749" s="7">
        <f>'Прил.№4 ведомств.'!J414</f>
        <v>0</v>
      </c>
      <c r="I749" s="7">
        <f>'Прил.№4 ведомств.'!K414</f>
        <v>0</v>
      </c>
      <c r="J749" s="7">
        <f>'Прил.№4 ведомств.'!L414</f>
        <v>0</v>
      </c>
      <c r="K749" s="7">
        <f>'Прил.№4 ведомств.'!M414</f>
        <v>3.3</v>
      </c>
      <c r="L749" s="7">
        <f>'Прил.№4 ведомств.'!N414</f>
        <v>0</v>
      </c>
      <c r="M749" s="7">
        <f t="shared" si="422"/>
        <v>0</v>
      </c>
    </row>
    <row r="750" spans="1:13" ht="31.5">
      <c r="A750" s="43" t="s">
        <v>386</v>
      </c>
      <c r="B750" s="8" t="s">
        <v>352</v>
      </c>
      <c r="C750" s="8" t="s">
        <v>203</v>
      </c>
      <c r="D750" s="8"/>
      <c r="E750" s="8"/>
      <c r="F750" s="4">
        <f>F765+F751+F761</f>
        <v>17278.8</v>
      </c>
      <c r="G750" s="4">
        <f t="shared" ref="G750:K750" si="439">G765+G751+G761</f>
        <v>17713.184313725491</v>
      </c>
      <c r="H750" s="4">
        <f t="shared" si="439"/>
        <v>19592.400000000001</v>
      </c>
      <c r="I750" s="4">
        <f t="shared" si="439"/>
        <v>19708.099999999999</v>
      </c>
      <c r="J750" s="4">
        <f t="shared" si="439"/>
        <v>19816.199999999997</v>
      </c>
      <c r="K750" s="4">
        <f t="shared" si="439"/>
        <v>16632.400000000001</v>
      </c>
      <c r="L750" s="4">
        <f t="shared" ref="L750" si="440">L765+L751+L761</f>
        <v>3486.8999999999996</v>
      </c>
      <c r="M750" s="4">
        <f t="shared" si="422"/>
        <v>20.964503018205427</v>
      </c>
    </row>
    <row r="751" spans="1:13" ht="47.25" hidden="1">
      <c r="A751" s="26" t="s">
        <v>387</v>
      </c>
      <c r="B751" s="42" t="s">
        <v>352</v>
      </c>
      <c r="C751" s="42" t="s">
        <v>203</v>
      </c>
      <c r="D751" s="21" t="s">
        <v>388</v>
      </c>
      <c r="E751" s="21"/>
      <c r="F751" s="7">
        <f>F752+F755+F758</f>
        <v>125</v>
      </c>
      <c r="G751" s="7">
        <f t="shared" ref="G751:K751" si="441">G752+G755+G758</f>
        <v>125</v>
      </c>
      <c r="H751" s="7">
        <f t="shared" si="441"/>
        <v>0</v>
      </c>
      <c r="I751" s="7">
        <f t="shared" si="441"/>
        <v>0</v>
      </c>
      <c r="J751" s="7">
        <f t="shared" si="441"/>
        <v>0</v>
      </c>
      <c r="K751" s="7">
        <f t="shared" si="441"/>
        <v>0</v>
      </c>
      <c r="L751" s="7">
        <f t="shared" ref="L751" si="442">L752+L755+L758</f>
        <v>0</v>
      </c>
      <c r="M751" s="4" t="e">
        <f t="shared" si="422"/>
        <v>#DIV/0!</v>
      </c>
    </row>
    <row r="752" spans="1:13" ht="31.5" hidden="1" customHeight="1">
      <c r="A752" s="26" t="s">
        <v>389</v>
      </c>
      <c r="B752" s="42" t="s">
        <v>352</v>
      </c>
      <c r="C752" s="42" t="s">
        <v>203</v>
      </c>
      <c r="D752" s="21" t="s">
        <v>390</v>
      </c>
      <c r="E752" s="21"/>
      <c r="F752" s="7">
        <f>F753</f>
        <v>0</v>
      </c>
      <c r="G752" s="7">
        <f t="shared" ref="G752:L753" si="443">G753</f>
        <v>0</v>
      </c>
      <c r="H752" s="7">
        <f t="shared" si="443"/>
        <v>0</v>
      </c>
      <c r="I752" s="7">
        <f t="shared" si="443"/>
        <v>0</v>
      </c>
      <c r="J752" s="7">
        <f t="shared" si="443"/>
        <v>0</v>
      </c>
      <c r="K752" s="7">
        <f t="shared" si="443"/>
        <v>0</v>
      </c>
      <c r="L752" s="7">
        <f t="shared" si="443"/>
        <v>0</v>
      </c>
      <c r="M752" s="4" t="e">
        <f t="shared" si="422"/>
        <v>#DIV/0!</v>
      </c>
    </row>
    <row r="753" spans="1:13" ht="31.5" hidden="1" customHeight="1">
      <c r="A753" s="26" t="s">
        <v>184</v>
      </c>
      <c r="B753" s="42" t="s">
        <v>352</v>
      </c>
      <c r="C753" s="42" t="s">
        <v>203</v>
      </c>
      <c r="D753" s="21" t="s">
        <v>390</v>
      </c>
      <c r="E753" s="21" t="s">
        <v>185</v>
      </c>
      <c r="F753" s="7">
        <f>F754</f>
        <v>0</v>
      </c>
      <c r="G753" s="7">
        <f t="shared" si="443"/>
        <v>0</v>
      </c>
      <c r="H753" s="7">
        <f t="shared" si="443"/>
        <v>0</v>
      </c>
      <c r="I753" s="7">
        <f t="shared" si="443"/>
        <v>0</v>
      </c>
      <c r="J753" s="7">
        <f t="shared" si="443"/>
        <v>0</v>
      </c>
      <c r="K753" s="7">
        <f t="shared" si="443"/>
        <v>0</v>
      </c>
      <c r="L753" s="7">
        <f t="shared" si="443"/>
        <v>0</v>
      </c>
      <c r="M753" s="4" t="e">
        <f t="shared" si="422"/>
        <v>#DIV/0!</v>
      </c>
    </row>
    <row r="754" spans="1:13" ht="47.25" hidden="1" customHeight="1">
      <c r="A754" s="26" t="s">
        <v>186</v>
      </c>
      <c r="B754" s="42" t="s">
        <v>352</v>
      </c>
      <c r="C754" s="42" t="s">
        <v>203</v>
      </c>
      <c r="D754" s="21" t="s">
        <v>390</v>
      </c>
      <c r="E754" s="21" t="s">
        <v>187</v>
      </c>
      <c r="F754" s="7">
        <f>'Прил.№4 ведомств.'!G419</f>
        <v>0</v>
      </c>
      <c r="G754" s="7">
        <f>'Прил.№4 ведомств.'!I419</f>
        <v>0</v>
      </c>
      <c r="H754" s="7">
        <f>'Прил.№4 ведомств.'!J419</f>
        <v>0</v>
      </c>
      <c r="I754" s="7">
        <f>'Прил.№4 ведомств.'!K419</f>
        <v>0</v>
      </c>
      <c r="J754" s="7">
        <f>'Прил.№4 ведомств.'!L419</f>
        <v>0</v>
      </c>
      <c r="K754" s="7">
        <f>'Прил.№4 ведомств.'!M419</f>
        <v>0</v>
      </c>
      <c r="L754" s="7">
        <f>'Прил.№4 ведомств.'!N419</f>
        <v>0</v>
      </c>
      <c r="M754" s="4" t="e">
        <f t="shared" si="422"/>
        <v>#DIV/0!</v>
      </c>
    </row>
    <row r="755" spans="1:13" ht="31.5" hidden="1">
      <c r="A755" s="26" t="s">
        <v>391</v>
      </c>
      <c r="B755" s="42" t="s">
        <v>352</v>
      </c>
      <c r="C755" s="42" t="s">
        <v>203</v>
      </c>
      <c r="D755" s="21" t="s">
        <v>392</v>
      </c>
      <c r="E755" s="21"/>
      <c r="F755" s="7">
        <f>F756</f>
        <v>20</v>
      </c>
      <c r="G755" s="7">
        <f t="shared" ref="G755:L756" si="444">G756</f>
        <v>20</v>
      </c>
      <c r="H755" s="7">
        <f t="shared" si="444"/>
        <v>0</v>
      </c>
      <c r="I755" s="7">
        <f t="shared" si="444"/>
        <v>0</v>
      </c>
      <c r="J755" s="7">
        <f t="shared" si="444"/>
        <v>0</v>
      </c>
      <c r="K755" s="7">
        <f t="shared" si="444"/>
        <v>0</v>
      </c>
      <c r="L755" s="7">
        <f t="shared" si="444"/>
        <v>0</v>
      </c>
      <c r="M755" s="4" t="e">
        <f t="shared" si="422"/>
        <v>#DIV/0!</v>
      </c>
    </row>
    <row r="756" spans="1:13" ht="31.5" hidden="1">
      <c r="A756" s="26" t="s">
        <v>184</v>
      </c>
      <c r="B756" s="42" t="s">
        <v>352</v>
      </c>
      <c r="C756" s="42" t="s">
        <v>203</v>
      </c>
      <c r="D756" s="21" t="s">
        <v>392</v>
      </c>
      <c r="E756" s="21" t="s">
        <v>185</v>
      </c>
      <c r="F756" s="7">
        <f>F757</f>
        <v>20</v>
      </c>
      <c r="G756" s="7">
        <f t="shared" si="444"/>
        <v>20</v>
      </c>
      <c r="H756" s="7">
        <f t="shared" si="444"/>
        <v>0</v>
      </c>
      <c r="I756" s="7">
        <f t="shared" si="444"/>
        <v>0</v>
      </c>
      <c r="J756" s="7">
        <f t="shared" si="444"/>
        <v>0</v>
      </c>
      <c r="K756" s="7">
        <f t="shared" si="444"/>
        <v>0</v>
      </c>
      <c r="L756" s="7">
        <f t="shared" si="444"/>
        <v>0</v>
      </c>
      <c r="M756" s="4" t="e">
        <f t="shared" si="422"/>
        <v>#DIV/0!</v>
      </c>
    </row>
    <row r="757" spans="1:13" ht="47.25" hidden="1">
      <c r="A757" s="26" t="s">
        <v>186</v>
      </c>
      <c r="B757" s="42" t="s">
        <v>352</v>
      </c>
      <c r="C757" s="42" t="s">
        <v>203</v>
      </c>
      <c r="D757" s="21" t="s">
        <v>392</v>
      </c>
      <c r="E757" s="21" t="s">
        <v>187</v>
      </c>
      <c r="F757" s="7">
        <f>'Прил.№4 ведомств.'!G425</f>
        <v>20</v>
      </c>
      <c r="G757" s="7">
        <f>'Прил.№4 ведомств.'!I425</f>
        <v>20</v>
      </c>
      <c r="H757" s="7">
        <f>'Прил.№4 ведомств.'!J425</f>
        <v>0</v>
      </c>
      <c r="I757" s="7">
        <f>'Прил.№4 ведомств.'!K425</f>
        <v>0</v>
      </c>
      <c r="J757" s="7">
        <f>'Прил.№4 ведомств.'!L425</f>
        <v>0</v>
      </c>
      <c r="K757" s="7">
        <f>'Прил.№4 ведомств.'!M425</f>
        <v>0</v>
      </c>
      <c r="L757" s="7">
        <f>'Прил.№4 ведомств.'!N425</f>
        <v>0</v>
      </c>
      <c r="M757" s="4" t="e">
        <f t="shared" si="422"/>
        <v>#DIV/0!</v>
      </c>
    </row>
    <row r="758" spans="1:13" ht="47.25" hidden="1">
      <c r="A758" s="26" t="s">
        <v>808</v>
      </c>
      <c r="B758" s="42" t="s">
        <v>352</v>
      </c>
      <c r="C758" s="42" t="s">
        <v>203</v>
      </c>
      <c r="D758" s="21" t="s">
        <v>764</v>
      </c>
      <c r="E758" s="21"/>
      <c r="F758" s="7">
        <f>F759</f>
        <v>105</v>
      </c>
      <c r="G758" s="7">
        <f t="shared" ref="G758:L759" si="445">G759</f>
        <v>105</v>
      </c>
      <c r="H758" s="7">
        <f t="shared" si="445"/>
        <v>0</v>
      </c>
      <c r="I758" s="7">
        <f t="shared" si="445"/>
        <v>0</v>
      </c>
      <c r="J758" s="7">
        <f t="shared" si="445"/>
        <v>0</v>
      </c>
      <c r="K758" s="7">
        <f t="shared" si="445"/>
        <v>0</v>
      </c>
      <c r="L758" s="7">
        <f t="shared" si="445"/>
        <v>0</v>
      </c>
      <c r="M758" s="4" t="e">
        <f t="shared" si="422"/>
        <v>#DIV/0!</v>
      </c>
    </row>
    <row r="759" spans="1:13" ht="31.5" hidden="1">
      <c r="A759" s="26" t="s">
        <v>184</v>
      </c>
      <c r="B759" s="42" t="s">
        <v>352</v>
      </c>
      <c r="C759" s="42" t="s">
        <v>203</v>
      </c>
      <c r="D759" s="21" t="s">
        <v>764</v>
      </c>
      <c r="E759" s="21" t="s">
        <v>181</v>
      </c>
      <c r="F759" s="7">
        <f>F760</f>
        <v>105</v>
      </c>
      <c r="G759" s="7">
        <f t="shared" si="445"/>
        <v>105</v>
      </c>
      <c r="H759" s="7">
        <f t="shared" si="445"/>
        <v>0</v>
      </c>
      <c r="I759" s="7">
        <f t="shared" si="445"/>
        <v>0</v>
      </c>
      <c r="J759" s="7">
        <f t="shared" si="445"/>
        <v>0</v>
      </c>
      <c r="K759" s="7">
        <f t="shared" si="445"/>
        <v>0</v>
      </c>
      <c r="L759" s="7">
        <f t="shared" si="445"/>
        <v>0</v>
      </c>
      <c r="M759" s="4" t="e">
        <f t="shared" si="422"/>
        <v>#DIV/0!</v>
      </c>
    </row>
    <row r="760" spans="1:13" ht="47.25" hidden="1">
      <c r="A760" s="26" t="s">
        <v>186</v>
      </c>
      <c r="B760" s="42" t="s">
        <v>352</v>
      </c>
      <c r="C760" s="42" t="s">
        <v>203</v>
      </c>
      <c r="D760" s="21" t="s">
        <v>764</v>
      </c>
      <c r="E760" s="21" t="s">
        <v>183</v>
      </c>
      <c r="F760" s="7">
        <f>'Прил.№4 ведомств.'!G431</f>
        <v>105</v>
      </c>
      <c r="G760" s="7">
        <f>'Прил.№4 ведомств.'!I431</f>
        <v>105</v>
      </c>
      <c r="H760" s="7">
        <f>'Прил.№4 ведомств.'!J431</f>
        <v>0</v>
      </c>
      <c r="I760" s="7">
        <f>'Прил.№4 ведомств.'!K431</f>
        <v>0</v>
      </c>
      <c r="J760" s="7">
        <f>'Прил.№4 ведомств.'!L431</f>
        <v>0</v>
      </c>
      <c r="K760" s="7">
        <f>'Прил.№4 ведомств.'!M431</f>
        <v>0</v>
      </c>
      <c r="L760" s="7">
        <f>'Прил.№4 ведомств.'!N431</f>
        <v>0</v>
      </c>
      <c r="M760" s="4" t="e">
        <f t="shared" si="422"/>
        <v>#DIV/0!</v>
      </c>
    </row>
    <row r="761" spans="1:13" ht="63" hidden="1">
      <c r="A761" s="31" t="s">
        <v>807</v>
      </c>
      <c r="B761" s="42" t="s">
        <v>352</v>
      </c>
      <c r="C761" s="42" t="s">
        <v>203</v>
      </c>
      <c r="D761" s="21" t="s">
        <v>805</v>
      </c>
      <c r="E761" s="21"/>
      <c r="F761" s="7">
        <f>F762</f>
        <v>5</v>
      </c>
      <c r="G761" s="7">
        <f t="shared" ref="G761:L763" si="446">G762</f>
        <v>5</v>
      </c>
      <c r="H761" s="7">
        <f t="shared" si="446"/>
        <v>0</v>
      </c>
      <c r="I761" s="7">
        <f t="shared" si="446"/>
        <v>0</v>
      </c>
      <c r="J761" s="7">
        <f t="shared" si="446"/>
        <v>0</v>
      </c>
      <c r="K761" s="7">
        <f t="shared" si="446"/>
        <v>0</v>
      </c>
      <c r="L761" s="7">
        <f t="shared" si="446"/>
        <v>0</v>
      </c>
      <c r="M761" s="4" t="e">
        <f t="shared" si="422"/>
        <v>#DIV/0!</v>
      </c>
    </row>
    <row r="762" spans="1:13" ht="31.5" hidden="1">
      <c r="A762" s="26" t="s">
        <v>422</v>
      </c>
      <c r="B762" s="42" t="s">
        <v>352</v>
      </c>
      <c r="C762" s="42" t="s">
        <v>203</v>
      </c>
      <c r="D762" s="21" t="s">
        <v>813</v>
      </c>
      <c r="E762" s="21"/>
      <c r="F762" s="7">
        <f>F763</f>
        <v>5</v>
      </c>
      <c r="G762" s="7">
        <f t="shared" si="446"/>
        <v>5</v>
      </c>
      <c r="H762" s="7">
        <f t="shared" si="446"/>
        <v>0</v>
      </c>
      <c r="I762" s="7">
        <f t="shared" si="446"/>
        <v>0</v>
      </c>
      <c r="J762" s="7">
        <f t="shared" si="446"/>
        <v>0</v>
      </c>
      <c r="K762" s="7">
        <f t="shared" si="446"/>
        <v>0</v>
      </c>
      <c r="L762" s="7">
        <f t="shared" si="446"/>
        <v>0</v>
      </c>
      <c r="M762" s="4" t="e">
        <f t="shared" si="422"/>
        <v>#DIV/0!</v>
      </c>
    </row>
    <row r="763" spans="1:13" ht="31.5" hidden="1">
      <c r="A763" s="26" t="s">
        <v>184</v>
      </c>
      <c r="B763" s="42" t="s">
        <v>352</v>
      </c>
      <c r="C763" s="42" t="s">
        <v>203</v>
      </c>
      <c r="D763" s="21" t="s">
        <v>813</v>
      </c>
      <c r="E763" s="21" t="s">
        <v>185</v>
      </c>
      <c r="F763" s="7">
        <f>F764</f>
        <v>5</v>
      </c>
      <c r="G763" s="7">
        <f t="shared" si="446"/>
        <v>5</v>
      </c>
      <c r="H763" s="7">
        <f t="shared" si="446"/>
        <v>0</v>
      </c>
      <c r="I763" s="7">
        <f t="shared" si="446"/>
        <v>0</v>
      </c>
      <c r="J763" s="7">
        <f t="shared" si="446"/>
        <v>0</v>
      </c>
      <c r="K763" s="7">
        <f t="shared" si="446"/>
        <v>0</v>
      </c>
      <c r="L763" s="7">
        <f t="shared" si="446"/>
        <v>0</v>
      </c>
      <c r="M763" s="4" t="e">
        <f t="shared" si="422"/>
        <v>#DIV/0!</v>
      </c>
    </row>
    <row r="764" spans="1:13" ht="47.25" hidden="1">
      <c r="A764" s="26" t="s">
        <v>186</v>
      </c>
      <c r="B764" s="42" t="s">
        <v>352</v>
      </c>
      <c r="C764" s="42" t="s">
        <v>203</v>
      </c>
      <c r="D764" s="21" t="s">
        <v>813</v>
      </c>
      <c r="E764" s="21" t="s">
        <v>187</v>
      </c>
      <c r="F764" s="7">
        <f>'Прил.№4 ведомств.'!G438</f>
        <v>5</v>
      </c>
      <c r="G764" s="7">
        <f>'Прил.№4 ведомств.'!I438</f>
        <v>5</v>
      </c>
      <c r="H764" s="7">
        <f>'Прил.№4 ведомств.'!J438</f>
        <v>0</v>
      </c>
      <c r="I764" s="7">
        <f>'Прил.№4 ведомств.'!K438</f>
        <v>0</v>
      </c>
      <c r="J764" s="7">
        <f>'Прил.№4 ведомств.'!L438</f>
        <v>0</v>
      </c>
      <c r="K764" s="7">
        <f>'Прил.№4 ведомств.'!M438</f>
        <v>0</v>
      </c>
      <c r="L764" s="7">
        <f>'Прил.№4 ведомств.'!N438</f>
        <v>0</v>
      </c>
      <c r="M764" s="4" t="e">
        <f t="shared" si="422"/>
        <v>#DIV/0!</v>
      </c>
    </row>
    <row r="765" spans="1:13" ht="15.75">
      <c r="A765" s="31" t="s">
        <v>174</v>
      </c>
      <c r="B765" s="42" t="s">
        <v>352</v>
      </c>
      <c r="C765" s="42" t="s">
        <v>203</v>
      </c>
      <c r="D765" s="42" t="s">
        <v>175</v>
      </c>
      <c r="E765" s="42"/>
      <c r="F765" s="7">
        <f>F772+F766</f>
        <v>17148.8</v>
      </c>
      <c r="G765" s="7">
        <f t="shared" ref="G765:K765" si="447">G772+G766</f>
        <v>17583.184313725491</v>
      </c>
      <c r="H765" s="7">
        <f t="shared" si="447"/>
        <v>19592.400000000001</v>
      </c>
      <c r="I765" s="7">
        <f t="shared" si="447"/>
        <v>19708.099999999999</v>
      </c>
      <c r="J765" s="7">
        <f t="shared" si="447"/>
        <v>19816.199999999997</v>
      </c>
      <c r="K765" s="7">
        <f t="shared" si="447"/>
        <v>16632.400000000001</v>
      </c>
      <c r="L765" s="7">
        <f t="shared" ref="L765" si="448">L772+L766</f>
        <v>3486.8999999999996</v>
      </c>
      <c r="M765" s="7">
        <f t="shared" si="422"/>
        <v>20.964503018205427</v>
      </c>
    </row>
    <row r="766" spans="1:13" ht="31.5">
      <c r="A766" s="31" t="s">
        <v>176</v>
      </c>
      <c r="B766" s="42" t="s">
        <v>352</v>
      </c>
      <c r="C766" s="42" t="s">
        <v>203</v>
      </c>
      <c r="D766" s="42" t="s">
        <v>177</v>
      </c>
      <c r="E766" s="42"/>
      <c r="F766" s="7">
        <f>F767</f>
        <v>6754.9</v>
      </c>
      <c r="G766" s="7">
        <f t="shared" ref="G766:L766" si="449">G767</f>
        <v>7268.4705882352946</v>
      </c>
      <c r="H766" s="7">
        <f t="shared" si="449"/>
        <v>8328</v>
      </c>
      <c r="I766" s="7">
        <f t="shared" si="449"/>
        <v>8328</v>
      </c>
      <c r="J766" s="7">
        <f t="shared" si="449"/>
        <v>8328</v>
      </c>
      <c r="K766" s="7">
        <f t="shared" si="449"/>
        <v>6254.9</v>
      </c>
      <c r="L766" s="7">
        <f t="shared" si="449"/>
        <v>1622.2</v>
      </c>
      <c r="M766" s="7">
        <f t="shared" si="422"/>
        <v>25.934867064221649</v>
      </c>
    </row>
    <row r="767" spans="1:13" ht="47.25">
      <c r="A767" s="31" t="s">
        <v>178</v>
      </c>
      <c r="B767" s="42" t="s">
        <v>352</v>
      </c>
      <c r="C767" s="42" t="s">
        <v>203</v>
      </c>
      <c r="D767" s="42" t="s">
        <v>179</v>
      </c>
      <c r="E767" s="42"/>
      <c r="F767" s="7">
        <f>F768+F770</f>
        <v>6754.9</v>
      </c>
      <c r="G767" s="7">
        <f t="shared" ref="G767:K767" si="450">G768+G770</f>
        <v>7268.4705882352946</v>
      </c>
      <c r="H767" s="7">
        <f t="shared" si="450"/>
        <v>8328</v>
      </c>
      <c r="I767" s="7">
        <f t="shared" si="450"/>
        <v>8328</v>
      </c>
      <c r="J767" s="7">
        <f t="shared" si="450"/>
        <v>8328</v>
      </c>
      <c r="K767" s="7">
        <f t="shared" si="450"/>
        <v>6254.9</v>
      </c>
      <c r="L767" s="7">
        <f t="shared" ref="L767" si="451">L768+L770</f>
        <v>1622.2</v>
      </c>
      <c r="M767" s="7">
        <f t="shared" si="422"/>
        <v>25.934867064221649</v>
      </c>
    </row>
    <row r="768" spans="1:13" ht="78.75">
      <c r="A768" s="31" t="s">
        <v>180</v>
      </c>
      <c r="B768" s="42" t="s">
        <v>352</v>
      </c>
      <c r="C768" s="42" t="s">
        <v>203</v>
      </c>
      <c r="D768" s="42" t="s">
        <v>179</v>
      </c>
      <c r="E768" s="42" t="s">
        <v>181</v>
      </c>
      <c r="F768" s="63">
        <f>F769</f>
        <v>6754.9</v>
      </c>
      <c r="G768" s="63">
        <f t="shared" ref="G768:L768" si="452">G769</f>
        <v>7268.4705882352946</v>
      </c>
      <c r="H768" s="63">
        <f t="shared" si="452"/>
        <v>8114</v>
      </c>
      <c r="I768" s="63">
        <f t="shared" si="452"/>
        <v>8114</v>
      </c>
      <c r="J768" s="63">
        <f t="shared" si="452"/>
        <v>8114</v>
      </c>
      <c r="K768" s="63">
        <f t="shared" si="452"/>
        <v>6254.9</v>
      </c>
      <c r="L768" s="63">
        <f t="shared" si="452"/>
        <v>1622.2</v>
      </c>
      <c r="M768" s="7">
        <f t="shared" si="422"/>
        <v>25.934867064221649</v>
      </c>
    </row>
    <row r="769" spans="1:13" ht="31.5">
      <c r="A769" s="31" t="s">
        <v>182</v>
      </c>
      <c r="B769" s="42" t="s">
        <v>352</v>
      </c>
      <c r="C769" s="42" t="s">
        <v>203</v>
      </c>
      <c r="D769" s="42" t="s">
        <v>179</v>
      </c>
      <c r="E769" s="42" t="s">
        <v>183</v>
      </c>
      <c r="F769" s="63">
        <f>'Прил.№4 ведомств.'!G443</f>
        <v>6754.9</v>
      </c>
      <c r="G769" s="63">
        <f>'Прил.№4 ведомств.'!I443</f>
        <v>7268.4705882352946</v>
      </c>
      <c r="H769" s="63">
        <f>'Прил.№4 ведомств.'!J443</f>
        <v>8114</v>
      </c>
      <c r="I769" s="63">
        <f>'Прил.№4 ведомств.'!K443</f>
        <v>8114</v>
      </c>
      <c r="J769" s="63">
        <f>'Прил.№4 ведомств.'!L443</f>
        <v>8114</v>
      </c>
      <c r="K769" s="63">
        <f>'Прил.№4 ведомств.'!M443</f>
        <v>6254.9</v>
      </c>
      <c r="L769" s="63">
        <f>'Прил.№4 ведомств.'!N443</f>
        <v>1622.2</v>
      </c>
      <c r="M769" s="7">
        <f t="shared" si="422"/>
        <v>25.934867064221649</v>
      </c>
    </row>
    <row r="770" spans="1:13" ht="31.5" hidden="1" customHeight="1">
      <c r="A770" s="31" t="s">
        <v>184</v>
      </c>
      <c r="B770" s="42" t="s">
        <v>352</v>
      </c>
      <c r="C770" s="42" t="s">
        <v>203</v>
      </c>
      <c r="D770" s="42" t="s">
        <v>179</v>
      </c>
      <c r="E770" s="42" t="s">
        <v>185</v>
      </c>
      <c r="F770" s="63">
        <f>F771</f>
        <v>0</v>
      </c>
      <c r="G770" s="63">
        <f t="shared" ref="G770:L770" si="453">G771</f>
        <v>0</v>
      </c>
      <c r="H770" s="63">
        <f t="shared" si="453"/>
        <v>214</v>
      </c>
      <c r="I770" s="63">
        <f t="shared" si="453"/>
        <v>214</v>
      </c>
      <c r="J770" s="63">
        <f t="shared" si="453"/>
        <v>214</v>
      </c>
      <c r="K770" s="63">
        <f t="shared" si="453"/>
        <v>0</v>
      </c>
      <c r="L770" s="63">
        <f t="shared" si="453"/>
        <v>0</v>
      </c>
      <c r="M770" s="7" t="e">
        <f t="shared" si="422"/>
        <v>#DIV/0!</v>
      </c>
    </row>
    <row r="771" spans="1:13" ht="47.25" hidden="1" customHeight="1">
      <c r="A771" s="31" t="s">
        <v>186</v>
      </c>
      <c r="B771" s="42" t="s">
        <v>352</v>
      </c>
      <c r="C771" s="42" t="s">
        <v>203</v>
      </c>
      <c r="D771" s="42" t="s">
        <v>179</v>
      </c>
      <c r="E771" s="42" t="s">
        <v>187</v>
      </c>
      <c r="F771" s="63"/>
      <c r="G771" s="63"/>
      <c r="H771" s="63">
        <f>'Прил.№4 ведомств.'!J445</f>
        <v>214</v>
      </c>
      <c r="I771" s="63">
        <f>'Прил.№4 ведомств.'!K445</f>
        <v>214</v>
      </c>
      <c r="J771" s="63">
        <f>'Прил.№4 ведомств.'!L445</f>
        <v>214</v>
      </c>
      <c r="K771" s="63">
        <f>'Прил.№4 ведомств.'!M445</f>
        <v>0</v>
      </c>
      <c r="L771" s="63">
        <f>'Прил.№4 ведомств.'!N445</f>
        <v>0</v>
      </c>
      <c r="M771" s="7" t="e">
        <f t="shared" si="422"/>
        <v>#DIV/0!</v>
      </c>
    </row>
    <row r="772" spans="1:13" ht="15.75">
      <c r="A772" s="31" t="s">
        <v>194</v>
      </c>
      <c r="B772" s="42" t="s">
        <v>352</v>
      </c>
      <c r="C772" s="42" t="s">
        <v>203</v>
      </c>
      <c r="D772" s="42" t="s">
        <v>195</v>
      </c>
      <c r="E772" s="42"/>
      <c r="F772" s="7">
        <f>F773</f>
        <v>10393.9</v>
      </c>
      <c r="G772" s="7">
        <f t="shared" ref="G772:L772" si="454">G773</f>
        <v>10314.713725490197</v>
      </c>
      <c r="H772" s="7">
        <f t="shared" si="454"/>
        <v>11264.400000000001</v>
      </c>
      <c r="I772" s="7">
        <f t="shared" si="454"/>
        <v>11380.099999999999</v>
      </c>
      <c r="J772" s="7">
        <f t="shared" si="454"/>
        <v>11488.199999999999</v>
      </c>
      <c r="K772" s="7">
        <f t="shared" si="454"/>
        <v>10377.5</v>
      </c>
      <c r="L772" s="7">
        <f t="shared" si="454"/>
        <v>1864.6999999999998</v>
      </c>
      <c r="M772" s="7">
        <f t="shared" si="422"/>
        <v>17.96868224524211</v>
      </c>
    </row>
    <row r="773" spans="1:13" ht="31.5">
      <c r="A773" s="26" t="s">
        <v>393</v>
      </c>
      <c r="B773" s="42" t="s">
        <v>352</v>
      </c>
      <c r="C773" s="42" t="s">
        <v>203</v>
      </c>
      <c r="D773" s="42" t="s">
        <v>394</v>
      </c>
      <c r="E773" s="42"/>
      <c r="F773" s="7">
        <f>F774+F776+F778</f>
        <v>10393.9</v>
      </c>
      <c r="G773" s="7">
        <f t="shared" ref="G773:K773" si="455">G774+G776+G778</f>
        <v>10314.713725490197</v>
      </c>
      <c r="H773" s="7">
        <f t="shared" si="455"/>
        <v>11264.400000000001</v>
      </c>
      <c r="I773" s="7">
        <f t="shared" si="455"/>
        <v>11380.099999999999</v>
      </c>
      <c r="J773" s="7">
        <f t="shared" si="455"/>
        <v>11488.199999999999</v>
      </c>
      <c r="K773" s="7">
        <f t="shared" si="455"/>
        <v>10377.5</v>
      </c>
      <c r="L773" s="7">
        <f t="shared" ref="L773" si="456">L774+L776+L778</f>
        <v>1864.6999999999998</v>
      </c>
      <c r="M773" s="7">
        <f t="shared" si="422"/>
        <v>17.96868224524211</v>
      </c>
    </row>
    <row r="774" spans="1:13" ht="78.75">
      <c r="A774" s="31" t="s">
        <v>180</v>
      </c>
      <c r="B774" s="42" t="s">
        <v>352</v>
      </c>
      <c r="C774" s="42" t="s">
        <v>203</v>
      </c>
      <c r="D774" s="42" t="s">
        <v>394</v>
      </c>
      <c r="E774" s="42" t="s">
        <v>181</v>
      </c>
      <c r="F774" s="63">
        <f>F775</f>
        <v>8721.4</v>
      </c>
      <c r="G774" s="63">
        <f t="shared" ref="G774:L774" si="457">G775</f>
        <v>9111.2470588235301</v>
      </c>
      <c r="H774" s="63">
        <f t="shared" si="457"/>
        <v>9109.2000000000007</v>
      </c>
      <c r="I774" s="63">
        <f t="shared" si="457"/>
        <v>9200.2999999999993</v>
      </c>
      <c r="J774" s="63">
        <f t="shared" si="457"/>
        <v>9292.2999999999993</v>
      </c>
      <c r="K774" s="63">
        <f t="shared" si="457"/>
        <v>8721.4</v>
      </c>
      <c r="L774" s="63">
        <f t="shared" si="457"/>
        <v>1606.6</v>
      </c>
      <c r="M774" s="7">
        <f t="shared" si="422"/>
        <v>18.421354369711285</v>
      </c>
    </row>
    <row r="775" spans="1:13" ht="31.5">
      <c r="A775" s="48" t="s">
        <v>395</v>
      </c>
      <c r="B775" s="42" t="s">
        <v>352</v>
      </c>
      <c r="C775" s="42" t="s">
        <v>203</v>
      </c>
      <c r="D775" s="42" t="s">
        <v>394</v>
      </c>
      <c r="E775" s="42" t="s">
        <v>262</v>
      </c>
      <c r="F775" s="63">
        <f>'Прил.№4 ведомств.'!G449</f>
        <v>8721.4</v>
      </c>
      <c r="G775" s="63">
        <f>'Прил.№4 ведомств.'!I449</f>
        <v>9111.2470588235301</v>
      </c>
      <c r="H775" s="63">
        <f>'Прил.№4 ведомств.'!J449</f>
        <v>9109.2000000000007</v>
      </c>
      <c r="I775" s="63">
        <f>'Прил.№4 ведомств.'!K449</f>
        <v>9200.2999999999993</v>
      </c>
      <c r="J775" s="63">
        <f>'Прил.№4 ведомств.'!L449</f>
        <v>9292.2999999999993</v>
      </c>
      <c r="K775" s="63">
        <f>'Прил.№4 ведомств.'!M449</f>
        <v>8721.4</v>
      </c>
      <c r="L775" s="63">
        <f>'Прил.№4 ведомств.'!N449</f>
        <v>1606.6</v>
      </c>
      <c r="M775" s="7">
        <f t="shared" si="422"/>
        <v>18.421354369711285</v>
      </c>
    </row>
    <row r="776" spans="1:13" ht="31.5">
      <c r="A776" s="31" t="s">
        <v>184</v>
      </c>
      <c r="B776" s="42" t="s">
        <v>352</v>
      </c>
      <c r="C776" s="42" t="s">
        <v>203</v>
      </c>
      <c r="D776" s="42" t="s">
        <v>394</v>
      </c>
      <c r="E776" s="42" t="s">
        <v>185</v>
      </c>
      <c r="F776" s="63">
        <f>F777</f>
        <v>1652.5</v>
      </c>
      <c r="G776" s="63">
        <f t="shared" ref="G776:L776" si="458">G777</f>
        <v>1183.4666666666667</v>
      </c>
      <c r="H776" s="63">
        <f t="shared" si="458"/>
        <v>2135.1999999999998</v>
      </c>
      <c r="I776" s="63">
        <f t="shared" si="458"/>
        <v>2159.8000000000002</v>
      </c>
      <c r="J776" s="63">
        <f t="shared" si="458"/>
        <v>2175.9</v>
      </c>
      <c r="K776" s="63">
        <f t="shared" si="458"/>
        <v>1636.1</v>
      </c>
      <c r="L776" s="63">
        <f t="shared" si="458"/>
        <v>256</v>
      </c>
      <c r="M776" s="7">
        <f t="shared" si="422"/>
        <v>15.646965344416602</v>
      </c>
    </row>
    <row r="777" spans="1:13" ht="47.25">
      <c r="A777" s="31" t="s">
        <v>186</v>
      </c>
      <c r="B777" s="42" t="s">
        <v>352</v>
      </c>
      <c r="C777" s="42" t="s">
        <v>203</v>
      </c>
      <c r="D777" s="42" t="s">
        <v>394</v>
      </c>
      <c r="E777" s="42" t="s">
        <v>187</v>
      </c>
      <c r="F777" s="63">
        <f>'Прил.№4 ведомств.'!G451</f>
        <v>1652.5</v>
      </c>
      <c r="G777" s="63">
        <f>'Прил.№4 ведомств.'!I451</f>
        <v>1183.4666666666667</v>
      </c>
      <c r="H777" s="63">
        <f>'Прил.№4 ведомств.'!J451</f>
        <v>2135.1999999999998</v>
      </c>
      <c r="I777" s="63">
        <f>'Прил.№4 ведомств.'!K451</f>
        <v>2159.8000000000002</v>
      </c>
      <c r="J777" s="63">
        <f>'Прил.№4 ведомств.'!L451</f>
        <v>2175.9</v>
      </c>
      <c r="K777" s="63">
        <f>'Прил.№4 ведомств.'!M451</f>
        <v>1636.1</v>
      </c>
      <c r="L777" s="63">
        <f>'Прил.№4 ведомств.'!N451</f>
        <v>256</v>
      </c>
      <c r="M777" s="7">
        <f t="shared" si="422"/>
        <v>15.646965344416602</v>
      </c>
    </row>
    <row r="778" spans="1:13" ht="15.75">
      <c r="A778" s="31" t="s">
        <v>188</v>
      </c>
      <c r="B778" s="42" t="s">
        <v>352</v>
      </c>
      <c r="C778" s="42" t="s">
        <v>203</v>
      </c>
      <c r="D778" s="42" t="s">
        <v>394</v>
      </c>
      <c r="E778" s="42" t="s">
        <v>198</v>
      </c>
      <c r="F778" s="63">
        <f>F779</f>
        <v>20</v>
      </c>
      <c r="G778" s="63">
        <f t="shared" ref="G778:L778" si="459">G779</f>
        <v>20</v>
      </c>
      <c r="H778" s="63">
        <f t="shared" si="459"/>
        <v>20</v>
      </c>
      <c r="I778" s="63">
        <f t="shared" si="459"/>
        <v>20</v>
      </c>
      <c r="J778" s="63">
        <f t="shared" si="459"/>
        <v>20</v>
      </c>
      <c r="K778" s="63">
        <f t="shared" si="459"/>
        <v>20</v>
      </c>
      <c r="L778" s="63">
        <f t="shared" si="459"/>
        <v>2.1</v>
      </c>
      <c r="M778" s="7">
        <f t="shared" si="422"/>
        <v>10.500000000000002</v>
      </c>
    </row>
    <row r="779" spans="1:13" ht="15.75">
      <c r="A779" s="31" t="s">
        <v>622</v>
      </c>
      <c r="B779" s="42" t="s">
        <v>352</v>
      </c>
      <c r="C779" s="42" t="s">
        <v>203</v>
      </c>
      <c r="D779" s="42" t="s">
        <v>394</v>
      </c>
      <c r="E779" s="42" t="s">
        <v>191</v>
      </c>
      <c r="F779" s="63">
        <f>'Прил.№4 ведомств.'!G453</f>
        <v>20</v>
      </c>
      <c r="G779" s="63">
        <f>'Прил.№4 ведомств.'!I453</f>
        <v>20</v>
      </c>
      <c r="H779" s="63">
        <f>'Прил.№4 ведомств.'!J453</f>
        <v>20</v>
      </c>
      <c r="I779" s="63">
        <f>'Прил.№4 ведомств.'!K453</f>
        <v>20</v>
      </c>
      <c r="J779" s="63">
        <f>'Прил.№4 ведомств.'!L453</f>
        <v>20</v>
      </c>
      <c r="K779" s="63">
        <f>'Прил.№4 ведомств.'!M453</f>
        <v>20</v>
      </c>
      <c r="L779" s="63">
        <f>'Прил.№4 ведомств.'!N453</f>
        <v>2.1</v>
      </c>
      <c r="M779" s="7">
        <f t="shared" si="422"/>
        <v>10.500000000000002</v>
      </c>
    </row>
    <row r="780" spans="1:13" ht="15.75">
      <c r="A780" s="43" t="s">
        <v>296</v>
      </c>
      <c r="B780" s="8" t="s">
        <v>297</v>
      </c>
      <c r="C780" s="8"/>
      <c r="D780" s="8"/>
      <c r="E780" s="8"/>
      <c r="F780" s="4">
        <f>F781+F787+F873+F865</f>
        <v>16937</v>
      </c>
      <c r="G780" s="4">
        <f t="shared" ref="G780:K780" si="460">G781+G787+G873+G865</f>
        <v>16927</v>
      </c>
      <c r="H780" s="4">
        <f t="shared" si="460"/>
        <v>17517.8</v>
      </c>
      <c r="I780" s="4">
        <f t="shared" si="460"/>
        <v>17632.8</v>
      </c>
      <c r="J780" s="4">
        <f t="shared" si="460"/>
        <v>17677.8</v>
      </c>
      <c r="K780" s="4">
        <f t="shared" si="460"/>
        <v>16443.7</v>
      </c>
      <c r="L780" s="4">
        <f t="shared" ref="L780" si="461">L781+L787+L873+L865</f>
        <v>3521.4999999999995</v>
      </c>
      <c r="M780" s="4">
        <f t="shared" si="422"/>
        <v>21.415496512342109</v>
      </c>
    </row>
    <row r="781" spans="1:13" ht="15.75">
      <c r="A781" s="43" t="s">
        <v>298</v>
      </c>
      <c r="B781" s="8" t="s">
        <v>297</v>
      </c>
      <c r="C781" s="8" t="s">
        <v>171</v>
      </c>
      <c r="D781" s="8"/>
      <c r="E781" s="8"/>
      <c r="F781" s="4">
        <f>F783</f>
        <v>9066.4</v>
      </c>
      <c r="G781" s="4">
        <f t="shared" ref="G781:K781" si="462">G783</f>
        <v>9066.4</v>
      </c>
      <c r="H781" s="4">
        <f t="shared" si="462"/>
        <v>9066.5</v>
      </c>
      <c r="I781" s="4">
        <f t="shared" si="462"/>
        <v>9066.5</v>
      </c>
      <c r="J781" s="4">
        <f t="shared" si="462"/>
        <v>9066.5</v>
      </c>
      <c r="K781" s="4">
        <f t="shared" si="462"/>
        <v>9066.4</v>
      </c>
      <c r="L781" s="4">
        <f t="shared" ref="L781" si="463">L783</f>
        <v>2266.6</v>
      </c>
      <c r="M781" s="4">
        <f t="shared" ref="M781:M844" si="464">L781/K781*100</f>
        <v>25</v>
      </c>
    </row>
    <row r="782" spans="1:13" ht="15.75">
      <c r="A782" s="31" t="s">
        <v>174</v>
      </c>
      <c r="B782" s="42" t="s">
        <v>297</v>
      </c>
      <c r="C782" s="42" t="s">
        <v>171</v>
      </c>
      <c r="D782" s="42" t="s">
        <v>175</v>
      </c>
      <c r="E782" s="42"/>
      <c r="F782" s="7">
        <f>F783</f>
        <v>9066.4</v>
      </c>
      <c r="G782" s="7">
        <f t="shared" ref="G782:L785" si="465">G783</f>
        <v>9066.4</v>
      </c>
      <c r="H782" s="7">
        <f t="shared" si="465"/>
        <v>9066.5</v>
      </c>
      <c r="I782" s="7">
        <f t="shared" si="465"/>
        <v>9066.5</v>
      </c>
      <c r="J782" s="7">
        <f t="shared" si="465"/>
        <v>9066.5</v>
      </c>
      <c r="K782" s="7">
        <f t="shared" si="465"/>
        <v>9066.4</v>
      </c>
      <c r="L782" s="7">
        <f t="shared" si="465"/>
        <v>2266.6</v>
      </c>
      <c r="M782" s="7">
        <f t="shared" si="464"/>
        <v>25</v>
      </c>
    </row>
    <row r="783" spans="1:13" ht="15.75">
      <c r="A783" s="31" t="s">
        <v>194</v>
      </c>
      <c r="B783" s="42" t="s">
        <v>297</v>
      </c>
      <c r="C783" s="42" t="s">
        <v>171</v>
      </c>
      <c r="D783" s="42" t="s">
        <v>195</v>
      </c>
      <c r="E783" s="42"/>
      <c r="F783" s="7">
        <f>F784</f>
        <v>9066.4</v>
      </c>
      <c r="G783" s="7">
        <f t="shared" si="465"/>
        <v>9066.4</v>
      </c>
      <c r="H783" s="7">
        <f t="shared" si="465"/>
        <v>9066.5</v>
      </c>
      <c r="I783" s="7">
        <f t="shared" si="465"/>
        <v>9066.5</v>
      </c>
      <c r="J783" s="7">
        <f t="shared" si="465"/>
        <v>9066.5</v>
      </c>
      <c r="K783" s="7">
        <f t="shared" si="465"/>
        <v>9066.4</v>
      </c>
      <c r="L783" s="7">
        <f t="shared" si="465"/>
        <v>2266.6</v>
      </c>
      <c r="M783" s="7">
        <f t="shared" si="464"/>
        <v>25</v>
      </c>
    </row>
    <row r="784" spans="1:13" ht="15.75">
      <c r="A784" s="31" t="s">
        <v>299</v>
      </c>
      <c r="B784" s="42" t="s">
        <v>297</v>
      </c>
      <c r="C784" s="42" t="s">
        <v>171</v>
      </c>
      <c r="D784" s="42" t="s">
        <v>300</v>
      </c>
      <c r="E784" s="42"/>
      <c r="F784" s="7">
        <f>F785</f>
        <v>9066.4</v>
      </c>
      <c r="G784" s="7">
        <f t="shared" si="465"/>
        <v>9066.4</v>
      </c>
      <c r="H784" s="7">
        <f t="shared" si="465"/>
        <v>9066.5</v>
      </c>
      <c r="I784" s="7">
        <f t="shared" si="465"/>
        <v>9066.5</v>
      </c>
      <c r="J784" s="7">
        <f t="shared" si="465"/>
        <v>9066.5</v>
      </c>
      <c r="K784" s="7">
        <f t="shared" si="465"/>
        <v>9066.4</v>
      </c>
      <c r="L784" s="7">
        <f t="shared" si="465"/>
        <v>2266.6</v>
      </c>
      <c r="M784" s="7">
        <f t="shared" si="464"/>
        <v>25</v>
      </c>
    </row>
    <row r="785" spans="1:13" ht="31.5">
      <c r="A785" s="31" t="s">
        <v>301</v>
      </c>
      <c r="B785" s="42" t="s">
        <v>297</v>
      </c>
      <c r="C785" s="42" t="s">
        <v>171</v>
      </c>
      <c r="D785" s="42" t="s">
        <v>300</v>
      </c>
      <c r="E785" s="42" t="s">
        <v>302</v>
      </c>
      <c r="F785" s="7">
        <f>F786</f>
        <v>9066.4</v>
      </c>
      <c r="G785" s="7">
        <f t="shared" si="465"/>
        <v>9066.4</v>
      </c>
      <c r="H785" s="7">
        <f t="shared" si="465"/>
        <v>9066.5</v>
      </c>
      <c r="I785" s="7">
        <f t="shared" si="465"/>
        <v>9066.5</v>
      </c>
      <c r="J785" s="7">
        <f t="shared" si="465"/>
        <v>9066.5</v>
      </c>
      <c r="K785" s="7">
        <f t="shared" si="465"/>
        <v>9066.4</v>
      </c>
      <c r="L785" s="7">
        <f t="shared" si="465"/>
        <v>2266.6</v>
      </c>
      <c r="M785" s="7">
        <f t="shared" si="464"/>
        <v>25</v>
      </c>
    </row>
    <row r="786" spans="1:13" ht="31.5">
      <c r="A786" s="31" t="s">
        <v>303</v>
      </c>
      <c r="B786" s="42" t="s">
        <v>297</v>
      </c>
      <c r="C786" s="42" t="s">
        <v>171</v>
      </c>
      <c r="D786" s="42" t="s">
        <v>300</v>
      </c>
      <c r="E786" s="42" t="s">
        <v>304</v>
      </c>
      <c r="F786" s="63">
        <f>'Прил.№4 ведомств.'!G224</f>
        <v>9066.4</v>
      </c>
      <c r="G786" s="63">
        <f>'Прил.№4 ведомств.'!I224</f>
        <v>9066.4</v>
      </c>
      <c r="H786" s="63">
        <f>'Прил.№4 ведомств.'!J224</f>
        <v>9066.5</v>
      </c>
      <c r="I786" s="63">
        <f>'Прил.№4 ведомств.'!K224</f>
        <v>9066.5</v>
      </c>
      <c r="J786" s="63">
        <f>'Прил.№4 ведомств.'!L224</f>
        <v>9066.5</v>
      </c>
      <c r="K786" s="63">
        <f>'Прил.№4 ведомств.'!M224</f>
        <v>9066.4</v>
      </c>
      <c r="L786" s="63">
        <f>'Прил.№4 ведомств.'!N224</f>
        <v>2266.6</v>
      </c>
      <c r="M786" s="7">
        <f t="shared" si="464"/>
        <v>25</v>
      </c>
    </row>
    <row r="787" spans="1:13" ht="15.75">
      <c r="A787" s="43" t="s">
        <v>305</v>
      </c>
      <c r="B787" s="8" t="s">
        <v>297</v>
      </c>
      <c r="C787" s="8" t="s">
        <v>268</v>
      </c>
      <c r="D787" s="8"/>
      <c r="E787" s="8"/>
      <c r="F787" s="4">
        <f>F788+F845+F841</f>
        <v>4635</v>
      </c>
      <c r="G787" s="4">
        <f t="shared" ref="G787:K787" si="466">G788+G845+G841</f>
        <v>4625</v>
      </c>
      <c r="H787" s="4">
        <f t="shared" si="466"/>
        <v>5195</v>
      </c>
      <c r="I787" s="4">
        <f t="shared" si="466"/>
        <v>5310</v>
      </c>
      <c r="J787" s="4">
        <f t="shared" si="466"/>
        <v>5355</v>
      </c>
      <c r="K787" s="4">
        <f t="shared" si="466"/>
        <v>3763</v>
      </c>
      <c r="L787" s="4">
        <f t="shared" ref="L787" si="467">L788+L845+L841</f>
        <v>727.8</v>
      </c>
      <c r="M787" s="4">
        <f t="shared" si="464"/>
        <v>19.34095136858889</v>
      </c>
    </row>
    <row r="788" spans="1:13" ht="47.25">
      <c r="A788" s="31" t="s">
        <v>396</v>
      </c>
      <c r="B788" s="42" t="s">
        <v>297</v>
      </c>
      <c r="C788" s="42" t="s">
        <v>268</v>
      </c>
      <c r="D788" s="42" t="s">
        <v>397</v>
      </c>
      <c r="E788" s="42"/>
      <c r="F788" s="7">
        <f>F789+F800+F804+F808+F814+F818+F822+F837</f>
        <v>3693</v>
      </c>
      <c r="G788" s="7">
        <f t="shared" ref="G788:K788" si="468">G789+G800+G804+G808+G814+G818+G822+G837</f>
        <v>3693</v>
      </c>
      <c r="H788" s="7">
        <f t="shared" si="468"/>
        <v>5185</v>
      </c>
      <c r="I788" s="7">
        <f t="shared" si="468"/>
        <v>5300</v>
      </c>
      <c r="J788" s="7">
        <f t="shared" si="468"/>
        <v>5345</v>
      </c>
      <c r="K788" s="7">
        <f t="shared" si="468"/>
        <v>3753</v>
      </c>
      <c r="L788" s="7">
        <f t="shared" ref="L788" si="469">L789+L800+L804+L808+L814+L818+L822+L837</f>
        <v>727.8</v>
      </c>
      <c r="M788" s="7">
        <f t="shared" si="464"/>
        <v>19.392486011191046</v>
      </c>
    </row>
    <row r="789" spans="1:13" ht="31.5">
      <c r="A789" s="31" t="s">
        <v>398</v>
      </c>
      <c r="B789" s="42" t="s">
        <v>297</v>
      </c>
      <c r="C789" s="42" t="s">
        <v>268</v>
      </c>
      <c r="D789" s="42" t="s">
        <v>399</v>
      </c>
      <c r="E789" s="42"/>
      <c r="F789" s="7">
        <f>F790+F797+F795</f>
        <v>935</v>
      </c>
      <c r="G789" s="7">
        <f t="shared" ref="G789:J789" si="470">G790+G797+G795</f>
        <v>935</v>
      </c>
      <c r="H789" s="7">
        <f t="shared" si="470"/>
        <v>985</v>
      </c>
      <c r="I789" s="7">
        <f t="shared" si="470"/>
        <v>1020</v>
      </c>
      <c r="J789" s="7">
        <f t="shared" si="470"/>
        <v>1035</v>
      </c>
      <c r="K789" s="7">
        <f>K790+K797</f>
        <v>1000</v>
      </c>
      <c r="L789" s="7">
        <f t="shared" ref="L789" si="471">L790+L797</f>
        <v>152.9</v>
      </c>
      <c r="M789" s="7">
        <f t="shared" si="464"/>
        <v>15.290000000000001</v>
      </c>
    </row>
    <row r="790" spans="1:13" ht="31.5">
      <c r="A790" s="31" t="s">
        <v>210</v>
      </c>
      <c r="B790" s="42" t="s">
        <v>297</v>
      </c>
      <c r="C790" s="42" t="s">
        <v>268</v>
      </c>
      <c r="D790" s="42" t="s">
        <v>400</v>
      </c>
      <c r="E790" s="42"/>
      <c r="F790" s="7">
        <f>F793</f>
        <v>641.4</v>
      </c>
      <c r="G790" s="7">
        <f>G793</f>
        <v>641.4</v>
      </c>
      <c r="H790" s="7">
        <f>H793</f>
        <v>641.4</v>
      </c>
      <c r="I790" s="7">
        <f>I793</f>
        <v>641.4</v>
      </c>
      <c r="J790" s="7">
        <f>J793</f>
        <v>641.4</v>
      </c>
      <c r="K790" s="7">
        <f>K793+K791+K795</f>
        <v>731.4</v>
      </c>
      <c r="L790" s="7">
        <f t="shared" ref="L790" si="472">L793+L791+L795</f>
        <v>152.9</v>
      </c>
      <c r="M790" s="7">
        <f t="shared" si="464"/>
        <v>20.905113480995354</v>
      </c>
    </row>
    <row r="791" spans="1:13" ht="78.75">
      <c r="A791" s="26" t="s">
        <v>180</v>
      </c>
      <c r="B791" s="42" t="s">
        <v>297</v>
      </c>
      <c r="C791" s="42" t="s">
        <v>268</v>
      </c>
      <c r="D791" s="42" t="s">
        <v>400</v>
      </c>
      <c r="E791" s="42" t="s">
        <v>181</v>
      </c>
      <c r="F791" s="7"/>
      <c r="G791" s="7"/>
      <c r="H791" s="7"/>
      <c r="I791" s="7"/>
      <c r="J791" s="7"/>
      <c r="K791" s="7">
        <f>K792</f>
        <v>40</v>
      </c>
      <c r="L791" s="7">
        <f t="shared" ref="L791" si="473">L792</f>
        <v>5</v>
      </c>
      <c r="M791" s="7">
        <f t="shared" si="464"/>
        <v>12.5</v>
      </c>
    </row>
    <row r="792" spans="1:13" ht="31.5">
      <c r="A792" s="26" t="s">
        <v>395</v>
      </c>
      <c r="B792" s="42" t="s">
        <v>297</v>
      </c>
      <c r="C792" s="42" t="s">
        <v>268</v>
      </c>
      <c r="D792" s="42" t="s">
        <v>400</v>
      </c>
      <c r="E792" s="42" t="s">
        <v>262</v>
      </c>
      <c r="F792" s="7"/>
      <c r="G792" s="7"/>
      <c r="H792" s="7"/>
      <c r="I792" s="7"/>
      <c r="J792" s="7"/>
      <c r="K792" s="7">
        <f>'Прил.№4 ведомств.'!M460</f>
        <v>40</v>
      </c>
      <c r="L792" s="7">
        <f>'Прил.№4 ведомств.'!N460</f>
        <v>5</v>
      </c>
      <c r="M792" s="7">
        <f t="shared" si="464"/>
        <v>12.5</v>
      </c>
    </row>
    <row r="793" spans="1:13" ht="31.5">
      <c r="A793" s="31" t="s">
        <v>184</v>
      </c>
      <c r="B793" s="42" t="s">
        <v>297</v>
      </c>
      <c r="C793" s="42" t="s">
        <v>268</v>
      </c>
      <c r="D793" s="42" t="s">
        <v>400</v>
      </c>
      <c r="E793" s="42" t="s">
        <v>185</v>
      </c>
      <c r="F793" s="7">
        <f>F794</f>
        <v>641.4</v>
      </c>
      <c r="G793" s="7">
        <f t="shared" ref="G793:L793" si="474">G794</f>
        <v>641.4</v>
      </c>
      <c r="H793" s="7">
        <f t="shared" si="474"/>
        <v>641.4</v>
      </c>
      <c r="I793" s="7">
        <f t="shared" si="474"/>
        <v>641.4</v>
      </c>
      <c r="J793" s="7">
        <f t="shared" si="474"/>
        <v>641.4</v>
      </c>
      <c r="K793" s="7">
        <f t="shared" si="474"/>
        <v>666.4</v>
      </c>
      <c r="L793" s="7">
        <f t="shared" si="474"/>
        <v>122.9</v>
      </c>
      <c r="M793" s="7">
        <f t="shared" si="464"/>
        <v>18.442376950780314</v>
      </c>
    </row>
    <row r="794" spans="1:13" ht="47.25">
      <c r="A794" s="31" t="s">
        <v>186</v>
      </c>
      <c r="B794" s="42" t="s">
        <v>297</v>
      </c>
      <c r="C794" s="42" t="s">
        <v>268</v>
      </c>
      <c r="D794" s="42" t="s">
        <v>400</v>
      </c>
      <c r="E794" s="42" t="s">
        <v>187</v>
      </c>
      <c r="F794" s="7">
        <f>'Прил.№4 ведомств.'!G462</f>
        <v>641.4</v>
      </c>
      <c r="G794" s="7">
        <f>'Прил.№4 ведомств.'!I462</f>
        <v>641.4</v>
      </c>
      <c r="H794" s="7">
        <f>'Прил.№4 ведомств.'!J462</f>
        <v>641.4</v>
      </c>
      <c r="I794" s="7">
        <f>'Прил.№4 ведомств.'!K462</f>
        <v>641.4</v>
      </c>
      <c r="J794" s="7">
        <f>'Прил.№4 ведомств.'!L462</f>
        <v>641.4</v>
      </c>
      <c r="K794" s="7">
        <f>'Прил.№4 ведомств.'!M462</f>
        <v>666.4</v>
      </c>
      <c r="L794" s="7">
        <f>'Прил.№4 ведомств.'!N462</f>
        <v>122.9</v>
      </c>
      <c r="M794" s="7">
        <f t="shared" si="464"/>
        <v>18.442376950780314</v>
      </c>
    </row>
    <row r="795" spans="1:13" ht="31.5">
      <c r="A795" s="31" t="s">
        <v>301</v>
      </c>
      <c r="B795" s="42" t="s">
        <v>297</v>
      </c>
      <c r="C795" s="42" t="s">
        <v>268</v>
      </c>
      <c r="D795" s="42" t="s">
        <v>400</v>
      </c>
      <c r="E795" s="42" t="s">
        <v>302</v>
      </c>
      <c r="F795" s="7">
        <f>F796</f>
        <v>25</v>
      </c>
      <c r="G795" s="7">
        <f t="shared" ref="G795:L795" si="475">G796</f>
        <v>25</v>
      </c>
      <c r="H795" s="7">
        <f t="shared" si="475"/>
        <v>75</v>
      </c>
      <c r="I795" s="7">
        <f t="shared" si="475"/>
        <v>110</v>
      </c>
      <c r="J795" s="7">
        <f t="shared" si="475"/>
        <v>125</v>
      </c>
      <c r="K795" s="7">
        <f t="shared" si="475"/>
        <v>25</v>
      </c>
      <c r="L795" s="7">
        <f t="shared" si="475"/>
        <v>25</v>
      </c>
      <c r="M795" s="7">
        <f t="shared" si="464"/>
        <v>100</v>
      </c>
    </row>
    <row r="796" spans="1:13" ht="31.5">
      <c r="A796" s="31" t="s">
        <v>401</v>
      </c>
      <c r="B796" s="42" t="s">
        <v>297</v>
      </c>
      <c r="C796" s="42" t="s">
        <v>268</v>
      </c>
      <c r="D796" s="42" t="s">
        <v>400</v>
      </c>
      <c r="E796" s="42" t="s">
        <v>402</v>
      </c>
      <c r="F796" s="7">
        <f>'Прил.№4 ведомств.'!G464</f>
        <v>25</v>
      </c>
      <c r="G796" s="7">
        <f>'Прил.№4 ведомств.'!I464</f>
        <v>25</v>
      </c>
      <c r="H796" s="7">
        <f>'Прил.№4 ведомств.'!J464</f>
        <v>75</v>
      </c>
      <c r="I796" s="7">
        <f>'Прил.№4 ведомств.'!K464</f>
        <v>110</v>
      </c>
      <c r="J796" s="7">
        <f>'Прил.№4 ведомств.'!L464</f>
        <v>125</v>
      </c>
      <c r="K796" s="7">
        <f>'Прил.№4 ведомств.'!M464</f>
        <v>25</v>
      </c>
      <c r="L796" s="7">
        <f>'Прил.№4 ведомств.'!N464</f>
        <v>25</v>
      </c>
      <c r="M796" s="7">
        <f t="shared" si="464"/>
        <v>100</v>
      </c>
    </row>
    <row r="797" spans="1:13" ht="31.5">
      <c r="A797" s="26" t="s">
        <v>403</v>
      </c>
      <c r="B797" s="42" t="s">
        <v>297</v>
      </c>
      <c r="C797" s="42" t="s">
        <v>268</v>
      </c>
      <c r="D797" s="21" t="s">
        <v>404</v>
      </c>
      <c r="E797" s="42"/>
      <c r="F797" s="7">
        <f>F798</f>
        <v>268.60000000000002</v>
      </c>
      <c r="G797" s="7">
        <f t="shared" ref="G797:L798" si="476">G798</f>
        <v>268.60000000000002</v>
      </c>
      <c r="H797" s="7">
        <f t="shared" si="476"/>
        <v>268.60000000000002</v>
      </c>
      <c r="I797" s="7">
        <f t="shared" si="476"/>
        <v>268.60000000000002</v>
      </c>
      <c r="J797" s="7">
        <f t="shared" si="476"/>
        <v>268.60000000000002</v>
      </c>
      <c r="K797" s="7">
        <f t="shared" si="476"/>
        <v>268.60000000000002</v>
      </c>
      <c r="L797" s="7">
        <f t="shared" si="476"/>
        <v>0</v>
      </c>
      <c r="M797" s="7">
        <f t="shared" si="464"/>
        <v>0</v>
      </c>
    </row>
    <row r="798" spans="1:13" ht="47.25">
      <c r="A798" s="26" t="s">
        <v>325</v>
      </c>
      <c r="B798" s="42" t="s">
        <v>297</v>
      </c>
      <c r="C798" s="42" t="s">
        <v>268</v>
      </c>
      <c r="D798" s="21" t="s">
        <v>404</v>
      </c>
      <c r="E798" s="42" t="s">
        <v>326</v>
      </c>
      <c r="F798" s="7">
        <f>F799</f>
        <v>268.60000000000002</v>
      </c>
      <c r="G798" s="7">
        <f t="shared" si="476"/>
        <v>268.60000000000002</v>
      </c>
      <c r="H798" s="7">
        <f t="shared" si="476"/>
        <v>268.60000000000002</v>
      </c>
      <c r="I798" s="7">
        <f t="shared" si="476"/>
        <v>268.60000000000002</v>
      </c>
      <c r="J798" s="7">
        <f t="shared" si="476"/>
        <v>268.60000000000002</v>
      </c>
      <c r="K798" s="7">
        <f t="shared" si="476"/>
        <v>268.60000000000002</v>
      </c>
      <c r="L798" s="7">
        <f t="shared" si="476"/>
        <v>0</v>
      </c>
      <c r="M798" s="7">
        <f t="shared" si="464"/>
        <v>0</v>
      </c>
    </row>
    <row r="799" spans="1:13" ht="15.75">
      <c r="A799" s="26" t="s">
        <v>327</v>
      </c>
      <c r="B799" s="42" t="s">
        <v>297</v>
      </c>
      <c r="C799" s="42" t="s">
        <v>268</v>
      </c>
      <c r="D799" s="21" t="s">
        <v>404</v>
      </c>
      <c r="E799" s="42" t="s">
        <v>328</v>
      </c>
      <c r="F799" s="7">
        <f>'Прил.№4 ведомств.'!G467</f>
        <v>268.60000000000002</v>
      </c>
      <c r="G799" s="7">
        <f>'Прил.№4 ведомств.'!I467</f>
        <v>268.60000000000002</v>
      </c>
      <c r="H799" s="7">
        <f>'Прил.№4 ведомств.'!J467</f>
        <v>268.60000000000002</v>
      </c>
      <c r="I799" s="7">
        <f>'Прил.№4 ведомств.'!K467</f>
        <v>268.60000000000002</v>
      </c>
      <c r="J799" s="7">
        <f>'Прил.№4 ведомств.'!L467</f>
        <v>268.60000000000002</v>
      </c>
      <c r="K799" s="7">
        <f>'Прил.№4 ведомств.'!M467</f>
        <v>268.60000000000002</v>
      </c>
      <c r="L799" s="7">
        <f>'Прил.№4 ведомств.'!N467</f>
        <v>0</v>
      </c>
      <c r="M799" s="7">
        <f t="shared" si="464"/>
        <v>0</v>
      </c>
    </row>
    <row r="800" spans="1:13" ht="31.5">
      <c r="A800" s="31" t="s">
        <v>405</v>
      </c>
      <c r="B800" s="42" t="s">
        <v>297</v>
      </c>
      <c r="C800" s="42" t="s">
        <v>268</v>
      </c>
      <c r="D800" s="42" t="s">
        <v>406</v>
      </c>
      <c r="E800" s="42"/>
      <c r="F800" s="7">
        <f>F801</f>
        <v>63</v>
      </c>
      <c r="G800" s="7">
        <f t="shared" ref="G800:L802" si="477">G801</f>
        <v>63</v>
      </c>
      <c r="H800" s="7">
        <f t="shared" si="477"/>
        <v>63</v>
      </c>
      <c r="I800" s="7">
        <f t="shared" si="477"/>
        <v>63</v>
      </c>
      <c r="J800" s="7">
        <f t="shared" si="477"/>
        <v>63</v>
      </c>
      <c r="K800" s="7">
        <f t="shared" si="477"/>
        <v>148.4</v>
      </c>
      <c r="L800" s="7">
        <f t="shared" si="477"/>
        <v>0</v>
      </c>
      <c r="M800" s="7">
        <f t="shared" si="464"/>
        <v>0</v>
      </c>
    </row>
    <row r="801" spans="1:13" ht="31.5">
      <c r="A801" s="26" t="s">
        <v>689</v>
      </c>
      <c r="B801" s="42" t="s">
        <v>297</v>
      </c>
      <c r="C801" s="42" t="s">
        <v>268</v>
      </c>
      <c r="D801" s="21" t="s">
        <v>690</v>
      </c>
      <c r="E801" s="42"/>
      <c r="F801" s="7">
        <f>F802</f>
        <v>63</v>
      </c>
      <c r="G801" s="7">
        <f t="shared" si="477"/>
        <v>63</v>
      </c>
      <c r="H801" s="7">
        <f t="shared" si="477"/>
        <v>63</v>
      </c>
      <c r="I801" s="7">
        <f t="shared" si="477"/>
        <v>63</v>
      </c>
      <c r="J801" s="7">
        <f t="shared" si="477"/>
        <v>63</v>
      </c>
      <c r="K801" s="7">
        <f t="shared" si="477"/>
        <v>148.4</v>
      </c>
      <c r="L801" s="7">
        <f t="shared" si="477"/>
        <v>0</v>
      </c>
      <c r="M801" s="7">
        <f t="shared" si="464"/>
        <v>0</v>
      </c>
    </row>
    <row r="802" spans="1:13" ht="31.5">
      <c r="A802" s="31" t="s">
        <v>301</v>
      </c>
      <c r="B802" s="42" t="s">
        <v>297</v>
      </c>
      <c r="C802" s="42" t="s">
        <v>268</v>
      </c>
      <c r="D802" s="21" t="s">
        <v>690</v>
      </c>
      <c r="E802" s="42" t="s">
        <v>302</v>
      </c>
      <c r="F802" s="7">
        <f>F803</f>
        <v>63</v>
      </c>
      <c r="G802" s="7">
        <f t="shared" si="477"/>
        <v>63</v>
      </c>
      <c r="H802" s="7">
        <f t="shared" si="477"/>
        <v>63</v>
      </c>
      <c r="I802" s="7">
        <f t="shared" si="477"/>
        <v>63</v>
      </c>
      <c r="J802" s="7">
        <f t="shared" si="477"/>
        <v>63</v>
      </c>
      <c r="K802" s="7">
        <f t="shared" si="477"/>
        <v>148.4</v>
      </c>
      <c r="L802" s="7">
        <f t="shared" si="477"/>
        <v>0</v>
      </c>
      <c r="M802" s="7">
        <f t="shared" si="464"/>
        <v>0</v>
      </c>
    </row>
    <row r="803" spans="1:13" ht="31.5">
      <c r="A803" s="31" t="s">
        <v>303</v>
      </c>
      <c r="B803" s="42" t="s">
        <v>297</v>
      </c>
      <c r="C803" s="42" t="s">
        <v>268</v>
      </c>
      <c r="D803" s="21" t="s">
        <v>690</v>
      </c>
      <c r="E803" s="42" t="s">
        <v>304</v>
      </c>
      <c r="F803" s="7">
        <f>'Прил.№4 ведомств.'!G471</f>
        <v>63</v>
      </c>
      <c r="G803" s="7">
        <f>'Прил.№4 ведомств.'!I471</f>
        <v>63</v>
      </c>
      <c r="H803" s="7">
        <f>'Прил.№4 ведомств.'!J471</f>
        <v>63</v>
      </c>
      <c r="I803" s="7">
        <f>'Прил.№4 ведомств.'!K471</f>
        <v>63</v>
      </c>
      <c r="J803" s="7">
        <f>'Прил.№4 ведомств.'!L471</f>
        <v>63</v>
      </c>
      <c r="K803" s="7">
        <f>'Прил.№4 ведомств.'!M471</f>
        <v>148.4</v>
      </c>
      <c r="L803" s="7">
        <f>'Прил.№4 ведомств.'!N471</f>
        <v>0</v>
      </c>
      <c r="M803" s="7">
        <f t="shared" si="464"/>
        <v>0</v>
      </c>
    </row>
    <row r="804" spans="1:13" ht="31.5">
      <c r="A804" s="31" t="s">
        <v>408</v>
      </c>
      <c r="B804" s="6">
        <v>10</v>
      </c>
      <c r="C804" s="42" t="s">
        <v>268</v>
      </c>
      <c r="D804" s="42" t="s">
        <v>409</v>
      </c>
      <c r="E804" s="42"/>
      <c r="F804" s="7">
        <f>F806</f>
        <v>420</v>
      </c>
      <c r="G804" s="7">
        <f t="shared" ref="G804:K804" si="478">G806</f>
        <v>420</v>
      </c>
      <c r="H804" s="7">
        <f t="shared" si="478"/>
        <v>420</v>
      </c>
      <c r="I804" s="7">
        <f t="shared" si="478"/>
        <v>420</v>
      </c>
      <c r="J804" s="7">
        <f t="shared" si="478"/>
        <v>420</v>
      </c>
      <c r="K804" s="7">
        <f t="shared" si="478"/>
        <v>420</v>
      </c>
      <c r="L804" s="7">
        <f t="shared" ref="L804" si="479">L806</f>
        <v>110</v>
      </c>
      <c r="M804" s="7">
        <f t="shared" si="464"/>
        <v>26.190476190476193</v>
      </c>
    </row>
    <row r="805" spans="1:13" ht="31.5">
      <c r="A805" s="31" t="s">
        <v>210</v>
      </c>
      <c r="B805" s="42" t="s">
        <v>297</v>
      </c>
      <c r="C805" s="42" t="s">
        <v>268</v>
      </c>
      <c r="D805" s="42" t="s">
        <v>410</v>
      </c>
      <c r="E805" s="42"/>
      <c r="F805" s="7">
        <f>F806</f>
        <v>420</v>
      </c>
      <c r="G805" s="7">
        <f t="shared" ref="G805:L806" si="480">G806</f>
        <v>420</v>
      </c>
      <c r="H805" s="7">
        <f t="shared" si="480"/>
        <v>420</v>
      </c>
      <c r="I805" s="7">
        <f t="shared" si="480"/>
        <v>420</v>
      </c>
      <c r="J805" s="7">
        <f t="shared" si="480"/>
        <v>420</v>
      </c>
      <c r="K805" s="7">
        <f t="shared" si="480"/>
        <v>420</v>
      </c>
      <c r="L805" s="7">
        <f t="shared" si="480"/>
        <v>110</v>
      </c>
      <c r="M805" s="7">
        <f t="shared" si="464"/>
        <v>26.190476190476193</v>
      </c>
    </row>
    <row r="806" spans="1:13" ht="31.5">
      <c r="A806" s="31" t="s">
        <v>301</v>
      </c>
      <c r="B806" s="42" t="s">
        <v>297</v>
      </c>
      <c r="C806" s="42" t="s">
        <v>268</v>
      </c>
      <c r="D806" s="42" t="s">
        <v>410</v>
      </c>
      <c r="E806" s="42" t="s">
        <v>302</v>
      </c>
      <c r="F806" s="7">
        <f>F807</f>
        <v>420</v>
      </c>
      <c r="G806" s="7">
        <f t="shared" si="480"/>
        <v>420</v>
      </c>
      <c r="H806" s="7">
        <f t="shared" si="480"/>
        <v>420</v>
      </c>
      <c r="I806" s="7">
        <f t="shared" si="480"/>
        <v>420</v>
      </c>
      <c r="J806" s="7">
        <f t="shared" si="480"/>
        <v>420</v>
      </c>
      <c r="K806" s="7">
        <f t="shared" si="480"/>
        <v>420</v>
      </c>
      <c r="L806" s="7">
        <f t="shared" si="480"/>
        <v>110</v>
      </c>
      <c r="M806" s="7">
        <f t="shared" si="464"/>
        <v>26.190476190476193</v>
      </c>
    </row>
    <row r="807" spans="1:13" ht="31.5">
      <c r="A807" s="31" t="s">
        <v>401</v>
      </c>
      <c r="B807" s="42" t="s">
        <v>297</v>
      </c>
      <c r="C807" s="42" t="s">
        <v>268</v>
      </c>
      <c r="D807" s="42" t="s">
        <v>410</v>
      </c>
      <c r="E807" s="42" t="s">
        <v>402</v>
      </c>
      <c r="F807" s="7">
        <f>'Прил.№4 ведомств.'!G475</f>
        <v>420</v>
      </c>
      <c r="G807" s="7">
        <f>'Прил.№4 ведомств.'!I475</f>
        <v>420</v>
      </c>
      <c r="H807" s="7">
        <f>'Прил.№4 ведомств.'!J475</f>
        <v>420</v>
      </c>
      <c r="I807" s="7">
        <f>'Прил.№4 ведомств.'!K475</f>
        <v>420</v>
      </c>
      <c r="J807" s="7">
        <f>'Прил.№4 ведомств.'!L475</f>
        <v>420</v>
      </c>
      <c r="K807" s="7">
        <f>'Прил.№4 ведомств.'!M475</f>
        <v>420</v>
      </c>
      <c r="L807" s="7">
        <f>'Прил.№4 ведомств.'!N475</f>
        <v>110</v>
      </c>
      <c r="M807" s="7">
        <f t="shared" si="464"/>
        <v>26.190476190476193</v>
      </c>
    </row>
    <row r="808" spans="1:13" ht="15.75">
      <c r="A808" s="31" t="s">
        <v>411</v>
      </c>
      <c r="B808" s="6">
        <v>10</v>
      </c>
      <c r="C808" s="42" t="s">
        <v>268</v>
      </c>
      <c r="D808" s="42" t="s">
        <v>412</v>
      </c>
      <c r="E808" s="42"/>
      <c r="F808" s="7">
        <f>F809</f>
        <v>1595</v>
      </c>
      <c r="G808" s="7">
        <f t="shared" ref="G808:L808" si="481">G809</f>
        <v>1595</v>
      </c>
      <c r="H808" s="7">
        <f t="shared" si="481"/>
        <v>1595</v>
      </c>
      <c r="I808" s="7">
        <f t="shared" si="481"/>
        <v>1595</v>
      </c>
      <c r="J808" s="7">
        <f t="shared" si="481"/>
        <v>1595</v>
      </c>
      <c r="K808" s="7">
        <f t="shared" si="481"/>
        <v>1504.6</v>
      </c>
      <c r="L808" s="7">
        <f t="shared" si="481"/>
        <v>331.2</v>
      </c>
      <c r="M808" s="7">
        <f t="shared" si="464"/>
        <v>22.012495015286458</v>
      </c>
    </row>
    <row r="809" spans="1:13" ht="31.5">
      <c r="A809" s="31" t="s">
        <v>210</v>
      </c>
      <c r="B809" s="42" t="s">
        <v>297</v>
      </c>
      <c r="C809" s="42" t="s">
        <v>268</v>
      </c>
      <c r="D809" s="42" t="s">
        <v>413</v>
      </c>
      <c r="E809" s="42"/>
      <c r="F809" s="7">
        <f>F810+F812</f>
        <v>1595</v>
      </c>
      <c r="G809" s="7">
        <f t="shared" ref="G809:K809" si="482">G810+G812</f>
        <v>1595</v>
      </c>
      <c r="H809" s="7">
        <f t="shared" si="482"/>
        <v>1595</v>
      </c>
      <c r="I809" s="7">
        <f t="shared" si="482"/>
        <v>1595</v>
      </c>
      <c r="J809" s="7">
        <f t="shared" si="482"/>
        <v>1595</v>
      </c>
      <c r="K809" s="7">
        <f t="shared" si="482"/>
        <v>1504.6</v>
      </c>
      <c r="L809" s="7">
        <f t="shared" ref="L809" si="483">L810+L812</f>
        <v>331.2</v>
      </c>
      <c r="M809" s="7">
        <f t="shared" si="464"/>
        <v>22.012495015286458</v>
      </c>
    </row>
    <row r="810" spans="1:13" ht="31.5">
      <c r="A810" s="31" t="s">
        <v>184</v>
      </c>
      <c r="B810" s="42" t="s">
        <v>297</v>
      </c>
      <c r="C810" s="42" t="s">
        <v>268</v>
      </c>
      <c r="D810" s="42" t="s">
        <v>413</v>
      </c>
      <c r="E810" s="42" t="s">
        <v>185</v>
      </c>
      <c r="F810" s="7">
        <f>F811</f>
        <v>547</v>
      </c>
      <c r="G810" s="7">
        <f t="shared" ref="G810:L810" si="484">G811</f>
        <v>547</v>
      </c>
      <c r="H810" s="7">
        <f t="shared" si="484"/>
        <v>547</v>
      </c>
      <c r="I810" s="7">
        <f t="shared" si="484"/>
        <v>547</v>
      </c>
      <c r="J810" s="7">
        <f t="shared" si="484"/>
        <v>547</v>
      </c>
      <c r="K810" s="7">
        <f t="shared" si="484"/>
        <v>456.6</v>
      </c>
      <c r="L810" s="7">
        <f t="shared" si="484"/>
        <v>0</v>
      </c>
      <c r="M810" s="7">
        <f t="shared" si="464"/>
        <v>0</v>
      </c>
    </row>
    <row r="811" spans="1:13" ht="47.25">
      <c r="A811" s="31" t="s">
        <v>186</v>
      </c>
      <c r="B811" s="42" t="s">
        <v>297</v>
      </c>
      <c r="C811" s="42" t="s">
        <v>268</v>
      </c>
      <c r="D811" s="42" t="s">
        <v>413</v>
      </c>
      <c r="E811" s="42" t="s">
        <v>187</v>
      </c>
      <c r="F811" s="7">
        <f>'Прил.№4 ведомств.'!G479</f>
        <v>547</v>
      </c>
      <c r="G811" s="7">
        <f>'Прил.№4 ведомств.'!I479</f>
        <v>547</v>
      </c>
      <c r="H811" s="7">
        <f>'Прил.№4 ведомств.'!J479</f>
        <v>547</v>
      </c>
      <c r="I811" s="7">
        <f>'Прил.№4 ведомств.'!K479</f>
        <v>547</v>
      </c>
      <c r="J811" s="7">
        <f>'Прил.№4 ведомств.'!L479</f>
        <v>547</v>
      </c>
      <c r="K811" s="7">
        <f>'Прил.№4 ведомств.'!M479</f>
        <v>456.6</v>
      </c>
      <c r="L811" s="7">
        <f>'Прил.№4 ведомств.'!N479</f>
        <v>0</v>
      </c>
      <c r="M811" s="7">
        <f t="shared" si="464"/>
        <v>0</v>
      </c>
    </row>
    <row r="812" spans="1:13" ht="31.5">
      <c r="A812" s="31" t="s">
        <v>301</v>
      </c>
      <c r="B812" s="42" t="s">
        <v>297</v>
      </c>
      <c r="C812" s="42" t="s">
        <v>268</v>
      </c>
      <c r="D812" s="42" t="s">
        <v>413</v>
      </c>
      <c r="E812" s="42" t="s">
        <v>302</v>
      </c>
      <c r="F812" s="7">
        <f>F813</f>
        <v>1048</v>
      </c>
      <c r="G812" s="7">
        <f t="shared" ref="G812:L812" si="485">G813</f>
        <v>1048</v>
      </c>
      <c r="H812" s="7">
        <f t="shared" si="485"/>
        <v>1048</v>
      </c>
      <c r="I812" s="7">
        <f t="shared" si="485"/>
        <v>1048</v>
      </c>
      <c r="J812" s="7">
        <f t="shared" si="485"/>
        <v>1048</v>
      </c>
      <c r="K812" s="7">
        <f t="shared" si="485"/>
        <v>1048</v>
      </c>
      <c r="L812" s="7">
        <f t="shared" si="485"/>
        <v>331.2</v>
      </c>
      <c r="M812" s="7">
        <f t="shared" si="464"/>
        <v>31.603053435114504</v>
      </c>
    </row>
    <row r="813" spans="1:13" ht="31.5">
      <c r="A813" s="31" t="s">
        <v>401</v>
      </c>
      <c r="B813" s="42" t="s">
        <v>297</v>
      </c>
      <c r="C813" s="42" t="s">
        <v>268</v>
      </c>
      <c r="D813" s="42" t="s">
        <v>413</v>
      </c>
      <c r="E813" s="42" t="s">
        <v>402</v>
      </c>
      <c r="F813" s="7">
        <f>'Прил.№4 ведомств.'!G481</f>
        <v>1048</v>
      </c>
      <c r="G813" s="7">
        <f>'Прил.№4 ведомств.'!I481</f>
        <v>1048</v>
      </c>
      <c r="H813" s="7">
        <f>'Прил.№4 ведомств.'!J481</f>
        <v>1048</v>
      </c>
      <c r="I813" s="7">
        <f>'Прил.№4 ведомств.'!K481</f>
        <v>1048</v>
      </c>
      <c r="J813" s="7">
        <f>'Прил.№4 ведомств.'!L481</f>
        <v>1048</v>
      </c>
      <c r="K813" s="7">
        <f>'Прил.№4 ведомств.'!M481</f>
        <v>1048</v>
      </c>
      <c r="L813" s="7">
        <f>'Прил.№4 ведомств.'!N481</f>
        <v>331.2</v>
      </c>
      <c r="M813" s="7">
        <f t="shared" si="464"/>
        <v>31.603053435114504</v>
      </c>
    </row>
    <row r="814" spans="1:13" ht="31.5">
      <c r="A814" s="31" t="s">
        <v>414</v>
      </c>
      <c r="B814" s="42" t="s">
        <v>297</v>
      </c>
      <c r="C814" s="42" t="s">
        <v>268</v>
      </c>
      <c r="D814" s="42" t="s">
        <v>415</v>
      </c>
      <c r="E814" s="42"/>
      <c r="F814" s="7">
        <f>F815</f>
        <v>335</v>
      </c>
      <c r="G814" s="7">
        <f t="shared" ref="G814:L816" si="486">G815</f>
        <v>335</v>
      </c>
      <c r="H814" s="7">
        <f t="shared" si="486"/>
        <v>1882</v>
      </c>
      <c r="I814" s="7">
        <f t="shared" si="486"/>
        <v>1962</v>
      </c>
      <c r="J814" s="7">
        <f t="shared" si="486"/>
        <v>1992</v>
      </c>
      <c r="K814" s="7">
        <f t="shared" si="486"/>
        <v>250</v>
      </c>
      <c r="L814" s="7">
        <f t="shared" si="486"/>
        <v>120</v>
      </c>
      <c r="M814" s="7">
        <f t="shared" si="464"/>
        <v>48</v>
      </c>
    </row>
    <row r="815" spans="1:13" ht="31.5">
      <c r="A815" s="31" t="s">
        <v>210</v>
      </c>
      <c r="B815" s="42" t="s">
        <v>297</v>
      </c>
      <c r="C815" s="42" t="s">
        <v>268</v>
      </c>
      <c r="D815" s="42" t="s">
        <v>416</v>
      </c>
      <c r="E815" s="42"/>
      <c r="F815" s="7">
        <f>F816</f>
        <v>335</v>
      </c>
      <c r="G815" s="7">
        <f t="shared" si="486"/>
        <v>335</v>
      </c>
      <c r="H815" s="7">
        <f t="shared" si="486"/>
        <v>1882</v>
      </c>
      <c r="I815" s="7">
        <f t="shared" si="486"/>
        <v>1962</v>
      </c>
      <c r="J815" s="7">
        <f t="shared" si="486"/>
        <v>1992</v>
      </c>
      <c r="K815" s="7">
        <f t="shared" si="486"/>
        <v>250</v>
      </c>
      <c r="L815" s="7">
        <f t="shared" si="486"/>
        <v>120</v>
      </c>
      <c r="M815" s="7">
        <f t="shared" si="464"/>
        <v>48</v>
      </c>
    </row>
    <row r="816" spans="1:13" ht="31.5">
      <c r="A816" s="31" t="s">
        <v>301</v>
      </c>
      <c r="B816" s="42" t="s">
        <v>297</v>
      </c>
      <c r="C816" s="42" t="s">
        <v>268</v>
      </c>
      <c r="D816" s="42" t="s">
        <v>416</v>
      </c>
      <c r="E816" s="42" t="s">
        <v>302</v>
      </c>
      <c r="F816" s="7">
        <f>F817</f>
        <v>335</v>
      </c>
      <c r="G816" s="7">
        <f t="shared" si="486"/>
        <v>335</v>
      </c>
      <c r="H816" s="7">
        <f t="shared" si="486"/>
        <v>1882</v>
      </c>
      <c r="I816" s="7">
        <f t="shared" si="486"/>
        <v>1962</v>
      </c>
      <c r="J816" s="7">
        <f t="shared" si="486"/>
        <v>1992</v>
      </c>
      <c r="K816" s="7">
        <f t="shared" si="486"/>
        <v>250</v>
      </c>
      <c r="L816" s="7">
        <f t="shared" si="486"/>
        <v>120</v>
      </c>
      <c r="M816" s="7">
        <f t="shared" si="464"/>
        <v>48</v>
      </c>
    </row>
    <row r="817" spans="1:13" ht="31.5">
      <c r="A817" s="31" t="s">
        <v>401</v>
      </c>
      <c r="B817" s="42" t="s">
        <v>297</v>
      </c>
      <c r="C817" s="42" t="s">
        <v>268</v>
      </c>
      <c r="D817" s="42" t="s">
        <v>416</v>
      </c>
      <c r="E817" s="42" t="s">
        <v>402</v>
      </c>
      <c r="F817" s="7">
        <f>'Прил.№4 ведомств.'!G485</f>
        <v>335</v>
      </c>
      <c r="G817" s="7">
        <f>'Прил.№4 ведомств.'!I485</f>
        <v>335</v>
      </c>
      <c r="H817" s="7">
        <f>'Прил.№4 ведомств.'!J485</f>
        <v>1882</v>
      </c>
      <c r="I817" s="7">
        <f>'Прил.№4 ведомств.'!K485</f>
        <v>1962</v>
      </c>
      <c r="J817" s="7">
        <f>'Прил.№4 ведомств.'!L485</f>
        <v>1992</v>
      </c>
      <c r="K817" s="7">
        <f>'Прил.№4 ведомств.'!M485</f>
        <v>250</v>
      </c>
      <c r="L817" s="7">
        <f>'Прил.№4 ведомств.'!N485</f>
        <v>120</v>
      </c>
      <c r="M817" s="7">
        <f t="shared" si="464"/>
        <v>48</v>
      </c>
    </row>
    <row r="818" spans="1:13" ht="47.25">
      <c r="A818" s="31" t="s">
        <v>417</v>
      </c>
      <c r="B818" s="42" t="s">
        <v>297</v>
      </c>
      <c r="C818" s="42" t="s">
        <v>268</v>
      </c>
      <c r="D818" s="42" t="s">
        <v>418</v>
      </c>
      <c r="E818" s="42"/>
      <c r="F818" s="7">
        <f>F819</f>
        <v>210</v>
      </c>
      <c r="G818" s="7">
        <f t="shared" ref="G818:L820" si="487">G819</f>
        <v>210</v>
      </c>
      <c r="H818" s="7">
        <f t="shared" si="487"/>
        <v>210</v>
      </c>
      <c r="I818" s="7">
        <f t="shared" si="487"/>
        <v>210</v>
      </c>
      <c r="J818" s="7">
        <f t="shared" si="487"/>
        <v>210</v>
      </c>
      <c r="K818" s="7">
        <f t="shared" si="487"/>
        <v>210</v>
      </c>
      <c r="L818" s="7">
        <f t="shared" si="487"/>
        <v>0</v>
      </c>
      <c r="M818" s="7">
        <f t="shared" si="464"/>
        <v>0</v>
      </c>
    </row>
    <row r="819" spans="1:13" ht="31.5">
      <c r="A819" s="31" t="s">
        <v>210</v>
      </c>
      <c r="B819" s="42" t="s">
        <v>297</v>
      </c>
      <c r="C819" s="42" t="s">
        <v>268</v>
      </c>
      <c r="D819" s="42" t="s">
        <v>419</v>
      </c>
      <c r="E819" s="42"/>
      <c r="F819" s="7">
        <f>F820</f>
        <v>210</v>
      </c>
      <c r="G819" s="7">
        <f t="shared" si="487"/>
        <v>210</v>
      </c>
      <c r="H819" s="7">
        <f t="shared" si="487"/>
        <v>210</v>
      </c>
      <c r="I819" s="7">
        <f t="shared" si="487"/>
        <v>210</v>
      </c>
      <c r="J819" s="7">
        <f t="shared" si="487"/>
        <v>210</v>
      </c>
      <c r="K819" s="7">
        <f t="shared" si="487"/>
        <v>210</v>
      </c>
      <c r="L819" s="7">
        <f t="shared" si="487"/>
        <v>0</v>
      </c>
      <c r="M819" s="7">
        <f t="shared" si="464"/>
        <v>0</v>
      </c>
    </row>
    <row r="820" spans="1:13" ht="31.5">
      <c r="A820" s="31" t="s">
        <v>184</v>
      </c>
      <c r="B820" s="42" t="s">
        <v>297</v>
      </c>
      <c r="C820" s="42" t="s">
        <v>268</v>
      </c>
      <c r="D820" s="42" t="s">
        <v>419</v>
      </c>
      <c r="E820" s="42" t="s">
        <v>185</v>
      </c>
      <c r="F820" s="7">
        <f>F821</f>
        <v>210</v>
      </c>
      <c r="G820" s="7">
        <f t="shared" si="487"/>
        <v>210</v>
      </c>
      <c r="H820" s="7">
        <f t="shared" si="487"/>
        <v>210</v>
      </c>
      <c r="I820" s="7">
        <f t="shared" si="487"/>
        <v>210</v>
      </c>
      <c r="J820" s="7">
        <f t="shared" si="487"/>
        <v>210</v>
      </c>
      <c r="K820" s="7">
        <f t="shared" si="487"/>
        <v>210</v>
      </c>
      <c r="L820" s="7">
        <f t="shared" si="487"/>
        <v>0</v>
      </c>
      <c r="M820" s="7">
        <f t="shared" si="464"/>
        <v>0</v>
      </c>
    </row>
    <row r="821" spans="1:13" ht="47.25">
      <c r="A821" s="31" t="s">
        <v>186</v>
      </c>
      <c r="B821" s="42" t="s">
        <v>297</v>
      </c>
      <c r="C821" s="42" t="s">
        <v>268</v>
      </c>
      <c r="D821" s="42" t="s">
        <v>419</v>
      </c>
      <c r="E821" s="42" t="s">
        <v>187</v>
      </c>
      <c r="F821" s="7">
        <f>'Прил.№4 ведомств.'!G489</f>
        <v>210</v>
      </c>
      <c r="G821" s="7">
        <f>'Прил.№4 ведомств.'!I489</f>
        <v>210</v>
      </c>
      <c r="H821" s="7">
        <f>'Прил.№4 ведомств.'!J489</f>
        <v>210</v>
      </c>
      <c r="I821" s="7">
        <f>'Прил.№4 ведомств.'!K489</f>
        <v>210</v>
      </c>
      <c r="J821" s="7">
        <f>'Прил.№4 ведомств.'!L489</f>
        <v>210</v>
      </c>
      <c r="K821" s="7">
        <f>'Прил.№4 ведомств.'!M489</f>
        <v>210</v>
      </c>
      <c r="L821" s="7">
        <f>'Прил.№4 ведомств.'!N489</f>
        <v>0</v>
      </c>
      <c r="M821" s="7">
        <f t="shared" si="464"/>
        <v>0</v>
      </c>
    </row>
    <row r="822" spans="1:13" ht="47.25">
      <c r="A822" s="31" t="s">
        <v>420</v>
      </c>
      <c r="B822" s="42" t="s">
        <v>297</v>
      </c>
      <c r="C822" s="42" t="s">
        <v>268</v>
      </c>
      <c r="D822" s="42" t="s">
        <v>421</v>
      </c>
      <c r="E822" s="42"/>
      <c r="F822" s="7">
        <f>F823+F828+F831+F834</f>
        <v>30</v>
      </c>
      <c r="G822" s="7">
        <f t="shared" ref="G822:K822" si="488">G823+G828+G831+G834</f>
        <v>30</v>
      </c>
      <c r="H822" s="7">
        <f t="shared" si="488"/>
        <v>30</v>
      </c>
      <c r="I822" s="7">
        <f t="shared" si="488"/>
        <v>30</v>
      </c>
      <c r="J822" s="7">
        <f t="shared" si="488"/>
        <v>30</v>
      </c>
      <c r="K822" s="7">
        <f t="shared" si="488"/>
        <v>20</v>
      </c>
      <c r="L822" s="7">
        <f t="shared" ref="L822" si="489">L823+L828+L831+L834</f>
        <v>0</v>
      </c>
      <c r="M822" s="7">
        <f t="shared" si="464"/>
        <v>0</v>
      </c>
    </row>
    <row r="823" spans="1:13" ht="31.5">
      <c r="A823" s="31" t="s">
        <v>210</v>
      </c>
      <c r="B823" s="42" t="s">
        <v>297</v>
      </c>
      <c r="C823" s="42" t="s">
        <v>268</v>
      </c>
      <c r="D823" s="42" t="s">
        <v>423</v>
      </c>
      <c r="E823" s="42"/>
      <c r="F823" s="7">
        <f>F826+F824</f>
        <v>20</v>
      </c>
      <c r="G823" s="7">
        <f t="shared" ref="G823:K823" si="490">G826+G824</f>
        <v>20</v>
      </c>
      <c r="H823" s="7">
        <f t="shared" si="490"/>
        <v>20</v>
      </c>
      <c r="I823" s="7">
        <f t="shared" si="490"/>
        <v>20</v>
      </c>
      <c r="J823" s="7">
        <f t="shared" si="490"/>
        <v>20</v>
      </c>
      <c r="K823" s="7">
        <f t="shared" si="490"/>
        <v>10</v>
      </c>
      <c r="L823" s="7">
        <f t="shared" ref="L823" si="491">L826+L824</f>
        <v>0</v>
      </c>
      <c r="M823" s="7">
        <f t="shared" si="464"/>
        <v>0</v>
      </c>
    </row>
    <row r="824" spans="1:13" ht="31.5" hidden="1" customHeight="1">
      <c r="A824" s="31" t="s">
        <v>184</v>
      </c>
      <c r="B824" s="42" t="s">
        <v>297</v>
      </c>
      <c r="C824" s="42" t="s">
        <v>268</v>
      </c>
      <c r="D824" s="42" t="s">
        <v>423</v>
      </c>
      <c r="E824" s="42" t="s">
        <v>185</v>
      </c>
      <c r="F824" s="7">
        <f>F825</f>
        <v>0</v>
      </c>
      <c r="G824" s="7">
        <f t="shared" ref="G824:L824" si="492">G825</f>
        <v>0</v>
      </c>
      <c r="H824" s="7">
        <f t="shared" si="492"/>
        <v>0</v>
      </c>
      <c r="I824" s="7">
        <f t="shared" si="492"/>
        <v>0</v>
      </c>
      <c r="J824" s="7">
        <f t="shared" si="492"/>
        <v>0</v>
      </c>
      <c r="K824" s="7">
        <f t="shared" si="492"/>
        <v>0</v>
      </c>
      <c r="L824" s="7">
        <f t="shared" si="492"/>
        <v>0</v>
      </c>
      <c r="M824" s="7" t="e">
        <f t="shared" si="464"/>
        <v>#DIV/0!</v>
      </c>
    </row>
    <row r="825" spans="1:13" ht="47.25" hidden="1" customHeight="1">
      <c r="A825" s="31" t="s">
        <v>186</v>
      </c>
      <c r="B825" s="42" t="s">
        <v>297</v>
      </c>
      <c r="C825" s="42" t="s">
        <v>268</v>
      </c>
      <c r="D825" s="42" t="s">
        <v>423</v>
      </c>
      <c r="E825" s="42" t="s">
        <v>187</v>
      </c>
      <c r="F825" s="7"/>
      <c r="G825" s="7"/>
      <c r="H825" s="7"/>
      <c r="I825" s="7"/>
      <c r="J825" s="7"/>
      <c r="K825" s="7"/>
      <c r="L825" s="7"/>
      <c r="M825" s="7" t="e">
        <f t="shared" si="464"/>
        <v>#DIV/0!</v>
      </c>
    </row>
    <row r="826" spans="1:13" ht="47.25">
      <c r="A826" s="26" t="s">
        <v>325</v>
      </c>
      <c r="B826" s="42" t="s">
        <v>297</v>
      </c>
      <c r="C826" s="42" t="s">
        <v>268</v>
      </c>
      <c r="D826" s="42" t="s">
        <v>423</v>
      </c>
      <c r="E826" s="42" t="s">
        <v>326</v>
      </c>
      <c r="F826" s="7">
        <f>F827</f>
        <v>20</v>
      </c>
      <c r="G826" s="7">
        <f t="shared" ref="G826:L826" si="493">G827</f>
        <v>20</v>
      </c>
      <c r="H826" s="7">
        <f t="shared" si="493"/>
        <v>20</v>
      </c>
      <c r="I826" s="7">
        <f t="shared" si="493"/>
        <v>20</v>
      </c>
      <c r="J826" s="7">
        <f t="shared" si="493"/>
        <v>20</v>
      </c>
      <c r="K826" s="7">
        <f t="shared" si="493"/>
        <v>10</v>
      </c>
      <c r="L826" s="7">
        <f t="shared" si="493"/>
        <v>0</v>
      </c>
      <c r="M826" s="7">
        <f t="shared" si="464"/>
        <v>0</v>
      </c>
    </row>
    <row r="827" spans="1:13" ht="63">
      <c r="A827" s="41" t="s">
        <v>424</v>
      </c>
      <c r="B827" s="42" t="s">
        <v>297</v>
      </c>
      <c r="C827" s="42" t="s">
        <v>268</v>
      </c>
      <c r="D827" s="42" t="s">
        <v>423</v>
      </c>
      <c r="E827" s="42" t="s">
        <v>425</v>
      </c>
      <c r="F827" s="7">
        <f>'Прил.№4 ведомств.'!G493</f>
        <v>20</v>
      </c>
      <c r="G827" s="7">
        <f>'Прил.№4 ведомств.'!I493</f>
        <v>20</v>
      </c>
      <c r="H827" s="7">
        <f>'Прил.№4 ведомств.'!J493</f>
        <v>20</v>
      </c>
      <c r="I827" s="7">
        <f>'Прил.№4 ведомств.'!K493</f>
        <v>20</v>
      </c>
      <c r="J827" s="7">
        <f>'Прил.№4 ведомств.'!L493</f>
        <v>20</v>
      </c>
      <c r="K827" s="7">
        <f>'Прил.№4 ведомств.'!M493</f>
        <v>10</v>
      </c>
      <c r="L827" s="7">
        <f>'Прил.№4 ведомств.'!N493</f>
        <v>0</v>
      </c>
      <c r="M827" s="7">
        <f t="shared" si="464"/>
        <v>0</v>
      </c>
    </row>
    <row r="828" spans="1:13" ht="110.25" hidden="1" customHeight="1">
      <c r="A828" s="26" t="s">
        <v>426</v>
      </c>
      <c r="B828" s="21" t="s">
        <v>297</v>
      </c>
      <c r="C828" s="21" t="s">
        <v>268</v>
      </c>
      <c r="D828" s="21" t="s">
        <v>427</v>
      </c>
      <c r="E828" s="42"/>
      <c r="F828" s="7">
        <f>F829</f>
        <v>0</v>
      </c>
      <c r="G828" s="7">
        <f t="shared" ref="G828:L829" si="494">G829</f>
        <v>0</v>
      </c>
      <c r="H828" s="7">
        <f t="shared" si="494"/>
        <v>0</v>
      </c>
      <c r="I828" s="7">
        <f t="shared" si="494"/>
        <v>0</v>
      </c>
      <c r="J828" s="7">
        <f t="shared" si="494"/>
        <v>0</v>
      </c>
      <c r="K828" s="7">
        <f t="shared" si="494"/>
        <v>0</v>
      </c>
      <c r="L828" s="7">
        <f t="shared" si="494"/>
        <v>0</v>
      </c>
      <c r="M828" s="7" t="e">
        <f t="shared" si="464"/>
        <v>#DIV/0!</v>
      </c>
    </row>
    <row r="829" spans="1:13" ht="15.75" hidden="1" customHeight="1">
      <c r="A829" s="26" t="s">
        <v>188</v>
      </c>
      <c r="B829" s="21" t="s">
        <v>297</v>
      </c>
      <c r="C829" s="21" t="s">
        <v>268</v>
      </c>
      <c r="D829" s="21" t="s">
        <v>427</v>
      </c>
      <c r="E829" s="42" t="s">
        <v>198</v>
      </c>
      <c r="F829" s="7">
        <f>F830</f>
        <v>0</v>
      </c>
      <c r="G829" s="7">
        <f t="shared" si="494"/>
        <v>0</v>
      </c>
      <c r="H829" s="7">
        <f t="shared" si="494"/>
        <v>0</v>
      </c>
      <c r="I829" s="7">
        <f t="shared" si="494"/>
        <v>0</v>
      </c>
      <c r="J829" s="7">
        <f t="shared" si="494"/>
        <v>0</v>
      </c>
      <c r="K829" s="7">
        <f t="shared" si="494"/>
        <v>0</v>
      </c>
      <c r="L829" s="7">
        <f t="shared" si="494"/>
        <v>0</v>
      </c>
      <c r="M829" s="7" t="e">
        <f t="shared" si="464"/>
        <v>#DIV/0!</v>
      </c>
    </row>
    <row r="830" spans="1:13" ht="47.25" hidden="1" customHeight="1">
      <c r="A830" s="26" t="s">
        <v>237</v>
      </c>
      <c r="B830" s="21" t="s">
        <v>297</v>
      </c>
      <c r="C830" s="21" t="s">
        <v>268</v>
      </c>
      <c r="D830" s="21" t="s">
        <v>427</v>
      </c>
      <c r="E830" s="42" t="s">
        <v>213</v>
      </c>
      <c r="F830" s="7"/>
      <c r="G830" s="7"/>
      <c r="H830" s="7"/>
      <c r="I830" s="7"/>
      <c r="J830" s="7"/>
      <c r="K830" s="7"/>
      <c r="L830" s="7"/>
      <c r="M830" s="7" t="e">
        <f t="shared" si="464"/>
        <v>#DIV/0!</v>
      </c>
    </row>
    <row r="831" spans="1:13" ht="47.25">
      <c r="A831" s="26" t="s">
        <v>428</v>
      </c>
      <c r="B831" s="21" t="s">
        <v>297</v>
      </c>
      <c r="C831" s="21" t="s">
        <v>268</v>
      </c>
      <c r="D831" s="21" t="s">
        <v>429</v>
      </c>
      <c r="E831" s="42"/>
      <c r="F831" s="7">
        <f>F832</f>
        <v>10</v>
      </c>
      <c r="G831" s="7">
        <f t="shared" ref="G831:L832" si="495">G832</f>
        <v>10</v>
      </c>
      <c r="H831" s="7">
        <f t="shared" si="495"/>
        <v>10</v>
      </c>
      <c r="I831" s="7">
        <f t="shared" si="495"/>
        <v>10</v>
      </c>
      <c r="J831" s="7">
        <f t="shared" si="495"/>
        <v>10</v>
      </c>
      <c r="K831" s="7">
        <f t="shared" si="495"/>
        <v>10</v>
      </c>
      <c r="L831" s="7">
        <f t="shared" si="495"/>
        <v>0</v>
      </c>
      <c r="M831" s="7">
        <f t="shared" si="464"/>
        <v>0</v>
      </c>
    </row>
    <row r="832" spans="1:13" ht="31.5">
      <c r="A832" s="26" t="s">
        <v>301</v>
      </c>
      <c r="B832" s="21" t="s">
        <v>297</v>
      </c>
      <c r="C832" s="21" t="s">
        <v>268</v>
      </c>
      <c r="D832" s="21" t="s">
        <v>429</v>
      </c>
      <c r="E832" s="42" t="s">
        <v>302</v>
      </c>
      <c r="F832" s="7">
        <f>F833</f>
        <v>10</v>
      </c>
      <c r="G832" s="7">
        <f t="shared" si="495"/>
        <v>10</v>
      </c>
      <c r="H832" s="7">
        <f t="shared" si="495"/>
        <v>10</v>
      </c>
      <c r="I832" s="7">
        <f t="shared" si="495"/>
        <v>10</v>
      </c>
      <c r="J832" s="7">
        <f t="shared" si="495"/>
        <v>10</v>
      </c>
      <c r="K832" s="7">
        <f t="shared" si="495"/>
        <v>10</v>
      </c>
      <c r="L832" s="7">
        <f t="shared" si="495"/>
        <v>0</v>
      </c>
      <c r="M832" s="7">
        <f t="shared" si="464"/>
        <v>0</v>
      </c>
    </row>
    <row r="833" spans="1:13" ht="31.5">
      <c r="A833" s="26" t="s">
        <v>303</v>
      </c>
      <c r="B833" s="21" t="s">
        <v>297</v>
      </c>
      <c r="C833" s="21" t="s">
        <v>268</v>
      </c>
      <c r="D833" s="21" t="s">
        <v>429</v>
      </c>
      <c r="E833" s="42" t="s">
        <v>304</v>
      </c>
      <c r="F833" s="7">
        <v>10</v>
      </c>
      <c r="G833" s="7">
        <v>10</v>
      </c>
      <c r="H833" s="7">
        <v>10</v>
      </c>
      <c r="I833" s="7">
        <v>10</v>
      </c>
      <c r="J833" s="7">
        <v>10</v>
      </c>
      <c r="K833" s="7">
        <f>'Прил.№4 ведомств.'!M502</f>
        <v>10</v>
      </c>
      <c r="L833" s="7">
        <f>'Прил.№4 ведомств.'!N502</f>
        <v>0</v>
      </c>
      <c r="M833" s="7">
        <f t="shared" si="464"/>
        <v>0</v>
      </c>
    </row>
    <row r="834" spans="1:13" ht="31.5" hidden="1" customHeight="1">
      <c r="A834" s="31" t="s">
        <v>430</v>
      </c>
      <c r="B834" s="42" t="s">
        <v>297</v>
      </c>
      <c r="C834" s="42" t="s">
        <v>268</v>
      </c>
      <c r="D834" s="21" t="s">
        <v>431</v>
      </c>
      <c r="E834" s="42"/>
      <c r="F834" s="7">
        <f>F835</f>
        <v>0</v>
      </c>
      <c r="G834" s="7">
        <f t="shared" ref="G834:L835" si="496">G835</f>
        <v>0</v>
      </c>
      <c r="H834" s="7">
        <f t="shared" si="496"/>
        <v>0</v>
      </c>
      <c r="I834" s="7">
        <f t="shared" si="496"/>
        <v>0</v>
      </c>
      <c r="J834" s="7">
        <f t="shared" si="496"/>
        <v>0</v>
      </c>
      <c r="K834" s="7">
        <f t="shared" si="496"/>
        <v>0</v>
      </c>
      <c r="L834" s="7">
        <f t="shared" si="496"/>
        <v>0</v>
      </c>
      <c r="M834" s="7" t="e">
        <f t="shared" si="464"/>
        <v>#DIV/0!</v>
      </c>
    </row>
    <row r="835" spans="1:13" ht="31.5" hidden="1" customHeight="1">
      <c r="A835" s="31" t="s">
        <v>184</v>
      </c>
      <c r="B835" s="42" t="s">
        <v>297</v>
      </c>
      <c r="C835" s="42" t="s">
        <v>268</v>
      </c>
      <c r="D835" s="21" t="s">
        <v>431</v>
      </c>
      <c r="E835" s="42" t="s">
        <v>185</v>
      </c>
      <c r="F835" s="7">
        <f>F836</f>
        <v>0</v>
      </c>
      <c r="G835" s="7">
        <f t="shared" si="496"/>
        <v>0</v>
      </c>
      <c r="H835" s="7">
        <f t="shared" si="496"/>
        <v>0</v>
      </c>
      <c r="I835" s="7">
        <f t="shared" si="496"/>
        <v>0</v>
      </c>
      <c r="J835" s="7">
        <f t="shared" si="496"/>
        <v>0</v>
      </c>
      <c r="K835" s="7">
        <f t="shared" si="496"/>
        <v>0</v>
      </c>
      <c r="L835" s="7">
        <f t="shared" si="496"/>
        <v>0</v>
      </c>
      <c r="M835" s="7" t="e">
        <f t="shared" si="464"/>
        <v>#DIV/0!</v>
      </c>
    </row>
    <row r="836" spans="1:13" ht="47.25" hidden="1" customHeight="1">
      <c r="A836" s="31" t="s">
        <v>186</v>
      </c>
      <c r="B836" s="42" t="s">
        <v>297</v>
      </c>
      <c r="C836" s="42" t="s">
        <v>268</v>
      </c>
      <c r="D836" s="21" t="s">
        <v>431</v>
      </c>
      <c r="E836" s="42" t="s">
        <v>187</v>
      </c>
      <c r="F836" s="7">
        <f>4.5-4.5</f>
        <v>0</v>
      </c>
      <c r="G836" s="7">
        <f t="shared" ref="G836:L836" si="497">4.5-4.5</f>
        <v>0</v>
      </c>
      <c r="H836" s="7">
        <f t="shared" si="497"/>
        <v>0</v>
      </c>
      <c r="I836" s="7">
        <f t="shared" si="497"/>
        <v>0</v>
      </c>
      <c r="J836" s="7">
        <f t="shared" si="497"/>
        <v>0</v>
      </c>
      <c r="K836" s="7">
        <f t="shared" si="497"/>
        <v>0</v>
      </c>
      <c r="L836" s="7">
        <f t="shared" si="497"/>
        <v>0</v>
      </c>
      <c r="M836" s="7" t="e">
        <f t="shared" si="464"/>
        <v>#DIV/0!</v>
      </c>
    </row>
    <row r="837" spans="1:13" ht="94.5">
      <c r="A837" s="31" t="s">
        <v>433</v>
      </c>
      <c r="B837" s="42" t="s">
        <v>297</v>
      </c>
      <c r="C837" s="42" t="s">
        <v>268</v>
      </c>
      <c r="D837" s="42" t="s">
        <v>434</v>
      </c>
      <c r="E837" s="42"/>
      <c r="F837" s="7">
        <f>F838</f>
        <v>105</v>
      </c>
      <c r="G837" s="7">
        <f t="shared" ref="G837:L839" si="498">G838</f>
        <v>105</v>
      </c>
      <c r="H837" s="7">
        <f t="shared" si="498"/>
        <v>0</v>
      </c>
      <c r="I837" s="7">
        <f t="shared" si="498"/>
        <v>0</v>
      </c>
      <c r="J837" s="7">
        <f t="shared" si="498"/>
        <v>0</v>
      </c>
      <c r="K837" s="7">
        <f t="shared" si="498"/>
        <v>200</v>
      </c>
      <c r="L837" s="7">
        <f t="shared" si="498"/>
        <v>13.7</v>
      </c>
      <c r="M837" s="7">
        <f t="shared" si="464"/>
        <v>6.8499999999999988</v>
      </c>
    </row>
    <row r="838" spans="1:13" ht="31.5">
      <c r="A838" s="31" t="s">
        <v>210</v>
      </c>
      <c r="B838" s="42" t="s">
        <v>297</v>
      </c>
      <c r="C838" s="42" t="s">
        <v>268</v>
      </c>
      <c r="D838" s="42" t="s">
        <v>435</v>
      </c>
      <c r="E838" s="42"/>
      <c r="F838" s="7">
        <f>F839</f>
        <v>105</v>
      </c>
      <c r="G838" s="7">
        <f t="shared" si="498"/>
        <v>105</v>
      </c>
      <c r="H838" s="7">
        <f t="shared" si="498"/>
        <v>0</v>
      </c>
      <c r="I838" s="7">
        <f t="shared" si="498"/>
        <v>0</v>
      </c>
      <c r="J838" s="7">
        <f t="shared" si="498"/>
        <v>0</v>
      </c>
      <c r="K838" s="7">
        <f t="shared" si="498"/>
        <v>200</v>
      </c>
      <c r="L838" s="7">
        <f t="shared" si="498"/>
        <v>13.7</v>
      </c>
      <c r="M838" s="7">
        <f t="shared" si="464"/>
        <v>6.8499999999999988</v>
      </c>
    </row>
    <row r="839" spans="1:13" ht="31.5">
      <c r="A839" s="31" t="s">
        <v>184</v>
      </c>
      <c r="B839" s="42" t="s">
        <v>297</v>
      </c>
      <c r="C839" s="42" t="s">
        <v>268</v>
      </c>
      <c r="D839" s="42" t="s">
        <v>435</v>
      </c>
      <c r="E839" s="42" t="s">
        <v>185</v>
      </c>
      <c r="F839" s="7">
        <f>F840</f>
        <v>105</v>
      </c>
      <c r="G839" s="7">
        <f t="shared" si="498"/>
        <v>105</v>
      </c>
      <c r="H839" s="7">
        <f t="shared" si="498"/>
        <v>0</v>
      </c>
      <c r="I839" s="7">
        <f t="shared" si="498"/>
        <v>0</v>
      </c>
      <c r="J839" s="7">
        <f t="shared" si="498"/>
        <v>0</v>
      </c>
      <c r="K839" s="7">
        <f t="shared" si="498"/>
        <v>200</v>
      </c>
      <c r="L839" s="7">
        <f t="shared" si="498"/>
        <v>13.7</v>
      </c>
      <c r="M839" s="7">
        <f t="shared" si="464"/>
        <v>6.8499999999999988</v>
      </c>
    </row>
    <row r="840" spans="1:13" ht="47.25">
      <c r="A840" s="31" t="s">
        <v>186</v>
      </c>
      <c r="B840" s="42" t="s">
        <v>297</v>
      </c>
      <c r="C840" s="42" t="s">
        <v>268</v>
      </c>
      <c r="D840" s="42" t="s">
        <v>435</v>
      </c>
      <c r="E840" s="42" t="s">
        <v>187</v>
      </c>
      <c r="F840" s="7">
        <f>'Прил.№4 ведомств.'!G511</f>
        <v>105</v>
      </c>
      <c r="G840" s="7">
        <f>'Прил.№4 ведомств.'!I511</f>
        <v>105</v>
      </c>
      <c r="H840" s="7">
        <f>'Прил.№4 ведомств.'!J511</f>
        <v>0</v>
      </c>
      <c r="I840" s="7">
        <f>'Прил.№4 ведомств.'!K511</f>
        <v>0</v>
      </c>
      <c r="J840" s="7">
        <f>'Прил.№4 ведомств.'!L511</f>
        <v>0</v>
      </c>
      <c r="K840" s="7">
        <f>'Прил.№4 ведомств.'!M511</f>
        <v>200</v>
      </c>
      <c r="L840" s="7">
        <f>'Прил.№4 ведомств.'!N511</f>
        <v>13.7</v>
      </c>
      <c r="M840" s="7">
        <f t="shared" si="464"/>
        <v>6.8499999999999988</v>
      </c>
    </row>
    <row r="841" spans="1:13" ht="78.75">
      <c r="A841" s="26" t="s">
        <v>306</v>
      </c>
      <c r="B841" s="42" t="s">
        <v>297</v>
      </c>
      <c r="C841" s="42" t="s">
        <v>268</v>
      </c>
      <c r="D841" s="21" t="s">
        <v>307</v>
      </c>
      <c r="E841" s="21"/>
      <c r="F841" s="7">
        <f>F842</f>
        <v>10</v>
      </c>
      <c r="G841" s="7">
        <f t="shared" ref="G841:L843" si="499">G842</f>
        <v>0</v>
      </c>
      <c r="H841" s="7">
        <f t="shared" si="499"/>
        <v>10</v>
      </c>
      <c r="I841" s="7">
        <f t="shared" si="499"/>
        <v>10</v>
      </c>
      <c r="J841" s="7">
        <f t="shared" si="499"/>
        <v>10</v>
      </c>
      <c r="K841" s="7">
        <f t="shared" si="499"/>
        <v>10</v>
      </c>
      <c r="L841" s="7">
        <f t="shared" si="499"/>
        <v>0</v>
      </c>
      <c r="M841" s="7">
        <f t="shared" si="464"/>
        <v>0</v>
      </c>
    </row>
    <row r="842" spans="1:13" ht="31.5">
      <c r="A842" s="26" t="s">
        <v>210</v>
      </c>
      <c r="B842" s="42" t="s">
        <v>297</v>
      </c>
      <c r="C842" s="42" t="s">
        <v>268</v>
      </c>
      <c r="D842" s="21" t="s">
        <v>308</v>
      </c>
      <c r="E842" s="21"/>
      <c r="F842" s="7">
        <f>F843</f>
        <v>10</v>
      </c>
      <c r="G842" s="7">
        <f t="shared" si="499"/>
        <v>0</v>
      </c>
      <c r="H842" s="7">
        <f t="shared" si="499"/>
        <v>10</v>
      </c>
      <c r="I842" s="7">
        <f t="shared" si="499"/>
        <v>10</v>
      </c>
      <c r="J842" s="7">
        <f t="shared" si="499"/>
        <v>10</v>
      </c>
      <c r="K842" s="7">
        <f t="shared" si="499"/>
        <v>10</v>
      </c>
      <c r="L842" s="7">
        <f t="shared" si="499"/>
        <v>0</v>
      </c>
      <c r="M842" s="7">
        <f t="shared" si="464"/>
        <v>0</v>
      </c>
    </row>
    <row r="843" spans="1:13" ht="31.5">
      <c r="A843" s="26" t="s">
        <v>301</v>
      </c>
      <c r="B843" s="42" t="s">
        <v>297</v>
      </c>
      <c r="C843" s="42" t="s">
        <v>268</v>
      </c>
      <c r="D843" s="21" t="s">
        <v>308</v>
      </c>
      <c r="E843" s="21" t="s">
        <v>302</v>
      </c>
      <c r="F843" s="7">
        <f>F844</f>
        <v>10</v>
      </c>
      <c r="G843" s="7">
        <f t="shared" si="499"/>
        <v>0</v>
      </c>
      <c r="H843" s="7">
        <f t="shared" si="499"/>
        <v>10</v>
      </c>
      <c r="I843" s="7">
        <f t="shared" si="499"/>
        <v>10</v>
      </c>
      <c r="J843" s="7">
        <f t="shared" si="499"/>
        <v>10</v>
      </c>
      <c r="K843" s="7">
        <f t="shared" si="499"/>
        <v>10</v>
      </c>
      <c r="L843" s="7">
        <f t="shared" si="499"/>
        <v>0</v>
      </c>
      <c r="M843" s="7">
        <f t="shared" si="464"/>
        <v>0</v>
      </c>
    </row>
    <row r="844" spans="1:13" ht="31.5">
      <c r="A844" s="26" t="s">
        <v>303</v>
      </c>
      <c r="B844" s="42" t="s">
        <v>297</v>
      </c>
      <c r="C844" s="42" t="s">
        <v>268</v>
      </c>
      <c r="D844" s="21" t="s">
        <v>308</v>
      </c>
      <c r="E844" s="21" t="s">
        <v>304</v>
      </c>
      <c r="F844" s="7">
        <f>'Прил.№4 ведомств.'!G229</f>
        <v>10</v>
      </c>
      <c r="G844" s="7">
        <f>'Прил.№4 ведомств.'!I229</f>
        <v>0</v>
      </c>
      <c r="H844" s="7">
        <v>10</v>
      </c>
      <c r="I844" s="7">
        <v>10</v>
      </c>
      <c r="J844" s="7">
        <v>10</v>
      </c>
      <c r="K844" s="7">
        <f>'Прил.№4 ведомств.'!M229</f>
        <v>10</v>
      </c>
      <c r="L844" s="7">
        <f>'Прил.№4 ведомств.'!N229</f>
        <v>0</v>
      </c>
      <c r="M844" s="7">
        <f t="shared" si="464"/>
        <v>0</v>
      </c>
    </row>
    <row r="845" spans="1:13" ht="15.75" hidden="1">
      <c r="A845" s="31" t="s">
        <v>174</v>
      </c>
      <c r="B845" s="42" t="s">
        <v>297</v>
      </c>
      <c r="C845" s="42" t="s">
        <v>268</v>
      </c>
      <c r="D845" s="42" t="s">
        <v>175</v>
      </c>
      <c r="E845" s="42"/>
      <c r="F845" s="7">
        <f>F861+F846</f>
        <v>932</v>
      </c>
      <c r="G845" s="7">
        <f t="shared" ref="G845:K845" si="500">G861+G846</f>
        <v>932</v>
      </c>
      <c r="H845" s="7">
        <f t="shared" si="500"/>
        <v>0</v>
      </c>
      <c r="I845" s="7">
        <f t="shared" si="500"/>
        <v>0</v>
      </c>
      <c r="J845" s="7">
        <f t="shared" si="500"/>
        <v>0</v>
      </c>
      <c r="K845" s="7">
        <f t="shared" si="500"/>
        <v>0</v>
      </c>
      <c r="L845" s="7">
        <f t="shared" ref="L845" si="501">L861+L846</f>
        <v>0</v>
      </c>
      <c r="M845" s="4" t="e">
        <f t="shared" ref="M845:M908" si="502">L845/K845*100</f>
        <v>#DIV/0!</v>
      </c>
    </row>
    <row r="846" spans="1:13" ht="31.5" hidden="1">
      <c r="A846" s="31" t="s">
        <v>238</v>
      </c>
      <c r="B846" s="42" t="s">
        <v>297</v>
      </c>
      <c r="C846" s="42" t="s">
        <v>268</v>
      </c>
      <c r="D846" s="42" t="s">
        <v>239</v>
      </c>
      <c r="E846" s="42"/>
      <c r="F846" s="7">
        <f>F850+F853+F847+F870</f>
        <v>932</v>
      </c>
      <c r="G846" s="7">
        <f t="shared" ref="G846:K846" si="503">G850+G853+G847+G870</f>
        <v>932</v>
      </c>
      <c r="H846" s="7">
        <f t="shared" si="503"/>
        <v>0</v>
      </c>
      <c r="I846" s="7">
        <f t="shared" si="503"/>
        <v>0</v>
      </c>
      <c r="J846" s="7">
        <f t="shared" si="503"/>
        <v>0</v>
      </c>
      <c r="K846" s="7">
        <f t="shared" si="503"/>
        <v>0</v>
      </c>
      <c r="L846" s="7">
        <f t="shared" ref="L846" si="504">L850+L853+L847+L870</f>
        <v>0</v>
      </c>
      <c r="M846" s="4" t="e">
        <f t="shared" si="502"/>
        <v>#DIV/0!</v>
      </c>
    </row>
    <row r="847" spans="1:13" ht="24.75" hidden="1" customHeight="1">
      <c r="A847" s="26" t="s">
        <v>436</v>
      </c>
      <c r="B847" s="42" t="s">
        <v>297</v>
      </c>
      <c r="C847" s="42" t="s">
        <v>268</v>
      </c>
      <c r="D847" s="42" t="s">
        <v>437</v>
      </c>
      <c r="E847" s="42"/>
      <c r="F847" s="7">
        <f>F848</f>
        <v>372.6</v>
      </c>
      <c r="G847" s="7">
        <f t="shared" ref="G847:L848" si="505">G848</f>
        <v>372.6</v>
      </c>
      <c r="H847" s="7">
        <f t="shared" si="505"/>
        <v>0</v>
      </c>
      <c r="I847" s="7">
        <f t="shared" si="505"/>
        <v>0</v>
      </c>
      <c r="J847" s="7">
        <f t="shared" si="505"/>
        <v>0</v>
      </c>
      <c r="K847" s="7">
        <f t="shared" si="505"/>
        <v>0</v>
      </c>
      <c r="L847" s="7">
        <f t="shared" si="505"/>
        <v>0</v>
      </c>
      <c r="M847" s="4" t="e">
        <f t="shared" si="502"/>
        <v>#DIV/0!</v>
      </c>
    </row>
    <row r="848" spans="1:13" ht="31.5" hidden="1">
      <c r="A848" s="31" t="s">
        <v>301</v>
      </c>
      <c r="B848" s="42" t="s">
        <v>297</v>
      </c>
      <c r="C848" s="42" t="s">
        <v>268</v>
      </c>
      <c r="D848" s="42" t="s">
        <v>437</v>
      </c>
      <c r="E848" s="42" t="s">
        <v>302</v>
      </c>
      <c r="F848" s="7">
        <f>F849</f>
        <v>372.6</v>
      </c>
      <c r="G848" s="7">
        <f t="shared" si="505"/>
        <v>372.6</v>
      </c>
      <c r="H848" s="7">
        <f t="shared" si="505"/>
        <v>0</v>
      </c>
      <c r="I848" s="7">
        <f t="shared" si="505"/>
        <v>0</v>
      </c>
      <c r="J848" s="7">
        <f t="shared" si="505"/>
        <v>0</v>
      </c>
      <c r="K848" s="7">
        <f t="shared" si="505"/>
        <v>0</v>
      </c>
      <c r="L848" s="7">
        <f t="shared" si="505"/>
        <v>0</v>
      </c>
      <c r="M848" s="4" t="e">
        <f t="shared" si="502"/>
        <v>#DIV/0!</v>
      </c>
    </row>
    <row r="849" spans="1:13" ht="31.5" hidden="1">
      <c r="A849" s="31" t="s">
        <v>303</v>
      </c>
      <c r="B849" s="42" t="s">
        <v>297</v>
      </c>
      <c r="C849" s="42" t="s">
        <v>268</v>
      </c>
      <c r="D849" s="42" t="s">
        <v>437</v>
      </c>
      <c r="E849" s="42" t="s">
        <v>304</v>
      </c>
      <c r="F849" s="7">
        <f>'Прил.№4 ведомств.'!G516</f>
        <v>372.6</v>
      </c>
      <c r="G849" s="7">
        <f>'Прил.№4 ведомств.'!I516</f>
        <v>372.6</v>
      </c>
      <c r="H849" s="7">
        <f>'Прил.№4 ведомств.'!J516</f>
        <v>0</v>
      </c>
      <c r="I849" s="7">
        <f>'Прил.№4 ведомств.'!K516</f>
        <v>0</v>
      </c>
      <c r="J849" s="7">
        <f>'Прил.№4 ведомств.'!L516</f>
        <v>0</v>
      </c>
      <c r="K849" s="7">
        <f>'Прил.№4 ведомств.'!M516</f>
        <v>0</v>
      </c>
      <c r="L849" s="7">
        <f>'Прил.№4 ведомств.'!N516</f>
        <v>0</v>
      </c>
      <c r="M849" s="4" t="e">
        <f t="shared" si="502"/>
        <v>#DIV/0!</v>
      </c>
    </row>
    <row r="850" spans="1:13" ht="47.25" hidden="1" customHeight="1">
      <c r="A850" s="26" t="s">
        <v>309</v>
      </c>
      <c r="B850" s="42" t="s">
        <v>297</v>
      </c>
      <c r="C850" s="42" t="s">
        <v>268</v>
      </c>
      <c r="D850" s="42" t="s">
        <v>310</v>
      </c>
      <c r="E850" s="42"/>
      <c r="F850" s="7">
        <f>F851</f>
        <v>0</v>
      </c>
      <c r="G850" s="7">
        <f t="shared" ref="G850:L851" si="506">G851</f>
        <v>0</v>
      </c>
      <c r="H850" s="7">
        <f t="shared" si="506"/>
        <v>0</v>
      </c>
      <c r="I850" s="7">
        <f t="shared" si="506"/>
        <v>0</v>
      </c>
      <c r="J850" s="7">
        <f t="shared" si="506"/>
        <v>0</v>
      </c>
      <c r="K850" s="7">
        <f t="shared" si="506"/>
        <v>0</v>
      </c>
      <c r="L850" s="7">
        <f t="shared" si="506"/>
        <v>0</v>
      </c>
      <c r="M850" s="4" t="e">
        <f t="shared" si="502"/>
        <v>#DIV/0!</v>
      </c>
    </row>
    <row r="851" spans="1:13" ht="31.5" hidden="1" customHeight="1">
      <c r="A851" s="31" t="s">
        <v>301</v>
      </c>
      <c r="B851" s="42" t="s">
        <v>297</v>
      </c>
      <c r="C851" s="42" t="s">
        <v>268</v>
      </c>
      <c r="D851" s="42" t="s">
        <v>310</v>
      </c>
      <c r="E851" s="42" t="s">
        <v>302</v>
      </c>
      <c r="F851" s="7">
        <f>F852</f>
        <v>0</v>
      </c>
      <c r="G851" s="7">
        <f t="shared" si="506"/>
        <v>0</v>
      </c>
      <c r="H851" s="7">
        <f t="shared" si="506"/>
        <v>0</v>
      </c>
      <c r="I851" s="7">
        <f t="shared" si="506"/>
        <v>0</v>
      </c>
      <c r="J851" s="7">
        <f t="shared" si="506"/>
        <v>0</v>
      </c>
      <c r="K851" s="7">
        <f t="shared" si="506"/>
        <v>0</v>
      </c>
      <c r="L851" s="7">
        <f t="shared" si="506"/>
        <v>0</v>
      </c>
      <c r="M851" s="4" t="e">
        <f t="shared" si="502"/>
        <v>#DIV/0!</v>
      </c>
    </row>
    <row r="852" spans="1:13" ht="31.5" hidden="1" customHeight="1">
      <c r="A852" s="31" t="s">
        <v>303</v>
      </c>
      <c r="B852" s="42" t="s">
        <v>297</v>
      </c>
      <c r="C852" s="42" t="s">
        <v>268</v>
      </c>
      <c r="D852" s="42" t="s">
        <v>310</v>
      </c>
      <c r="E852" s="42" t="s">
        <v>304</v>
      </c>
      <c r="F852" s="7">
        <f>'Прил.№4 ведомств.'!G234</f>
        <v>0</v>
      </c>
      <c r="G852" s="7">
        <f>'Прил.№4 ведомств.'!I234</f>
        <v>0</v>
      </c>
      <c r="H852" s="7">
        <f>'Прил.№4 ведомств.'!J234</f>
        <v>0</v>
      </c>
      <c r="I852" s="7">
        <f>'Прил.№4 ведомств.'!K234</f>
        <v>0</v>
      </c>
      <c r="J852" s="7">
        <f>'Прил.№4 ведомств.'!L234</f>
        <v>0</v>
      </c>
      <c r="K852" s="7">
        <f>'Прил.№4 ведомств.'!M234</f>
        <v>0</v>
      </c>
      <c r="L852" s="7">
        <f>'Прил.№4 ведомств.'!N234</f>
        <v>0</v>
      </c>
      <c r="M852" s="4" t="e">
        <f t="shared" si="502"/>
        <v>#DIV/0!</v>
      </c>
    </row>
    <row r="853" spans="1:13" ht="47.25" hidden="1">
      <c r="A853" s="26" t="s">
        <v>428</v>
      </c>
      <c r="B853" s="42" t="s">
        <v>297</v>
      </c>
      <c r="C853" s="42" t="s">
        <v>268</v>
      </c>
      <c r="D853" s="21" t="s">
        <v>438</v>
      </c>
      <c r="E853" s="42"/>
      <c r="F853" s="7">
        <f>F854</f>
        <v>500</v>
      </c>
      <c r="G853" s="7">
        <f t="shared" ref="G853:L854" si="507">G854</f>
        <v>500</v>
      </c>
      <c r="H853" s="7">
        <f t="shared" si="507"/>
        <v>0</v>
      </c>
      <c r="I853" s="7">
        <f t="shared" si="507"/>
        <v>0</v>
      </c>
      <c r="J853" s="7">
        <f t="shared" si="507"/>
        <v>0</v>
      </c>
      <c r="K853" s="7">
        <f t="shared" si="507"/>
        <v>0</v>
      </c>
      <c r="L853" s="7">
        <f t="shared" si="507"/>
        <v>0</v>
      </c>
      <c r="M853" s="4" t="e">
        <f t="shared" si="502"/>
        <v>#DIV/0!</v>
      </c>
    </row>
    <row r="854" spans="1:13" ht="31.5" hidden="1">
      <c r="A854" s="26" t="s">
        <v>301</v>
      </c>
      <c r="B854" s="42" t="s">
        <v>297</v>
      </c>
      <c r="C854" s="42" t="s">
        <v>268</v>
      </c>
      <c r="D854" s="21" t="s">
        <v>438</v>
      </c>
      <c r="E854" s="42" t="s">
        <v>302</v>
      </c>
      <c r="F854" s="7">
        <f>F855</f>
        <v>500</v>
      </c>
      <c r="G854" s="7">
        <f t="shared" si="507"/>
        <v>500</v>
      </c>
      <c r="H854" s="7">
        <f t="shared" si="507"/>
        <v>0</v>
      </c>
      <c r="I854" s="7">
        <f t="shared" si="507"/>
        <v>0</v>
      </c>
      <c r="J854" s="7">
        <f t="shared" si="507"/>
        <v>0</v>
      </c>
      <c r="K854" s="7">
        <f t="shared" si="507"/>
        <v>0</v>
      </c>
      <c r="L854" s="7">
        <f t="shared" si="507"/>
        <v>0</v>
      </c>
      <c r="M854" s="4" t="e">
        <f t="shared" si="502"/>
        <v>#DIV/0!</v>
      </c>
    </row>
    <row r="855" spans="1:13" ht="31.5" hidden="1">
      <c r="A855" s="26" t="s">
        <v>303</v>
      </c>
      <c r="B855" s="42" t="s">
        <v>297</v>
      </c>
      <c r="C855" s="42" t="s">
        <v>268</v>
      </c>
      <c r="D855" s="21" t="s">
        <v>438</v>
      </c>
      <c r="E855" s="42" t="s">
        <v>304</v>
      </c>
      <c r="F855" s="7">
        <f>'Прил.№4 ведомств.'!G519</f>
        <v>500</v>
      </c>
      <c r="G855" s="7">
        <f>'Прил.№4 ведомств.'!I519</f>
        <v>500</v>
      </c>
      <c r="H855" s="7">
        <f>'Прил.№4 ведомств.'!J519</f>
        <v>0</v>
      </c>
      <c r="I855" s="7">
        <f>'Прил.№4 ведомств.'!K519</f>
        <v>0</v>
      </c>
      <c r="J855" s="7">
        <f>'Прил.№4 ведомств.'!L519</f>
        <v>0</v>
      </c>
      <c r="K855" s="7">
        <f>'Прил.№4 ведомств.'!M519</f>
        <v>0</v>
      </c>
      <c r="L855" s="7">
        <f>'Прил.№4 ведомств.'!N519</f>
        <v>0</v>
      </c>
      <c r="M855" s="4" t="e">
        <f t="shared" si="502"/>
        <v>#DIV/0!</v>
      </c>
    </row>
    <row r="856" spans="1:13" ht="15.75" hidden="1" customHeight="1">
      <c r="A856" s="26" t="s">
        <v>436</v>
      </c>
      <c r="B856" s="42" t="s">
        <v>297</v>
      </c>
      <c r="C856" s="42" t="s">
        <v>268</v>
      </c>
      <c r="D856" s="42" t="s">
        <v>437</v>
      </c>
      <c r="E856" s="42"/>
      <c r="F856" s="7">
        <f>F857</f>
        <v>0</v>
      </c>
      <c r="G856" s="7">
        <f t="shared" ref="G856:L856" si="508">G857</f>
        <v>0</v>
      </c>
      <c r="H856" s="7">
        <f t="shared" si="508"/>
        <v>0</v>
      </c>
      <c r="I856" s="7">
        <f t="shared" si="508"/>
        <v>0</v>
      </c>
      <c r="J856" s="7">
        <f t="shared" si="508"/>
        <v>0</v>
      </c>
      <c r="K856" s="7">
        <f t="shared" si="508"/>
        <v>0</v>
      </c>
      <c r="L856" s="7">
        <f t="shared" si="508"/>
        <v>0</v>
      </c>
      <c r="M856" s="4" t="e">
        <f t="shared" si="502"/>
        <v>#DIV/0!</v>
      </c>
    </row>
    <row r="857" spans="1:13" ht="31.5" hidden="1" customHeight="1">
      <c r="A857" s="31" t="s">
        <v>301</v>
      </c>
      <c r="B857" s="42" t="s">
        <v>297</v>
      </c>
      <c r="C857" s="42" t="s">
        <v>268</v>
      </c>
      <c r="D857" s="42" t="s">
        <v>437</v>
      </c>
      <c r="E857" s="42" t="s">
        <v>302</v>
      </c>
      <c r="F857" s="7">
        <f>F858+F860</f>
        <v>0</v>
      </c>
      <c r="G857" s="7">
        <f t="shared" ref="G857:K857" si="509">G858+G860</f>
        <v>0</v>
      </c>
      <c r="H857" s="7">
        <f t="shared" si="509"/>
        <v>0</v>
      </c>
      <c r="I857" s="7">
        <f t="shared" si="509"/>
        <v>0</v>
      </c>
      <c r="J857" s="7">
        <f t="shared" si="509"/>
        <v>0</v>
      </c>
      <c r="K857" s="7">
        <f t="shared" si="509"/>
        <v>0</v>
      </c>
      <c r="L857" s="7">
        <f t="shared" ref="L857" si="510">L858+L860</f>
        <v>0</v>
      </c>
      <c r="M857" s="4" t="e">
        <f t="shared" si="502"/>
        <v>#DIV/0!</v>
      </c>
    </row>
    <row r="858" spans="1:13" ht="31.5" hidden="1" customHeight="1">
      <c r="A858" s="31" t="s">
        <v>401</v>
      </c>
      <c r="B858" s="42" t="s">
        <v>297</v>
      </c>
      <c r="C858" s="42" t="s">
        <v>268</v>
      </c>
      <c r="D858" s="42" t="s">
        <v>437</v>
      </c>
      <c r="E858" s="42" t="s">
        <v>402</v>
      </c>
      <c r="F858" s="7"/>
      <c r="G858" s="7"/>
      <c r="H858" s="7"/>
      <c r="I858" s="7"/>
      <c r="J858" s="7"/>
      <c r="K858" s="7"/>
      <c r="L858" s="7"/>
      <c r="M858" s="4" t="e">
        <f t="shared" si="502"/>
        <v>#DIV/0!</v>
      </c>
    </row>
    <row r="859" spans="1:13" ht="47.25" hidden="1" customHeight="1">
      <c r="A859" s="31" t="s">
        <v>691</v>
      </c>
      <c r="B859" s="42" t="s">
        <v>297</v>
      </c>
      <c r="C859" s="42" t="s">
        <v>268</v>
      </c>
      <c r="D859" s="42" t="s">
        <v>437</v>
      </c>
      <c r="E859" s="42" t="s">
        <v>692</v>
      </c>
      <c r="F859" s="7"/>
      <c r="G859" s="7"/>
      <c r="H859" s="7"/>
      <c r="I859" s="7"/>
      <c r="J859" s="7"/>
      <c r="K859" s="7"/>
      <c r="L859" s="7"/>
      <c r="M859" s="4" t="e">
        <f t="shared" si="502"/>
        <v>#DIV/0!</v>
      </c>
    </row>
    <row r="860" spans="1:13" ht="31.5" hidden="1" customHeight="1">
      <c r="A860" s="31" t="s">
        <v>303</v>
      </c>
      <c r="B860" s="42" t="s">
        <v>297</v>
      </c>
      <c r="C860" s="42" t="s">
        <v>268</v>
      </c>
      <c r="D860" s="42" t="s">
        <v>437</v>
      </c>
      <c r="E860" s="42" t="s">
        <v>304</v>
      </c>
      <c r="F860" s="7"/>
      <c r="G860" s="7"/>
      <c r="H860" s="7"/>
      <c r="I860" s="7"/>
      <c r="J860" s="7"/>
      <c r="K860" s="7"/>
      <c r="L860" s="7"/>
      <c r="M860" s="4" t="e">
        <f t="shared" si="502"/>
        <v>#DIV/0!</v>
      </c>
    </row>
    <row r="861" spans="1:13" ht="15.75" hidden="1" customHeight="1">
      <c r="A861" s="31" t="s">
        <v>194</v>
      </c>
      <c r="B861" s="42" t="s">
        <v>297</v>
      </c>
      <c r="C861" s="42" t="s">
        <v>268</v>
      </c>
      <c r="D861" s="42" t="s">
        <v>195</v>
      </c>
      <c r="E861" s="42"/>
      <c r="F861" s="7">
        <f>F862</f>
        <v>0</v>
      </c>
      <c r="G861" s="7">
        <f t="shared" ref="G861:L863" si="511">G862</f>
        <v>0</v>
      </c>
      <c r="H861" s="7">
        <f t="shared" si="511"/>
        <v>0</v>
      </c>
      <c r="I861" s="7">
        <f t="shared" si="511"/>
        <v>0</v>
      </c>
      <c r="J861" s="7">
        <f t="shared" si="511"/>
        <v>0</v>
      </c>
      <c r="K861" s="7">
        <f t="shared" si="511"/>
        <v>0</v>
      </c>
      <c r="L861" s="7">
        <f t="shared" si="511"/>
        <v>0</v>
      </c>
      <c r="M861" s="4" t="e">
        <f t="shared" si="502"/>
        <v>#DIV/0!</v>
      </c>
    </row>
    <row r="862" spans="1:13" ht="15.75" hidden="1" customHeight="1">
      <c r="A862" s="31" t="s">
        <v>254</v>
      </c>
      <c r="B862" s="42" t="s">
        <v>297</v>
      </c>
      <c r="C862" s="42" t="s">
        <v>268</v>
      </c>
      <c r="D862" s="42" t="s">
        <v>255</v>
      </c>
      <c r="E862" s="42"/>
      <c r="F862" s="7">
        <f>F863</f>
        <v>0</v>
      </c>
      <c r="G862" s="7">
        <f t="shared" si="511"/>
        <v>0</v>
      </c>
      <c r="H862" s="7">
        <f t="shared" si="511"/>
        <v>0</v>
      </c>
      <c r="I862" s="7">
        <f t="shared" si="511"/>
        <v>0</v>
      </c>
      <c r="J862" s="7">
        <f t="shared" si="511"/>
        <v>0</v>
      </c>
      <c r="K862" s="7">
        <f t="shared" si="511"/>
        <v>0</v>
      </c>
      <c r="L862" s="7">
        <f t="shared" si="511"/>
        <v>0</v>
      </c>
      <c r="M862" s="4" t="e">
        <f t="shared" si="502"/>
        <v>#DIV/0!</v>
      </c>
    </row>
    <row r="863" spans="1:13" ht="31.5" hidden="1" customHeight="1">
      <c r="A863" s="31" t="s">
        <v>301</v>
      </c>
      <c r="B863" s="42" t="s">
        <v>297</v>
      </c>
      <c r="C863" s="42" t="s">
        <v>268</v>
      </c>
      <c r="D863" s="42" t="s">
        <v>255</v>
      </c>
      <c r="E863" s="42" t="s">
        <v>302</v>
      </c>
      <c r="F863" s="7">
        <f>F864</f>
        <v>0</v>
      </c>
      <c r="G863" s="7">
        <f t="shared" si="511"/>
        <v>0</v>
      </c>
      <c r="H863" s="7">
        <f t="shared" si="511"/>
        <v>0</v>
      </c>
      <c r="I863" s="7">
        <f t="shared" si="511"/>
        <v>0</v>
      </c>
      <c r="J863" s="7">
        <f t="shared" si="511"/>
        <v>0</v>
      </c>
      <c r="K863" s="7">
        <f t="shared" si="511"/>
        <v>0</v>
      </c>
      <c r="L863" s="7">
        <f t="shared" si="511"/>
        <v>0</v>
      </c>
      <c r="M863" s="4" t="e">
        <f t="shared" si="502"/>
        <v>#DIV/0!</v>
      </c>
    </row>
    <row r="864" spans="1:13" ht="31.5" hidden="1" customHeight="1">
      <c r="A864" s="31" t="s">
        <v>401</v>
      </c>
      <c r="B864" s="42" t="s">
        <v>297</v>
      </c>
      <c r="C864" s="42" t="s">
        <v>268</v>
      </c>
      <c r="D864" s="42" t="s">
        <v>255</v>
      </c>
      <c r="E864" s="42" t="s">
        <v>402</v>
      </c>
      <c r="F864" s="7"/>
      <c r="G864" s="7"/>
      <c r="H864" s="7"/>
      <c r="I864" s="7"/>
      <c r="J864" s="7"/>
      <c r="K864" s="7"/>
      <c r="L864" s="7"/>
      <c r="M864" s="4" t="e">
        <f t="shared" si="502"/>
        <v>#DIV/0!</v>
      </c>
    </row>
    <row r="865" spans="1:13" ht="15.75" customHeight="1">
      <c r="A865" s="43" t="s">
        <v>454</v>
      </c>
      <c r="B865" s="8" t="s">
        <v>297</v>
      </c>
      <c r="C865" s="8" t="s">
        <v>203</v>
      </c>
      <c r="D865" s="8"/>
      <c r="E865" s="8"/>
      <c r="F865" s="4">
        <f>F866</f>
        <v>0</v>
      </c>
      <c r="G865" s="4">
        <f t="shared" ref="G865:L868" si="512">G866</f>
        <v>0</v>
      </c>
      <c r="H865" s="4">
        <f t="shared" si="512"/>
        <v>0</v>
      </c>
      <c r="I865" s="4">
        <f t="shared" si="512"/>
        <v>0</v>
      </c>
      <c r="J865" s="4">
        <f t="shared" si="512"/>
        <v>0</v>
      </c>
      <c r="K865" s="4">
        <f t="shared" si="512"/>
        <v>378.5</v>
      </c>
      <c r="L865" s="4">
        <f t="shared" si="512"/>
        <v>0</v>
      </c>
      <c r="M865" s="4">
        <f t="shared" si="502"/>
        <v>0</v>
      </c>
    </row>
    <row r="866" spans="1:13" ht="31.5" customHeight="1">
      <c r="A866" s="31" t="s">
        <v>238</v>
      </c>
      <c r="B866" s="42" t="s">
        <v>297</v>
      </c>
      <c r="C866" s="42" t="s">
        <v>203</v>
      </c>
      <c r="D866" s="42" t="s">
        <v>239</v>
      </c>
      <c r="E866" s="42"/>
      <c r="F866" s="7">
        <f>F867</f>
        <v>0</v>
      </c>
      <c r="G866" s="7">
        <f t="shared" si="512"/>
        <v>0</v>
      </c>
      <c r="H866" s="7">
        <f t="shared" si="512"/>
        <v>0</v>
      </c>
      <c r="I866" s="7">
        <f t="shared" si="512"/>
        <v>0</v>
      </c>
      <c r="J866" s="7">
        <f t="shared" si="512"/>
        <v>0</v>
      </c>
      <c r="K866" s="7">
        <f t="shared" si="512"/>
        <v>378.5</v>
      </c>
      <c r="L866" s="7">
        <f t="shared" si="512"/>
        <v>0</v>
      </c>
      <c r="M866" s="7">
        <f t="shared" si="502"/>
        <v>0</v>
      </c>
    </row>
    <row r="867" spans="1:13" ht="31.5" customHeight="1">
      <c r="A867" s="47" t="s">
        <v>455</v>
      </c>
      <c r="B867" s="42" t="s">
        <v>297</v>
      </c>
      <c r="C867" s="42" t="s">
        <v>203</v>
      </c>
      <c r="D867" s="21" t="s">
        <v>456</v>
      </c>
      <c r="E867" s="42"/>
      <c r="F867" s="7">
        <f>F868</f>
        <v>0</v>
      </c>
      <c r="G867" s="7">
        <f t="shared" si="512"/>
        <v>0</v>
      </c>
      <c r="H867" s="7">
        <f t="shared" si="512"/>
        <v>0</v>
      </c>
      <c r="I867" s="7">
        <f t="shared" si="512"/>
        <v>0</v>
      </c>
      <c r="J867" s="7">
        <f t="shared" si="512"/>
        <v>0</v>
      </c>
      <c r="K867" s="7">
        <f t="shared" si="512"/>
        <v>378.5</v>
      </c>
      <c r="L867" s="7">
        <f t="shared" si="512"/>
        <v>0</v>
      </c>
      <c r="M867" s="7">
        <f t="shared" si="502"/>
        <v>0</v>
      </c>
    </row>
    <row r="868" spans="1:13" ht="31.5" customHeight="1">
      <c r="A868" s="31" t="s">
        <v>184</v>
      </c>
      <c r="B868" s="42" t="s">
        <v>297</v>
      </c>
      <c r="C868" s="42" t="s">
        <v>203</v>
      </c>
      <c r="D868" s="21" t="s">
        <v>456</v>
      </c>
      <c r="E868" s="42" t="s">
        <v>185</v>
      </c>
      <c r="F868" s="7">
        <f>F869</f>
        <v>0</v>
      </c>
      <c r="G868" s="7">
        <f t="shared" si="512"/>
        <v>0</v>
      </c>
      <c r="H868" s="7">
        <f t="shared" si="512"/>
        <v>0</v>
      </c>
      <c r="I868" s="7">
        <f t="shared" si="512"/>
        <v>0</v>
      </c>
      <c r="J868" s="7">
        <f t="shared" si="512"/>
        <v>0</v>
      </c>
      <c r="K868" s="7">
        <f t="shared" si="512"/>
        <v>378.5</v>
      </c>
      <c r="L868" s="7">
        <f t="shared" si="512"/>
        <v>0</v>
      </c>
      <c r="M868" s="7">
        <f t="shared" si="502"/>
        <v>0</v>
      </c>
    </row>
    <row r="869" spans="1:13" ht="47.25" customHeight="1">
      <c r="A869" s="31" t="s">
        <v>186</v>
      </c>
      <c r="B869" s="42" t="s">
        <v>297</v>
      </c>
      <c r="C869" s="42" t="s">
        <v>203</v>
      </c>
      <c r="D869" s="21" t="s">
        <v>456</v>
      </c>
      <c r="E869" s="42" t="s">
        <v>187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f>'Прил.№4 ведомств.'!M570</f>
        <v>378.5</v>
      </c>
      <c r="L869" s="7">
        <f>'Прил.№4 ведомств.'!N570</f>
        <v>0</v>
      </c>
      <c r="M869" s="7">
        <f t="shared" si="502"/>
        <v>0</v>
      </c>
    </row>
    <row r="870" spans="1:13" ht="63" hidden="1">
      <c r="A870" s="26" t="s">
        <v>439</v>
      </c>
      <c r="B870" s="21" t="s">
        <v>297</v>
      </c>
      <c r="C870" s="21" t="s">
        <v>268</v>
      </c>
      <c r="D870" s="21" t="s">
        <v>440</v>
      </c>
      <c r="E870" s="21"/>
      <c r="F870" s="7">
        <f>F871</f>
        <v>59.4</v>
      </c>
      <c r="G870" s="7">
        <f t="shared" ref="G870:L871" si="513">G871</f>
        <v>59.4</v>
      </c>
      <c r="H870" s="7">
        <f t="shared" si="513"/>
        <v>0</v>
      </c>
      <c r="I870" s="7">
        <f t="shared" si="513"/>
        <v>0</v>
      </c>
      <c r="J870" s="7">
        <f t="shared" si="513"/>
        <v>0</v>
      </c>
      <c r="K870" s="7">
        <f t="shared" si="513"/>
        <v>0</v>
      </c>
      <c r="L870" s="7">
        <f t="shared" si="513"/>
        <v>0</v>
      </c>
      <c r="M870" s="4" t="e">
        <f t="shared" si="502"/>
        <v>#DIV/0!</v>
      </c>
    </row>
    <row r="871" spans="1:13" ht="31.5" hidden="1">
      <c r="A871" s="26" t="s">
        <v>301</v>
      </c>
      <c r="B871" s="21" t="s">
        <v>297</v>
      </c>
      <c r="C871" s="21" t="s">
        <v>268</v>
      </c>
      <c r="D871" s="21" t="s">
        <v>440</v>
      </c>
      <c r="E871" s="21" t="s">
        <v>302</v>
      </c>
      <c r="F871" s="7">
        <f>F872</f>
        <v>59.4</v>
      </c>
      <c r="G871" s="7">
        <f t="shared" si="513"/>
        <v>59.4</v>
      </c>
      <c r="H871" s="7">
        <f t="shared" si="513"/>
        <v>0</v>
      </c>
      <c r="I871" s="7">
        <f t="shared" si="513"/>
        <v>0</v>
      </c>
      <c r="J871" s="7">
        <f t="shared" si="513"/>
        <v>0</v>
      </c>
      <c r="K871" s="7">
        <f t="shared" si="513"/>
        <v>0</v>
      </c>
      <c r="L871" s="7">
        <f t="shared" si="513"/>
        <v>0</v>
      </c>
      <c r="M871" s="4" t="e">
        <f t="shared" si="502"/>
        <v>#DIV/0!</v>
      </c>
    </row>
    <row r="872" spans="1:13" ht="31.5" hidden="1">
      <c r="A872" s="26" t="s">
        <v>401</v>
      </c>
      <c r="B872" s="21" t="s">
        <v>297</v>
      </c>
      <c r="C872" s="21" t="s">
        <v>268</v>
      </c>
      <c r="D872" s="21" t="s">
        <v>440</v>
      </c>
      <c r="E872" s="21" t="s">
        <v>402</v>
      </c>
      <c r="F872" s="7">
        <f>'Прил.№4 ведомств.'!G522</f>
        <v>59.4</v>
      </c>
      <c r="G872" s="7">
        <f>'Прил.№4 ведомств.'!I522</f>
        <v>59.4</v>
      </c>
      <c r="H872" s="7">
        <f>'Прил.№4 ведомств.'!J522</f>
        <v>0</v>
      </c>
      <c r="I872" s="7">
        <f>'Прил.№4 ведомств.'!K522</f>
        <v>0</v>
      </c>
      <c r="J872" s="7">
        <f>'Прил.№4 ведомств.'!L522</f>
        <v>0</v>
      </c>
      <c r="K872" s="7">
        <f>'Прил.№4 ведомств.'!M522</f>
        <v>0</v>
      </c>
      <c r="L872" s="7">
        <f>'Прил.№4 ведомств.'!N522</f>
        <v>0</v>
      </c>
      <c r="M872" s="4" t="e">
        <f t="shared" si="502"/>
        <v>#DIV/0!</v>
      </c>
    </row>
    <row r="873" spans="1:13" ht="31.5">
      <c r="A873" s="43" t="s">
        <v>311</v>
      </c>
      <c r="B873" s="8" t="s">
        <v>297</v>
      </c>
      <c r="C873" s="8" t="s">
        <v>173</v>
      </c>
      <c r="D873" s="8"/>
      <c r="E873" s="8"/>
      <c r="F873" s="4">
        <f>F874</f>
        <v>3235.6000000000004</v>
      </c>
      <c r="G873" s="4">
        <f t="shared" ref="G873:L873" si="514">G874</f>
        <v>3235.6000000000004</v>
      </c>
      <c r="H873" s="4">
        <f t="shared" si="514"/>
        <v>3256.3000000000006</v>
      </c>
      <c r="I873" s="4">
        <f t="shared" si="514"/>
        <v>3256.3000000000006</v>
      </c>
      <c r="J873" s="4">
        <f t="shared" si="514"/>
        <v>3256.3000000000006</v>
      </c>
      <c r="K873" s="4">
        <f t="shared" si="514"/>
        <v>3235.8</v>
      </c>
      <c r="L873" s="4">
        <f t="shared" si="514"/>
        <v>527.1</v>
      </c>
      <c r="M873" s="4">
        <f t="shared" si="502"/>
        <v>16.289634711663268</v>
      </c>
    </row>
    <row r="874" spans="1:13" ht="15.75">
      <c r="A874" s="31" t="s">
        <v>174</v>
      </c>
      <c r="B874" s="42" t="s">
        <v>297</v>
      </c>
      <c r="C874" s="42" t="s">
        <v>173</v>
      </c>
      <c r="D874" s="42" t="s">
        <v>175</v>
      </c>
      <c r="E874" s="42"/>
      <c r="F874" s="7">
        <f>F875+F881</f>
        <v>3235.6000000000004</v>
      </c>
      <c r="G874" s="7">
        <f t="shared" ref="G874:K874" si="515">G875+G881</f>
        <v>3235.6000000000004</v>
      </c>
      <c r="H874" s="7">
        <f t="shared" si="515"/>
        <v>3256.3000000000006</v>
      </c>
      <c r="I874" s="7">
        <f t="shared" si="515"/>
        <v>3256.3000000000006</v>
      </c>
      <c r="J874" s="7">
        <f t="shared" si="515"/>
        <v>3256.3000000000006</v>
      </c>
      <c r="K874" s="7">
        <f t="shared" si="515"/>
        <v>3235.8</v>
      </c>
      <c r="L874" s="7">
        <f t="shared" ref="L874" si="516">L875+L881</f>
        <v>527.1</v>
      </c>
      <c r="M874" s="7">
        <f t="shared" si="502"/>
        <v>16.289634711663268</v>
      </c>
    </row>
    <row r="875" spans="1:13" ht="31.5">
      <c r="A875" s="31" t="s">
        <v>238</v>
      </c>
      <c r="B875" s="42" t="s">
        <v>297</v>
      </c>
      <c r="C875" s="42" t="s">
        <v>173</v>
      </c>
      <c r="D875" s="42" t="s">
        <v>239</v>
      </c>
      <c r="E875" s="42"/>
      <c r="F875" s="7">
        <f>F876</f>
        <v>3148.5000000000005</v>
      </c>
      <c r="G875" s="7">
        <f t="shared" ref="G875:L875" si="517">G876</f>
        <v>3148.5000000000005</v>
      </c>
      <c r="H875" s="7">
        <f t="shared" si="517"/>
        <v>3148.5000000000005</v>
      </c>
      <c r="I875" s="7">
        <f t="shared" si="517"/>
        <v>3148.5000000000005</v>
      </c>
      <c r="J875" s="7">
        <f t="shared" si="517"/>
        <v>3148.5000000000005</v>
      </c>
      <c r="K875" s="7">
        <f t="shared" si="517"/>
        <v>3148.7000000000003</v>
      </c>
      <c r="L875" s="7">
        <f t="shared" si="517"/>
        <v>491</v>
      </c>
      <c r="M875" s="7">
        <f t="shared" si="502"/>
        <v>15.593737097849905</v>
      </c>
    </row>
    <row r="876" spans="1:13" ht="47.25">
      <c r="A876" s="47" t="s">
        <v>312</v>
      </c>
      <c r="B876" s="42" t="s">
        <v>297</v>
      </c>
      <c r="C876" s="42" t="s">
        <v>173</v>
      </c>
      <c r="D876" s="42" t="s">
        <v>313</v>
      </c>
      <c r="E876" s="42"/>
      <c r="F876" s="7">
        <f>F877+F879</f>
        <v>3148.5000000000005</v>
      </c>
      <c r="G876" s="7">
        <f t="shared" ref="G876:K876" si="518">G877+G879</f>
        <v>3148.5000000000005</v>
      </c>
      <c r="H876" s="7">
        <f t="shared" si="518"/>
        <v>3148.5000000000005</v>
      </c>
      <c r="I876" s="7">
        <f t="shared" si="518"/>
        <v>3148.5000000000005</v>
      </c>
      <c r="J876" s="7">
        <f t="shared" si="518"/>
        <v>3148.5000000000005</v>
      </c>
      <c r="K876" s="7">
        <f t="shared" si="518"/>
        <v>3148.7000000000003</v>
      </c>
      <c r="L876" s="7">
        <f t="shared" ref="L876" si="519">L877+L879</f>
        <v>491</v>
      </c>
      <c r="M876" s="7">
        <f t="shared" si="502"/>
        <v>15.593737097849905</v>
      </c>
    </row>
    <row r="877" spans="1:13" ht="78.75">
      <c r="A877" s="31" t="s">
        <v>180</v>
      </c>
      <c r="B877" s="42" t="s">
        <v>297</v>
      </c>
      <c r="C877" s="42" t="s">
        <v>173</v>
      </c>
      <c r="D877" s="42" t="s">
        <v>313</v>
      </c>
      <c r="E877" s="42" t="s">
        <v>181</v>
      </c>
      <c r="F877" s="7">
        <f>F878</f>
        <v>2884.1000000000004</v>
      </c>
      <c r="G877" s="7">
        <f t="shared" ref="G877:L877" si="520">G878</f>
        <v>2884.1000000000004</v>
      </c>
      <c r="H877" s="7">
        <f t="shared" si="520"/>
        <v>2884.1000000000004</v>
      </c>
      <c r="I877" s="7">
        <f t="shared" si="520"/>
        <v>2884.1000000000004</v>
      </c>
      <c r="J877" s="7">
        <f t="shared" si="520"/>
        <v>2884.1000000000004</v>
      </c>
      <c r="K877" s="7">
        <f t="shared" si="520"/>
        <v>2857.3</v>
      </c>
      <c r="L877" s="7">
        <f t="shared" si="520"/>
        <v>480.3</v>
      </c>
      <c r="M877" s="7">
        <f t="shared" si="502"/>
        <v>16.809575473348964</v>
      </c>
    </row>
    <row r="878" spans="1:13" ht="31.5">
      <c r="A878" s="31" t="s">
        <v>182</v>
      </c>
      <c r="B878" s="42" t="s">
        <v>297</v>
      </c>
      <c r="C878" s="42" t="s">
        <v>173</v>
      </c>
      <c r="D878" s="42" t="s">
        <v>313</v>
      </c>
      <c r="E878" s="42" t="s">
        <v>183</v>
      </c>
      <c r="F878" s="7">
        <f>'Прил.№4 ведомств.'!G240</f>
        <v>2884.1000000000004</v>
      </c>
      <c r="G878" s="7">
        <f>'Прил.№4 ведомств.'!I240</f>
        <v>2884.1000000000004</v>
      </c>
      <c r="H878" s="7">
        <f>'Прил.№4 ведомств.'!J240</f>
        <v>2884.1000000000004</v>
      </c>
      <c r="I878" s="7">
        <f>'Прил.№4 ведомств.'!K240</f>
        <v>2884.1000000000004</v>
      </c>
      <c r="J878" s="7">
        <f>'Прил.№4 ведомств.'!L240</f>
        <v>2884.1000000000004</v>
      </c>
      <c r="K878" s="7">
        <f>'Прил.№4 ведомств.'!M240</f>
        <v>2857.3</v>
      </c>
      <c r="L878" s="7">
        <f>'Прил.№4 ведомств.'!N240</f>
        <v>480.3</v>
      </c>
      <c r="M878" s="7">
        <f t="shared" si="502"/>
        <v>16.809575473348964</v>
      </c>
    </row>
    <row r="879" spans="1:13" ht="31.5">
      <c r="A879" s="31" t="s">
        <v>184</v>
      </c>
      <c r="B879" s="42" t="s">
        <v>297</v>
      </c>
      <c r="C879" s="42" t="s">
        <v>173</v>
      </c>
      <c r="D879" s="42" t="s">
        <v>313</v>
      </c>
      <c r="E879" s="42" t="s">
        <v>185</v>
      </c>
      <c r="F879" s="7">
        <f>F880</f>
        <v>264.39999999999998</v>
      </c>
      <c r="G879" s="7">
        <f t="shared" ref="G879:L879" si="521">G880</f>
        <v>264.39999999999998</v>
      </c>
      <c r="H879" s="7">
        <f t="shared" si="521"/>
        <v>264.39999999999998</v>
      </c>
      <c r="I879" s="7">
        <f t="shared" si="521"/>
        <v>264.39999999999998</v>
      </c>
      <c r="J879" s="7">
        <f t="shared" si="521"/>
        <v>264.39999999999998</v>
      </c>
      <c r="K879" s="7">
        <f t="shared" si="521"/>
        <v>291.39999999999998</v>
      </c>
      <c r="L879" s="7">
        <f t="shared" si="521"/>
        <v>10.7</v>
      </c>
      <c r="M879" s="7">
        <f t="shared" si="502"/>
        <v>3.6719286204529853</v>
      </c>
    </row>
    <row r="880" spans="1:13" ht="47.25">
      <c r="A880" s="31" t="s">
        <v>186</v>
      </c>
      <c r="B880" s="42" t="s">
        <v>297</v>
      </c>
      <c r="C880" s="42" t="s">
        <v>173</v>
      </c>
      <c r="D880" s="42" t="s">
        <v>313</v>
      </c>
      <c r="E880" s="42" t="s">
        <v>187</v>
      </c>
      <c r="F880" s="7">
        <f>'Прил.№4 ведомств.'!G242</f>
        <v>264.39999999999998</v>
      </c>
      <c r="G880" s="7">
        <f>'Прил.№4 ведомств.'!I242</f>
        <v>264.39999999999998</v>
      </c>
      <c r="H880" s="7">
        <f>'Прил.№4 ведомств.'!J242</f>
        <v>264.39999999999998</v>
      </c>
      <c r="I880" s="7">
        <f>'Прил.№4 ведомств.'!K242</f>
        <v>264.39999999999998</v>
      </c>
      <c r="J880" s="7">
        <f>'Прил.№4 ведомств.'!L242</f>
        <v>264.39999999999998</v>
      </c>
      <c r="K880" s="7">
        <f>'Прил.№4 ведомств.'!M242</f>
        <v>291.39999999999998</v>
      </c>
      <c r="L880" s="7">
        <f>'Прил.№4 ведомств.'!N242</f>
        <v>10.7</v>
      </c>
      <c r="M880" s="7">
        <f t="shared" si="502"/>
        <v>3.6719286204529853</v>
      </c>
    </row>
    <row r="881" spans="1:15" ht="15.75">
      <c r="A881" s="31" t="s">
        <v>194</v>
      </c>
      <c r="B881" s="42" t="s">
        <v>297</v>
      </c>
      <c r="C881" s="42" t="s">
        <v>173</v>
      </c>
      <c r="D881" s="42" t="s">
        <v>195</v>
      </c>
      <c r="E881" s="42"/>
      <c r="F881" s="7">
        <f>F882</f>
        <v>87.1</v>
      </c>
      <c r="G881" s="7">
        <f t="shared" ref="G881:L883" si="522">G882</f>
        <v>87.1</v>
      </c>
      <c r="H881" s="7">
        <f t="shared" si="522"/>
        <v>107.8</v>
      </c>
      <c r="I881" s="7">
        <f t="shared" si="522"/>
        <v>107.8</v>
      </c>
      <c r="J881" s="7">
        <f t="shared" si="522"/>
        <v>107.8</v>
      </c>
      <c r="K881" s="7">
        <f t="shared" si="522"/>
        <v>87.1</v>
      </c>
      <c r="L881" s="7">
        <f t="shared" si="522"/>
        <v>36.1</v>
      </c>
      <c r="M881" s="7">
        <f t="shared" si="502"/>
        <v>41.446613088404135</v>
      </c>
    </row>
    <row r="882" spans="1:15" ht="15.75">
      <c r="A882" s="31" t="s">
        <v>626</v>
      </c>
      <c r="B882" s="42" t="s">
        <v>297</v>
      </c>
      <c r="C882" s="42" t="s">
        <v>173</v>
      </c>
      <c r="D882" s="42" t="s">
        <v>693</v>
      </c>
      <c r="E882" s="42"/>
      <c r="F882" s="7">
        <f>F883</f>
        <v>87.1</v>
      </c>
      <c r="G882" s="7">
        <f t="shared" si="522"/>
        <v>87.1</v>
      </c>
      <c r="H882" s="7">
        <f t="shared" si="522"/>
        <v>107.8</v>
      </c>
      <c r="I882" s="7">
        <f t="shared" si="522"/>
        <v>107.8</v>
      </c>
      <c r="J882" s="7">
        <f t="shared" si="522"/>
        <v>107.8</v>
      </c>
      <c r="K882" s="7">
        <f t="shared" si="522"/>
        <v>87.1</v>
      </c>
      <c r="L882" s="7">
        <f t="shared" si="522"/>
        <v>36.1</v>
      </c>
      <c r="M882" s="7">
        <f t="shared" si="502"/>
        <v>41.446613088404135</v>
      </c>
    </row>
    <row r="883" spans="1:15" ht="15.75">
      <c r="A883" s="31" t="s">
        <v>188</v>
      </c>
      <c r="B883" s="42" t="s">
        <v>297</v>
      </c>
      <c r="C883" s="42" t="s">
        <v>173</v>
      </c>
      <c r="D883" s="42" t="s">
        <v>693</v>
      </c>
      <c r="E883" s="42" t="s">
        <v>198</v>
      </c>
      <c r="F883" s="7">
        <f>F884</f>
        <v>87.1</v>
      </c>
      <c r="G883" s="7">
        <f t="shared" si="522"/>
        <v>87.1</v>
      </c>
      <c r="H883" s="7">
        <f t="shared" si="522"/>
        <v>107.8</v>
      </c>
      <c r="I883" s="7">
        <f t="shared" si="522"/>
        <v>107.8</v>
      </c>
      <c r="J883" s="7">
        <f t="shared" si="522"/>
        <v>107.8</v>
      </c>
      <c r="K883" s="7">
        <f t="shared" si="522"/>
        <v>87.1</v>
      </c>
      <c r="L883" s="7">
        <f t="shared" si="522"/>
        <v>36.1</v>
      </c>
      <c r="M883" s="7">
        <f t="shared" si="502"/>
        <v>41.446613088404135</v>
      </c>
    </row>
    <row r="884" spans="1:15" ht="47.25">
      <c r="A884" s="31" t="s">
        <v>237</v>
      </c>
      <c r="B884" s="42" t="s">
        <v>297</v>
      </c>
      <c r="C884" s="42" t="s">
        <v>173</v>
      </c>
      <c r="D884" s="42" t="s">
        <v>693</v>
      </c>
      <c r="E884" s="42" t="s">
        <v>213</v>
      </c>
      <c r="F884" s="7">
        <f>'Прил.№4 ведомств.'!G1047</f>
        <v>87.1</v>
      </c>
      <c r="G884" s="7">
        <f>'Прил.№4 ведомств.'!I1047</f>
        <v>87.1</v>
      </c>
      <c r="H884" s="7">
        <f>'Прил.№4 ведомств.'!J1047</f>
        <v>107.8</v>
      </c>
      <c r="I884" s="7">
        <f>'Прил.№4 ведомств.'!K1047</f>
        <v>107.8</v>
      </c>
      <c r="J884" s="7">
        <f>'Прил.№4 ведомств.'!L1047</f>
        <v>107.8</v>
      </c>
      <c r="K884" s="7">
        <f>'Прил.№4 ведомств.'!M1047</f>
        <v>87.1</v>
      </c>
      <c r="L884" s="7">
        <f>'Прил.№4 ведомств.'!N1047</f>
        <v>36.1</v>
      </c>
      <c r="M884" s="7">
        <f t="shared" si="502"/>
        <v>41.446613088404135</v>
      </c>
    </row>
    <row r="885" spans="1:15" ht="15.75">
      <c r="A885" s="43" t="s">
        <v>544</v>
      </c>
      <c r="B885" s="8" t="s">
        <v>545</v>
      </c>
      <c r="C885" s="42"/>
      <c r="D885" s="42"/>
      <c r="E885" s="42"/>
      <c r="F885" s="4">
        <f t="shared" ref="F885:K885" si="523">F886+F913</f>
        <v>34702.699999999997</v>
      </c>
      <c r="G885" s="4">
        <f t="shared" si="523"/>
        <v>40816.800000000003</v>
      </c>
      <c r="H885" s="4">
        <f t="shared" si="523"/>
        <v>64029.599999999999</v>
      </c>
      <c r="I885" s="4">
        <f t="shared" si="523"/>
        <v>65815.3</v>
      </c>
      <c r="J885" s="4">
        <f t="shared" si="523"/>
        <v>66895.899999999994</v>
      </c>
      <c r="K885" s="4">
        <f t="shared" si="523"/>
        <v>52525.7</v>
      </c>
      <c r="L885" s="4">
        <f t="shared" ref="L885" si="524">L886+L913</f>
        <v>17267.5</v>
      </c>
      <c r="M885" s="4">
        <f t="shared" si="502"/>
        <v>32.87438339707991</v>
      </c>
    </row>
    <row r="886" spans="1:15" ht="15.75">
      <c r="A886" s="43" t="s">
        <v>546</v>
      </c>
      <c r="B886" s="8" t="s">
        <v>545</v>
      </c>
      <c r="C886" s="8" t="s">
        <v>171</v>
      </c>
      <c r="D886" s="42"/>
      <c r="E886" s="42"/>
      <c r="F886" s="4">
        <f>F887+F908</f>
        <v>23173.9</v>
      </c>
      <c r="G886" s="4">
        <f>G887+G908</f>
        <v>28397</v>
      </c>
      <c r="H886" s="4">
        <f>H887+H908</f>
        <v>52737</v>
      </c>
      <c r="I886" s="4">
        <f>I887+I908</f>
        <v>54355.7</v>
      </c>
      <c r="J886" s="4">
        <f>J887+J908</f>
        <v>55263.1</v>
      </c>
      <c r="K886" s="4">
        <f>K887+K908+K904</f>
        <v>42347.5</v>
      </c>
      <c r="L886" s="4">
        <f t="shared" ref="L886" si="525">L887+L908+L904</f>
        <v>14481.6</v>
      </c>
      <c r="M886" s="4">
        <f t="shared" si="502"/>
        <v>34.197060038963336</v>
      </c>
      <c r="N886" s="23"/>
      <c r="O886" s="23"/>
    </row>
    <row r="887" spans="1:15" ht="47.25">
      <c r="A887" s="31" t="s">
        <v>535</v>
      </c>
      <c r="B887" s="42" t="s">
        <v>545</v>
      </c>
      <c r="C887" s="42" t="s">
        <v>171</v>
      </c>
      <c r="D887" s="42" t="s">
        <v>536</v>
      </c>
      <c r="E887" s="42"/>
      <c r="F887" s="7">
        <f>F888</f>
        <v>22673.9</v>
      </c>
      <c r="G887" s="7">
        <f t="shared" ref="G887:L887" si="526">G888</f>
        <v>27897</v>
      </c>
      <c r="H887" s="7">
        <f t="shared" si="526"/>
        <v>52737</v>
      </c>
      <c r="I887" s="7">
        <f t="shared" si="526"/>
        <v>54355.7</v>
      </c>
      <c r="J887" s="7">
        <f t="shared" si="526"/>
        <v>55263.1</v>
      </c>
      <c r="K887" s="7">
        <f t="shared" si="526"/>
        <v>41802.5</v>
      </c>
      <c r="L887" s="7">
        <f t="shared" si="526"/>
        <v>14481.6</v>
      </c>
      <c r="M887" s="7">
        <f t="shared" si="502"/>
        <v>34.64290413252796</v>
      </c>
    </row>
    <row r="888" spans="1:15" ht="47.25">
      <c r="A888" s="47" t="s">
        <v>547</v>
      </c>
      <c r="B888" s="42" t="s">
        <v>545</v>
      </c>
      <c r="C888" s="42" t="s">
        <v>694</v>
      </c>
      <c r="D888" s="42" t="s">
        <v>548</v>
      </c>
      <c r="E888" s="42"/>
      <c r="F888" s="7">
        <f>F890+F893+F896+F899+F901</f>
        <v>22673.9</v>
      </c>
      <c r="G888" s="7">
        <f t="shared" ref="G888:K888" si="527">G890+G893+G896+G899+G901</f>
        <v>27897</v>
      </c>
      <c r="H888" s="7">
        <f t="shared" si="527"/>
        <v>52737</v>
      </c>
      <c r="I888" s="7">
        <f t="shared" si="527"/>
        <v>54355.7</v>
      </c>
      <c r="J888" s="7">
        <f t="shared" si="527"/>
        <v>55263.1</v>
      </c>
      <c r="K888" s="7">
        <f t="shared" si="527"/>
        <v>41802.5</v>
      </c>
      <c r="L888" s="7">
        <f t="shared" ref="L888" si="528">L890+L893+L896+L899+L901</f>
        <v>14481.6</v>
      </c>
      <c r="M888" s="7">
        <f t="shared" si="502"/>
        <v>34.64290413252796</v>
      </c>
    </row>
    <row r="889" spans="1:15" ht="31.5">
      <c r="A889" s="31" t="s">
        <v>549</v>
      </c>
      <c r="B889" s="42" t="s">
        <v>545</v>
      </c>
      <c r="C889" s="42" t="s">
        <v>171</v>
      </c>
      <c r="D889" s="42" t="s">
        <v>550</v>
      </c>
      <c r="E889" s="42"/>
      <c r="F889" s="7">
        <f>F890</f>
        <v>22376.400000000001</v>
      </c>
      <c r="G889" s="7">
        <f t="shared" ref="G889:L890" si="529">G890</f>
        <v>27599.5</v>
      </c>
      <c r="H889" s="7">
        <f t="shared" si="529"/>
        <v>50955.8</v>
      </c>
      <c r="I889" s="7">
        <f t="shared" si="529"/>
        <v>52684.5</v>
      </c>
      <c r="J889" s="7">
        <f t="shared" si="529"/>
        <v>54166.9</v>
      </c>
      <c r="K889" s="7">
        <f t="shared" si="529"/>
        <v>40981.300000000003</v>
      </c>
      <c r="L889" s="7">
        <f t="shared" si="529"/>
        <v>13660.4</v>
      </c>
      <c r="M889" s="7">
        <f t="shared" si="502"/>
        <v>33.333251995422295</v>
      </c>
    </row>
    <row r="890" spans="1:15" ht="47.25">
      <c r="A890" s="31" t="s">
        <v>325</v>
      </c>
      <c r="B890" s="42" t="s">
        <v>545</v>
      </c>
      <c r="C890" s="42" t="s">
        <v>171</v>
      </c>
      <c r="D890" s="42" t="s">
        <v>550</v>
      </c>
      <c r="E890" s="42" t="s">
        <v>326</v>
      </c>
      <c r="F890" s="7">
        <f>F891</f>
        <v>22376.400000000001</v>
      </c>
      <c r="G890" s="7">
        <f t="shared" si="529"/>
        <v>27599.5</v>
      </c>
      <c r="H890" s="7">
        <f t="shared" si="529"/>
        <v>50955.8</v>
      </c>
      <c r="I890" s="7">
        <f t="shared" si="529"/>
        <v>52684.5</v>
      </c>
      <c r="J890" s="7">
        <f t="shared" si="529"/>
        <v>54166.9</v>
      </c>
      <c r="K890" s="7">
        <f t="shared" si="529"/>
        <v>40981.300000000003</v>
      </c>
      <c r="L890" s="7">
        <f t="shared" si="529"/>
        <v>13660.4</v>
      </c>
      <c r="M890" s="7">
        <f t="shared" si="502"/>
        <v>33.333251995422295</v>
      </c>
    </row>
    <row r="891" spans="1:15" ht="15.75">
      <c r="A891" s="31" t="s">
        <v>327</v>
      </c>
      <c r="B891" s="42" t="s">
        <v>545</v>
      </c>
      <c r="C891" s="42" t="s">
        <v>171</v>
      </c>
      <c r="D891" s="42" t="s">
        <v>550</v>
      </c>
      <c r="E891" s="42" t="s">
        <v>328</v>
      </c>
      <c r="F891" s="7">
        <f>'Прил.№4 ведомств.'!G815</f>
        <v>22376.400000000001</v>
      </c>
      <c r="G891" s="7">
        <f>'Прил.№4 ведомств.'!I815</f>
        <v>27599.5</v>
      </c>
      <c r="H891" s="7">
        <f>'Прил.№4 ведомств.'!J815</f>
        <v>50955.8</v>
      </c>
      <c r="I891" s="7">
        <f>'Прил.№4 ведомств.'!K815</f>
        <v>52684.5</v>
      </c>
      <c r="J891" s="7">
        <f>'Прил.№4 ведомств.'!L815</f>
        <v>54166.9</v>
      </c>
      <c r="K891" s="7">
        <f>'Прил.№4 ведомств.'!M815</f>
        <v>40981.300000000003</v>
      </c>
      <c r="L891" s="7">
        <f>'Прил.№4 ведомств.'!N815</f>
        <v>13660.4</v>
      </c>
      <c r="M891" s="7">
        <f t="shared" si="502"/>
        <v>33.333251995422295</v>
      </c>
    </row>
    <row r="892" spans="1:15" ht="31.5" hidden="1">
      <c r="A892" s="31" t="s">
        <v>331</v>
      </c>
      <c r="B892" s="42" t="s">
        <v>545</v>
      </c>
      <c r="C892" s="42" t="s">
        <v>171</v>
      </c>
      <c r="D892" s="42" t="s">
        <v>551</v>
      </c>
      <c r="E892" s="42"/>
      <c r="F892" s="7">
        <f>F893</f>
        <v>297.5</v>
      </c>
      <c r="G892" s="7">
        <f t="shared" ref="G892:L893" si="530">G893</f>
        <v>297.5</v>
      </c>
      <c r="H892" s="7">
        <f t="shared" si="530"/>
        <v>0</v>
      </c>
      <c r="I892" s="7">
        <f t="shared" si="530"/>
        <v>0</v>
      </c>
      <c r="J892" s="7">
        <f t="shared" si="530"/>
        <v>0</v>
      </c>
      <c r="K892" s="7">
        <f t="shared" si="530"/>
        <v>0</v>
      </c>
      <c r="L892" s="7">
        <f t="shared" si="530"/>
        <v>0</v>
      </c>
      <c r="M892" s="7" t="e">
        <f t="shared" si="502"/>
        <v>#DIV/0!</v>
      </c>
    </row>
    <row r="893" spans="1:15" ht="47.25" hidden="1">
      <c r="A893" s="31" t="s">
        <v>325</v>
      </c>
      <c r="B893" s="42" t="s">
        <v>545</v>
      </c>
      <c r="C893" s="42" t="s">
        <v>171</v>
      </c>
      <c r="D893" s="42" t="s">
        <v>551</v>
      </c>
      <c r="E893" s="42" t="s">
        <v>326</v>
      </c>
      <c r="F893" s="7">
        <f>F894</f>
        <v>297.5</v>
      </c>
      <c r="G893" s="7">
        <f t="shared" si="530"/>
        <v>297.5</v>
      </c>
      <c r="H893" s="7">
        <f t="shared" si="530"/>
        <v>0</v>
      </c>
      <c r="I893" s="7">
        <f t="shared" si="530"/>
        <v>0</v>
      </c>
      <c r="J893" s="7">
        <f t="shared" si="530"/>
        <v>0</v>
      </c>
      <c r="K893" s="7">
        <f t="shared" si="530"/>
        <v>0</v>
      </c>
      <c r="L893" s="7">
        <f t="shared" si="530"/>
        <v>0</v>
      </c>
      <c r="M893" s="7" t="e">
        <f t="shared" si="502"/>
        <v>#DIV/0!</v>
      </c>
    </row>
    <row r="894" spans="1:15" ht="15.75" hidden="1">
      <c r="A894" s="31" t="s">
        <v>327</v>
      </c>
      <c r="B894" s="42" t="s">
        <v>545</v>
      </c>
      <c r="C894" s="42" t="s">
        <v>171</v>
      </c>
      <c r="D894" s="42" t="s">
        <v>551</v>
      </c>
      <c r="E894" s="42" t="s">
        <v>328</v>
      </c>
      <c r="F894" s="7">
        <f>'Прил.№4 ведомств.'!G818</f>
        <v>297.5</v>
      </c>
      <c r="G894" s="7">
        <f>'Прил.№4 ведомств.'!I818</f>
        <v>297.5</v>
      </c>
      <c r="H894" s="7">
        <f>'Прил.№4 ведомств.'!J818</f>
        <v>0</v>
      </c>
      <c r="I894" s="7">
        <f>'Прил.№4 ведомств.'!K818</f>
        <v>0</v>
      </c>
      <c r="J894" s="7">
        <f>'Прил.№4 ведомств.'!L818</f>
        <v>0</v>
      </c>
      <c r="K894" s="7">
        <f>'Прил.№4 ведомств.'!M818</f>
        <v>0</v>
      </c>
      <c r="L894" s="7">
        <f>'Прил.№4 ведомств.'!N818</f>
        <v>0</v>
      </c>
      <c r="M894" s="7" t="e">
        <f t="shared" si="502"/>
        <v>#DIV/0!</v>
      </c>
    </row>
    <row r="895" spans="1:15" ht="31.5" hidden="1" customHeight="1">
      <c r="A895" s="31" t="s">
        <v>333</v>
      </c>
      <c r="B895" s="42" t="s">
        <v>545</v>
      </c>
      <c r="C895" s="42" t="s">
        <v>171</v>
      </c>
      <c r="D895" s="42" t="s">
        <v>552</v>
      </c>
      <c r="E895" s="42"/>
      <c r="F895" s="7">
        <f>F896</f>
        <v>0</v>
      </c>
      <c r="G895" s="7">
        <f t="shared" ref="G895:L896" si="531">G896</f>
        <v>0</v>
      </c>
      <c r="H895" s="7">
        <f t="shared" si="531"/>
        <v>685</v>
      </c>
      <c r="I895" s="7">
        <f t="shared" si="531"/>
        <v>300</v>
      </c>
      <c r="J895" s="7">
        <f t="shared" si="531"/>
        <v>0</v>
      </c>
      <c r="K895" s="7">
        <f t="shared" si="531"/>
        <v>0</v>
      </c>
      <c r="L895" s="7">
        <f t="shared" si="531"/>
        <v>0</v>
      </c>
      <c r="M895" s="7" t="e">
        <f t="shared" si="502"/>
        <v>#DIV/0!</v>
      </c>
    </row>
    <row r="896" spans="1:15" ht="47.25" hidden="1" customHeight="1">
      <c r="A896" s="31" t="s">
        <v>325</v>
      </c>
      <c r="B896" s="42" t="s">
        <v>545</v>
      </c>
      <c r="C896" s="42" t="s">
        <v>171</v>
      </c>
      <c r="D896" s="42" t="s">
        <v>552</v>
      </c>
      <c r="E896" s="42" t="s">
        <v>326</v>
      </c>
      <c r="F896" s="7">
        <f>F897</f>
        <v>0</v>
      </c>
      <c r="G896" s="7">
        <f t="shared" si="531"/>
        <v>0</v>
      </c>
      <c r="H896" s="7">
        <f t="shared" si="531"/>
        <v>685</v>
      </c>
      <c r="I896" s="7">
        <f t="shared" si="531"/>
        <v>300</v>
      </c>
      <c r="J896" s="7">
        <f t="shared" si="531"/>
        <v>0</v>
      </c>
      <c r="K896" s="7">
        <f t="shared" si="531"/>
        <v>0</v>
      </c>
      <c r="L896" s="7">
        <f t="shared" si="531"/>
        <v>0</v>
      </c>
      <c r="M896" s="7" t="e">
        <f t="shared" si="502"/>
        <v>#DIV/0!</v>
      </c>
    </row>
    <row r="897" spans="1:13" ht="15.75" hidden="1" customHeight="1">
      <c r="A897" s="31" t="s">
        <v>327</v>
      </c>
      <c r="B897" s="42" t="s">
        <v>545</v>
      </c>
      <c r="C897" s="42" t="s">
        <v>171</v>
      </c>
      <c r="D897" s="42" t="s">
        <v>552</v>
      </c>
      <c r="E897" s="42" t="s">
        <v>328</v>
      </c>
      <c r="F897" s="7">
        <f>'Прил.№4 ведомств.'!G821</f>
        <v>0</v>
      </c>
      <c r="G897" s="7">
        <f>'Прил.№4 ведомств.'!I821</f>
        <v>0</v>
      </c>
      <c r="H897" s="7">
        <f>'Прил.№4 ведомств.'!J821</f>
        <v>685</v>
      </c>
      <c r="I897" s="7">
        <f>'Прил.№4 ведомств.'!K821</f>
        <v>300</v>
      </c>
      <c r="J897" s="7">
        <f>'Прил.№4 ведомств.'!L821</f>
        <v>0</v>
      </c>
      <c r="K897" s="7">
        <f>'Прил.№4 ведомств.'!M821</f>
        <v>0</v>
      </c>
      <c r="L897" s="7">
        <f>'Прил.№4 ведомств.'!N821</f>
        <v>0</v>
      </c>
      <c r="M897" s="7" t="e">
        <f t="shared" si="502"/>
        <v>#DIV/0!</v>
      </c>
    </row>
    <row r="898" spans="1:13" ht="31.5" hidden="1" customHeight="1">
      <c r="A898" s="31" t="s">
        <v>337</v>
      </c>
      <c r="B898" s="42" t="s">
        <v>545</v>
      </c>
      <c r="C898" s="42" t="s">
        <v>171</v>
      </c>
      <c r="D898" s="42" t="s">
        <v>553</v>
      </c>
      <c r="E898" s="42"/>
      <c r="F898" s="7">
        <f>F899</f>
        <v>0</v>
      </c>
      <c r="G898" s="7">
        <f t="shared" ref="G898:L899" si="532">G899</f>
        <v>0</v>
      </c>
      <c r="H898" s="7">
        <f t="shared" si="532"/>
        <v>275</v>
      </c>
      <c r="I898" s="7">
        <f t="shared" si="532"/>
        <v>550</v>
      </c>
      <c r="J898" s="7">
        <f t="shared" si="532"/>
        <v>275</v>
      </c>
      <c r="K898" s="7">
        <f t="shared" si="532"/>
        <v>0</v>
      </c>
      <c r="L898" s="7">
        <f t="shared" si="532"/>
        <v>0</v>
      </c>
      <c r="M898" s="7" t="e">
        <f t="shared" si="502"/>
        <v>#DIV/0!</v>
      </c>
    </row>
    <row r="899" spans="1:13" ht="47.25" hidden="1" customHeight="1">
      <c r="A899" s="31" t="s">
        <v>325</v>
      </c>
      <c r="B899" s="42" t="s">
        <v>545</v>
      </c>
      <c r="C899" s="42" t="s">
        <v>171</v>
      </c>
      <c r="D899" s="42" t="s">
        <v>553</v>
      </c>
      <c r="E899" s="42" t="s">
        <v>326</v>
      </c>
      <c r="F899" s="7">
        <f>F900</f>
        <v>0</v>
      </c>
      <c r="G899" s="7">
        <f t="shared" si="532"/>
        <v>0</v>
      </c>
      <c r="H899" s="7">
        <f t="shared" si="532"/>
        <v>275</v>
      </c>
      <c r="I899" s="7">
        <f t="shared" si="532"/>
        <v>550</v>
      </c>
      <c r="J899" s="7">
        <f t="shared" si="532"/>
        <v>275</v>
      </c>
      <c r="K899" s="7">
        <f t="shared" si="532"/>
        <v>0</v>
      </c>
      <c r="L899" s="7">
        <f t="shared" si="532"/>
        <v>0</v>
      </c>
      <c r="M899" s="7" t="e">
        <f t="shared" si="502"/>
        <v>#DIV/0!</v>
      </c>
    </row>
    <row r="900" spans="1:13" ht="15.75" hidden="1" customHeight="1">
      <c r="A900" s="31" t="s">
        <v>327</v>
      </c>
      <c r="B900" s="42" t="s">
        <v>545</v>
      </c>
      <c r="C900" s="42" t="s">
        <v>171</v>
      </c>
      <c r="D900" s="42" t="s">
        <v>553</v>
      </c>
      <c r="E900" s="42" t="s">
        <v>328</v>
      </c>
      <c r="F900" s="7">
        <f>'Прил.№4 ведомств.'!G824</f>
        <v>0</v>
      </c>
      <c r="G900" s="7">
        <f>'Прил.№4 ведомств.'!I824</f>
        <v>0</v>
      </c>
      <c r="H900" s="7">
        <f>'Прил.№4 ведомств.'!J824</f>
        <v>275</v>
      </c>
      <c r="I900" s="7">
        <f>'Прил.№4 ведомств.'!K824</f>
        <v>550</v>
      </c>
      <c r="J900" s="7">
        <f>'Прил.№4 ведомств.'!L824</f>
        <v>275</v>
      </c>
      <c r="K900" s="7">
        <f>'Прил.№4 ведомств.'!M824</f>
        <v>0</v>
      </c>
      <c r="L900" s="7">
        <f>'Прил.№4 ведомств.'!N824</f>
        <v>0</v>
      </c>
      <c r="M900" s="7" t="e">
        <f t="shared" si="502"/>
        <v>#DIV/0!</v>
      </c>
    </row>
    <row r="901" spans="1:13" ht="15.75" customHeight="1">
      <c r="A901" s="47" t="s">
        <v>871</v>
      </c>
      <c r="B901" s="21" t="s">
        <v>545</v>
      </c>
      <c r="C901" s="21" t="s">
        <v>171</v>
      </c>
      <c r="D901" s="21" t="s">
        <v>879</v>
      </c>
      <c r="E901" s="21"/>
      <c r="F901" s="7">
        <f>F902</f>
        <v>0</v>
      </c>
      <c r="G901" s="7">
        <f t="shared" ref="G901:L902" si="533">G902</f>
        <v>0</v>
      </c>
      <c r="H901" s="7">
        <f t="shared" si="533"/>
        <v>821.2</v>
      </c>
      <c r="I901" s="7">
        <f t="shared" si="533"/>
        <v>821.2</v>
      </c>
      <c r="J901" s="7">
        <f t="shared" si="533"/>
        <v>821.2</v>
      </c>
      <c r="K901" s="7">
        <f t="shared" si="533"/>
        <v>821.2</v>
      </c>
      <c r="L901" s="7">
        <f t="shared" si="533"/>
        <v>821.2</v>
      </c>
      <c r="M901" s="7">
        <f t="shared" si="502"/>
        <v>100</v>
      </c>
    </row>
    <row r="902" spans="1:13" ht="15.75" customHeight="1">
      <c r="A902" s="33" t="s">
        <v>325</v>
      </c>
      <c r="B902" s="21" t="s">
        <v>545</v>
      </c>
      <c r="C902" s="21" t="s">
        <v>171</v>
      </c>
      <c r="D902" s="21" t="s">
        <v>879</v>
      </c>
      <c r="E902" s="21" t="s">
        <v>326</v>
      </c>
      <c r="F902" s="7">
        <f>F903</f>
        <v>0</v>
      </c>
      <c r="G902" s="7">
        <f t="shared" si="533"/>
        <v>0</v>
      </c>
      <c r="H902" s="7">
        <f t="shared" si="533"/>
        <v>821.2</v>
      </c>
      <c r="I902" s="7">
        <f t="shared" si="533"/>
        <v>821.2</v>
      </c>
      <c r="J902" s="7">
        <f t="shared" si="533"/>
        <v>821.2</v>
      </c>
      <c r="K902" s="7">
        <f t="shared" si="533"/>
        <v>821.2</v>
      </c>
      <c r="L902" s="7">
        <f t="shared" si="533"/>
        <v>821.2</v>
      </c>
      <c r="M902" s="7">
        <f t="shared" si="502"/>
        <v>100</v>
      </c>
    </row>
    <row r="903" spans="1:13" ht="15.75" customHeight="1">
      <c r="A903" s="33" t="s">
        <v>327</v>
      </c>
      <c r="B903" s="21" t="s">
        <v>545</v>
      </c>
      <c r="C903" s="21" t="s">
        <v>171</v>
      </c>
      <c r="D903" s="21" t="s">
        <v>879</v>
      </c>
      <c r="E903" s="21" t="s">
        <v>328</v>
      </c>
      <c r="F903" s="7">
        <f>'Прил.№4 ведомств.'!G827</f>
        <v>0</v>
      </c>
      <c r="G903" s="7">
        <f>'Прил.№4 ведомств.'!I827</f>
        <v>0</v>
      </c>
      <c r="H903" s="7">
        <f>'Прил.№4 ведомств.'!J827</f>
        <v>821.2</v>
      </c>
      <c r="I903" s="7">
        <f>'Прил.№4 ведомств.'!K827</f>
        <v>821.2</v>
      </c>
      <c r="J903" s="7">
        <f>'Прил.№4 ведомств.'!L827</f>
        <v>821.2</v>
      </c>
      <c r="K903" s="7">
        <f>'Прил.№4 ведомств.'!M827</f>
        <v>821.2</v>
      </c>
      <c r="L903" s="7">
        <f>'Прил.№4 ведомств.'!N827</f>
        <v>821.2</v>
      </c>
      <c r="M903" s="7">
        <f t="shared" si="502"/>
        <v>100</v>
      </c>
    </row>
    <row r="904" spans="1:13" ht="47.25" customHeight="1">
      <c r="A904" s="33" t="s">
        <v>965</v>
      </c>
      <c r="B904" s="21" t="s">
        <v>545</v>
      </c>
      <c r="C904" s="21" t="s">
        <v>171</v>
      </c>
      <c r="D904" s="21" t="s">
        <v>377</v>
      </c>
      <c r="E904" s="21"/>
      <c r="F904" s="7"/>
      <c r="G904" s="7"/>
      <c r="H904" s="7"/>
      <c r="I904" s="7"/>
      <c r="J904" s="7"/>
      <c r="K904" s="7">
        <f>K905</f>
        <v>545</v>
      </c>
      <c r="L904" s="7">
        <f t="shared" ref="L904:L906" si="534">L905</f>
        <v>0</v>
      </c>
      <c r="M904" s="7">
        <f t="shared" si="502"/>
        <v>0</v>
      </c>
    </row>
    <row r="905" spans="1:13" ht="47.25">
      <c r="A905" s="33" t="s">
        <v>378</v>
      </c>
      <c r="B905" s="21" t="s">
        <v>545</v>
      </c>
      <c r="C905" s="21" t="s">
        <v>171</v>
      </c>
      <c r="D905" s="21" t="s">
        <v>379</v>
      </c>
      <c r="E905" s="21"/>
      <c r="F905" s="7"/>
      <c r="G905" s="7"/>
      <c r="H905" s="7"/>
      <c r="I905" s="7"/>
      <c r="J905" s="7"/>
      <c r="K905" s="7">
        <f>K906</f>
        <v>545</v>
      </c>
      <c r="L905" s="7">
        <f t="shared" si="534"/>
        <v>0</v>
      </c>
      <c r="M905" s="7">
        <f t="shared" si="502"/>
        <v>0</v>
      </c>
    </row>
    <row r="906" spans="1:13" ht="47.25">
      <c r="A906" s="33" t="s">
        <v>325</v>
      </c>
      <c r="B906" s="21" t="s">
        <v>545</v>
      </c>
      <c r="C906" s="21" t="s">
        <v>171</v>
      </c>
      <c r="D906" s="21" t="s">
        <v>379</v>
      </c>
      <c r="E906" s="21" t="s">
        <v>326</v>
      </c>
      <c r="F906" s="7"/>
      <c r="G906" s="7"/>
      <c r="H906" s="7"/>
      <c r="I906" s="7"/>
      <c r="J906" s="7"/>
      <c r="K906" s="7">
        <f>K907</f>
        <v>545</v>
      </c>
      <c r="L906" s="7">
        <f t="shared" si="534"/>
        <v>0</v>
      </c>
      <c r="M906" s="7">
        <f t="shared" si="502"/>
        <v>0</v>
      </c>
    </row>
    <row r="907" spans="1:13" ht="15.75" customHeight="1">
      <c r="A907" s="33" t="s">
        <v>327</v>
      </c>
      <c r="B907" s="21" t="s">
        <v>545</v>
      </c>
      <c r="C907" s="21" t="s">
        <v>171</v>
      </c>
      <c r="D907" s="21" t="s">
        <v>379</v>
      </c>
      <c r="E907" s="21" t="s">
        <v>328</v>
      </c>
      <c r="F907" s="7"/>
      <c r="G907" s="7"/>
      <c r="H907" s="7"/>
      <c r="I907" s="7"/>
      <c r="J907" s="7"/>
      <c r="K907" s="7">
        <f>'Прил.№4 ведомств.'!M831</f>
        <v>545</v>
      </c>
      <c r="L907" s="7">
        <f>'Прил.№4 ведомств.'!N831</f>
        <v>0</v>
      </c>
      <c r="M907" s="7">
        <f t="shared" si="502"/>
        <v>0</v>
      </c>
    </row>
    <row r="908" spans="1:13" ht="15.75" hidden="1">
      <c r="A908" s="26" t="s">
        <v>174</v>
      </c>
      <c r="B908" s="21" t="s">
        <v>545</v>
      </c>
      <c r="C908" s="21" t="s">
        <v>171</v>
      </c>
      <c r="D908" s="21" t="s">
        <v>175</v>
      </c>
      <c r="E908" s="21"/>
      <c r="F908" s="7">
        <f>F909</f>
        <v>500</v>
      </c>
      <c r="G908" s="7">
        <f t="shared" ref="G908:L911" si="535">G909</f>
        <v>500</v>
      </c>
      <c r="H908" s="7">
        <f t="shared" si="535"/>
        <v>0</v>
      </c>
      <c r="I908" s="7">
        <f t="shared" si="535"/>
        <v>0</v>
      </c>
      <c r="J908" s="7">
        <f t="shared" si="535"/>
        <v>0</v>
      </c>
      <c r="K908" s="7">
        <f t="shared" si="535"/>
        <v>0</v>
      </c>
      <c r="L908" s="7">
        <f t="shared" si="535"/>
        <v>0</v>
      </c>
      <c r="M908" s="4" t="e">
        <f t="shared" si="502"/>
        <v>#DIV/0!</v>
      </c>
    </row>
    <row r="909" spans="1:13" ht="31.5" hidden="1">
      <c r="A909" s="26" t="s">
        <v>238</v>
      </c>
      <c r="B909" s="21" t="s">
        <v>545</v>
      </c>
      <c r="C909" s="21" t="s">
        <v>171</v>
      </c>
      <c r="D909" s="21" t="s">
        <v>239</v>
      </c>
      <c r="E909" s="21"/>
      <c r="F909" s="7">
        <f>F910</f>
        <v>500</v>
      </c>
      <c r="G909" s="7">
        <f t="shared" si="535"/>
        <v>500</v>
      </c>
      <c r="H909" s="7">
        <f t="shared" si="535"/>
        <v>0</v>
      </c>
      <c r="I909" s="7">
        <f t="shared" si="535"/>
        <v>0</v>
      </c>
      <c r="J909" s="7">
        <f t="shared" si="535"/>
        <v>0</v>
      </c>
      <c r="K909" s="7">
        <f t="shared" si="535"/>
        <v>0</v>
      </c>
      <c r="L909" s="7">
        <f t="shared" si="535"/>
        <v>0</v>
      </c>
      <c r="M909" s="4" t="e">
        <f t="shared" ref="M909:M947" si="536">L909/K909*100</f>
        <v>#DIV/0!</v>
      </c>
    </row>
    <row r="910" spans="1:13" ht="31.5" hidden="1">
      <c r="A910" s="26" t="s">
        <v>834</v>
      </c>
      <c r="B910" s="21" t="s">
        <v>545</v>
      </c>
      <c r="C910" s="21" t="s">
        <v>171</v>
      </c>
      <c r="D910" s="21" t="s">
        <v>832</v>
      </c>
      <c r="E910" s="21"/>
      <c r="F910" s="7">
        <f>F911</f>
        <v>500</v>
      </c>
      <c r="G910" s="7">
        <f t="shared" si="535"/>
        <v>500</v>
      </c>
      <c r="H910" s="7">
        <f t="shared" si="535"/>
        <v>0</v>
      </c>
      <c r="I910" s="7">
        <f t="shared" si="535"/>
        <v>0</v>
      </c>
      <c r="J910" s="7">
        <f t="shared" si="535"/>
        <v>0</v>
      </c>
      <c r="K910" s="7">
        <f t="shared" si="535"/>
        <v>0</v>
      </c>
      <c r="L910" s="7">
        <f t="shared" si="535"/>
        <v>0</v>
      </c>
      <c r="M910" s="4" t="e">
        <f t="shared" si="536"/>
        <v>#DIV/0!</v>
      </c>
    </row>
    <row r="911" spans="1:13" ht="47.25" hidden="1">
      <c r="A911" s="26" t="s">
        <v>325</v>
      </c>
      <c r="B911" s="21" t="s">
        <v>545</v>
      </c>
      <c r="C911" s="21" t="s">
        <v>171</v>
      </c>
      <c r="D911" s="21" t="s">
        <v>832</v>
      </c>
      <c r="E911" s="21" t="s">
        <v>326</v>
      </c>
      <c r="F911" s="7">
        <f>F912</f>
        <v>500</v>
      </c>
      <c r="G911" s="7">
        <f t="shared" si="535"/>
        <v>500</v>
      </c>
      <c r="H911" s="7">
        <f t="shared" si="535"/>
        <v>0</v>
      </c>
      <c r="I911" s="7">
        <f t="shared" si="535"/>
        <v>0</v>
      </c>
      <c r="J911" s="7">
        <f t="shared" si="535"/>
        <v>0</v>
      </c>
      <c r="K911" s="7">
        <f t="shared" si="535"/>
        <v>0</v>
      </c>
      <c r="L911" s="7">
        <f t="shared" si="535"/>
        <v>0</v>
      </c>
      <c r="M911" s="4" t="e">
        <f t="shared" si="536"/>
        <v>#DIV/0!</v>
      </c>
    </row>
    <row r="912" spans="1:13" ht="15.75" hidden="1">
      <c r="A912" s="26" t="s">
        <v>327</v>
      </c>
      <c r="B912" s="21" t="s">
        <v>545</v>
      </c>
      <c r="C912" s="21" t="s">
        <v>171</v>
      </c>
      <c r="D912" s="21" t="s">
        <v>832</v>
      </c>
      <c r="E912" s="21" t="s">
        <v>328</v>
      </c>
      <c r="F912" s="7">
        <f>'Прил.№4 ведомств.'!G836</f>
        <v>500</v>
      </c>
      <c r="G912" s="7">
        <f>'Прил.№4 ведомств.'!I836</f>
        <v>500</v>
      </c>
      <c r="H912" s="7">
        <f>'Прил.№4 ведомств.'!J836</f>
        <v>0</v>
      </c>
      <c r="I912" s="7">
        <f>'Прил.№4 ведомств.'!K836</f>
        <v>0</v>
      </c>
      <c r="J912" s="7">
        <f>'Прил.№4 ведомств.'!L836</f>
        <v>0</v>
      </c>
      <c r="K912" s="7">
        <f>'Прил.№4 ведомств.'!M836</f>
        <v>0</v>
      </c>
      <c r="L912" s="7">
        <f>'Прил.№4 ведомств.'!N836</f>
        <v>0</v>
      </c>
      <c r="M912" s="4" t="e">
        <f t="shared" si="536"/>
        <v>#DIV/0!</v>
      </c>
    </row>
    <row r="913" spans="1:13" ht="31.5">
      <c r="A913" s="43" t="s">
        <v>554</v>
      </c>
      <c r="B913" s="8" t="s">
        <v>545</v>
      </c>
      <c r="C913" s="8" t="s">
        <v>287</v>
      </c>
      <c r="D913" s="8"/>
      <c r="E913" s="8"/>
      <c r="F913" s="4">
        <f>F921+F914</f>
        <v>11528.8</v>
      </c>
      <c r="G913" s="4">
        <f t="shared" ref="G913:K913" si="537">G921+G914</f>
        <v>12419.8</v>
      </c>
      <c r="H913" s="4">
        <f t="shared" si="537"/>
        <v>11292.6</v>
      </c>
      <c r="I913" s="4">
        <f t="shared" si="537"/>
        <v>11459.6</v>
      </c>
      <c r="J913" s="4">
        <f t="shared" si="537"/>
        <v>11632.800000000001</v>
      </c>
      <c r="K913" s="4">
        <f t="shared" si="537"/>
        <v>10178.200000000001</v>
      </c>
      <c r="L913" s="4">
        <f t="shared" ref="L913" si="538">L921+L914</f>
        <v>2785.8999999999996</v>
      </c>
      <c r="M913" s="4">
        <f t="shared" si="536"/>
        <v>27.371244424357936</v>
      </c>
    </row>
    <row r="914" spans="1:13" ht="47.25">
      <c r="A914" s="31" t="s">
        <v>535</v>
      </c>
      <c r="B914" s="42" t="s">
        <v>545</v>
      </c>
      <c r="C914" s="42" t="s">
        <v>287</v>
      </c>
      <c r="D914" s="42" t="s">
        <v>536</v>
      </c>
      <c r="E914" s="42"/>
      <c r="F914" s="7">
        <f>F915</f>
        <v>3047</v>
      </c>
      <c r="G914" s="7">
        <f t="shared" ref="G914:L915" si="539">G915</f>
        <v>3047</v>
      </c>
      <c r="H914" s="7">
        <f t="shared" si="539"/>
        <v>3177.9</v>
      </c>
      <c r="I914" s="7">
        <f t="shared" si="539"/>
        <v>3314.6</v>
      </c>
      <c r="J914" s="7">
        <f t="shared" si="539"/>
        <v>3457.1</v>
      </c>
      <c r="K914" s="7">
        <f t="shared" si="539"/>
        <v>2400</v>
      </c>
      <c r="L914" s="7">
        <f t="shared" si="539"/>
        <v>858.7</v>
      </c>
      <c r="M914" s="7">
        <f t="shared" si="536"/>
        <v>35.779166666666669</v>
      </c>
    </row>
    <row r="915" spans="1:13" ht="47.25">
      <c r="A915" s="47" t="s">
        <v>555</v>
      </c>
      <c r="B915" s="42" t="s">
        <v>545</v>
      </c>
      <c r="C915" s="42" t="s">
        <v>287</v>
      </c>
      <c r="D915" s="42" t="s">
        <v>556</v>
      </c>
      <c r="E915" s="8"/>
      <c r="F915" s="7">
        <f>F916</f>
        <v>3047</v>
      </c>
      <c r="G915" s="7">
        <f t="shared" si="539"/>
        <v>3047</v>
      </c>
      <c r="H915" s="7">
        <f t="shared" si="539"/>
        <v>3177.9</v>
      </c>
      <c r="I915" s="7">
        <f t="shared" si="539"/>
        <v>3314.6</v>
      </c>
      <c r="J915" s="7">
        <f t="shared" si="539"/>
        <v>3457.1</v>
      </c>
      <c r="K915" s="7">
        <f t="shared" si="539"/>
        <v>2400</v>
      </c>
      <c r="L915" s="7">
        <f t="shared" si="539"/>
        <v>858.7</v>
      </c>
      <c r="M915" s="7">
        <f t="shared" si="536"/>
        <v>35.779166666666669</v>
      </c>
    </row>
    <row r="916" spans="1:13" ht="31.5">
      <c r="A916" s="31" t="s">
        <v>210</v>
      </c>
      <c r="B916" s="42" t="s">
        <v>545</v>
      </c>
      <c r="C916" s="42" t="s">
        <v>287</v>
      </c>
      <c r="D916" s="42" t="s">
        <v>557</v>
      </c>
      <c r="E916" s="8"/>
      <c r="F916" s="7">
        <f>F919+F917</f>
        <v>3047</v>
      </c>
      <c r="G916" s="7">
        <f t="shared" ref="G916:K916" si="540">G919+G917</f>
        <v>3047</v>
      </c>
      <c r="H916" s="7">
        <f t="shared" si="540"/>
        <v>3177.9</v>
      </c>
      <c r="I916" s="7">
        <f t="shared" si="540"/>
        <v>3314.6</v>
      </c>
      <c r="J916" s="7">
        <f t="shared" si="540"/>
        <v>3457.1</v>
      </c>
      <c r="K916" s="7">
        <f t="shared" si="540"/>
        <v>2400</v>
      </c>
      <c r="L916" s="7">
        <f t="shared" ref="L916" si="541">L919+L917</f>
        <v>858.7</v>
      </c>
      <c r="M916" s="7">
        <f t="shared" si="536"/>
        <v>35.779166666666669</v>
      </c>
    </row>
    <row r="917" spans="1:13" ht="78.75">
      <c r="A917" s="26" t="s">
        <v>180</v>
      </c>
      <c r="B917" s="42" t="s">
        <v>545</v>
      </c>
      <c r="C917" s="42" t="s">
        <v>287</v>
      </c>
      <c r="D917" s="42" t="s">
        <v>557</v>
      </c>
      <c r="E917" s="42" t="s">
        <v>181</v>
      </c>
      <c r="F917" s="7">
        <f>F918</f>
        <v>2111</v>
      </c>
      <c r="G917" s="7">
        <f t="shared" ref="G917:L917" si="542">G918</f>
        <v>2111</v>
      </c>
      <c r="H917" s="7">
        <f t="shared" si="542"/>
        <v>2111</v>
      </c>
      <c r="I917" s="7">
        <f t="shared" si="542"/>
        <v>2111</v>
      </c>
      <c r="J917" s="7">
        <f t="shared" si="542"/>
        <v>2111</v>
      </c>
      <c r="K917" s="7">
        <f t="shared" si="542"/>
        <v>1611</v>
      </c>
      <c r="L917" s="7">
        <f t="shared" si="542"/>
        <v>520.5</v>
      </c>
      <c r="M917" s="7">
        <f t="shared" si="536"/>
        <v>32.309124767225327</v>
      </c>
    </row>
    <row r="918" spans="1:13" ht="31.5">
      <c r="A918" s="26" t="s">
        <v>182</v>
      </c>
      <c r="B918" s="42" t="s">
        <v>545</v>
      </c>
      <c r="C918" s="42" t="s">
        <v>287</v>
      </c>
      <c r="D918" s="42" t="s">
        <v>557</v>
      </c>
      <c r="E918" s="42" t="s">
        <v>183</v>
      </c>
      <c r="F918" s="7">
        <f>'Прил.№4 ведомств.'!G842</f>
        <v>2111</v>
      </c>
      <c r="G918" s="7">
        <f>'Прил.№4 ведомств.'!I842</f>
        <v>2111</v>
      </c>
      <c r="H918" s="7">
        <f>'Прил.№4 ведомств.'!J842</f>
        <v>2111</v>
      </c>
      <c r="I918" s="7">
        <f>'Прил.№4 ведомств.'!K842</f>
        <v>2111</v>
      </c>
      <c r="J918" s="7">
        <f>'Прил.№4 ведомств.'!L842</f>
        <v>2111</v>
      </c>
      <c r="K918" s="7">
        <f>'Прил.№4 ведомств.'!M842</f>
        <v>1611</v>
      </c>
      <c r="L918" s="7">
        <f>'Прил.№4 ведомств.'!N842</f>
        <v>520.5</v>
      </c>
      <c r="M918" s="7">
        <f t="shared" si="536"/>
        <v>32.309124767225327</v>
      </c>
    </row>
    <row r="919" spans="1:13" ht="31.5">
      <c r="A919" s="31" t="s">
        <v>184</v>
      </c>
      <c r="B919" s="42" t="s">
        <v>545</v>
      </c>
      <c r="C919" s="42" t="s">
        <v>287</v>
      </c>
      <c r="D919" s="42" t="s">
        <v>557</v>
      </c>
      <c r="E919" s="42" t="s">
        <v>185</v>
      </c>
      <c r="F919" s="7">
        <f>F920</f>
        <v>936</v>
      </c>
      <c r="G919" s="7">
        <f t="shared" ref="G919:L919" si="543">G920</f>
        <v>936</v>
      </c>
      <c r="H919" s="7">
        <f t="shared" si="543"/>
        <v>1066.9000000000001</v>
      </c>
      <c r="I919" s="7">
        <f t="shared" si="543"/>
        <v>1203.5999999999999</v>
      </c>
      <c r="J919" s="7">
        <f t="shared" si="543"/>
        <v>1346.1</v>
      </c>
      <c r="K919" s="7">
        <f t="shared" si="543"/>
        <v>789</v>
      </c>
      <c r="L919" s="7">
        <f t="shared" si="543"/>
        <v>338.2</v>
      </c>
      <c r="M919" s="7">
        <f t="shared" si="536"/>
        <v>42.864385297845367</v>
      </c>
    </row>
    <row r="920" spans="1:13" ht="47.25">
      <c r="A920" s="31" t="s">
        <v>186</v>
      </c>
      <c r="B920" s="42" t="s">
        <v>545</v>
      </c>
      <c r="C920" s="42" t="s">
        <v>287</v>
      </c>
      <c r="D920" s="42" t="s">
        <v>557</v>
      </c>
      <c r="E920" s="42" t="s">
        <v>187</v>
      </c>
      <c r="F920" s="7">
        <f>'Прил.№4 ведомств.'!G844</f>
        <v>936</v>
      </c>
      <c r="G920" s="7">
        <f>'Прил.№4 ведомств.'!I844</f>
        <v>936</v>
      </c>
      <c r="H920" s="7">
        <f>'Прил.№4 ведомств.'!J844</f>
        <v>1066.9000000000001</v>
      </c>
      <c r="I920" s="7">
        <f>'Прил.№4 ведомств.'!K844</f>
        <v>1203.5999999999999</v>
      </c>
      <c r="J920" s="7">
        <f>'Прил.№4 ведомств.'!L844</f>
        <v>1346.1</v>
      </c>
      <c r="K920" s="7">
        <f>'Прил.№4 ведомств.'!M844</f>
        <v>789</v>
      </c>
      <c r="L920" s="7">
        <f>'Прил.№4 ведомств.'!N844</f>
        <v>338.2</v>
      </c>
      <c r="M920" s="7">
        <f t="shared" si="536"/>
        <v>42.864385297845367</v>
      </c>
    </row>
    <row r="921" spans="1:13" ht="15.75">
      <c r="A921" s="31" t="s">
        <v>174</v>
      </c>
      <c r="B921" s="42" t="s">
        <v>545</v>
      </c>
      <c r="C921" s="42" t="s">
        <v>287</v>
      </c>
      <c r="D921" s="42" t="s">
        <v>175</v>
      </c>
      <c r="E921" s="42"/>
      <c r="F921" s="7">
        <f>F928+F922</f>
        <v>8481.7999999999993</v>
      </c>
      <c r="G921" s="7">
        <f t="shared" ref="G921:K921" si="544">G928+G922</f>
        <v>9372.7999999999993</v>
      </c>
      <c r="H921" s="7">
        <f t="shared" si="544"/>
        <v>8114.7000000000007</v>
      </c>
      <c r="I921" s="7">
        <f t="shared" si="544"/>
        <v>8145</v>
      </c>
      <c r="J921" s="7">
        <f t="shared" si="544"/>
        <v>8175.7000000000007</v>
      </c>
      <c r="K921" s="7">
        <f t="shared" si="544"/>
        <v>7778.2</v>
      </c>
      <c r="L921" s="7">
        <f t="shared" ref="L921" si="545">L928+L922</f>
        <v>1927.1999999999998</v>
      </c>
      <c r="M921" s="7">
        <f t="shared" si="536"/>
        <v>24.776940680363062</v>
      </c>
    </row>
    <row r="922" spans="1:13" ht="31.5">
      <c r="A922" s="31" t="s">
        <v>176</v>
      </c>
      <c r="B922" s="42" t="s">
        <v>545</v>
      </c>
      <c r="C922" s="42" t="s">
        <v>287</v>
      </c>
      <c r="D922" s="42" t="s">
        <v>177</v>
      </c>
      <c r="E922" s="42"/>
      <c r="F922" s="7">
        <f>F923</f>
        <v>3599.8</v>
      </c>
      <c r="G922" s="7">
        <f t="shared" ref="G922:L922" si="546">G923</f>
        <v>4307.8999999999996</v>
      </c>
      <c r="H922" s="7">
        <f t="shared" si="546"/>
        <v>3788.6</v>
      </c>
      <c r="I922" s="7">
        <f t="shared" si="546"/>
        <v>3788.6</v>
      </c>
      <c r="J922" s="7">
        <f t="shared" si="546"/>
        <v>3788.6</v>
      </c>
      <c r="K922" s="7">
        <f t="shared" si="546"/>
        <v>3499.8</v>
      </c>
      <c r="L922" s="7">
        <f t="shared" si="546"/>
        <v>1132.8</v>
      </c>
      <c r="M922" s="7">
        <f t="shared" si="536"/>
        <v>32.367563860792039</v>
      </c>
    </row>
    <row r="923" spans="1:13" ht="33.75" customHeight="1">
      <c r="A923" s="31" t="s">
        <v>178</v>
      </c>
      <c r="B923" s="42" t="s">
        <v>545</v>
      </c>
      <c r="C923" s="42" t="s">
        <v>287</v>
      </c>
      <c r="D923" s="42" t="s">
        <v>179</v>
      </c>
      <c r="E923" s="42"/>
      <c r="F923" s="7">
        <f>F924+F926</f>
        <v>3599.8</v>
      </c>
      <c r="G923" s="7">
        <f t="shared" ref="G923:K923" si="547">G924+G926</f>
        <v>4307.8999999999996</v>
      </c>
      <c r="H923" s="7">
        <f t="shared" si="547"/>
        <v>3788.6</v>
      </c>
      <c r="I923" s="7">
        <f t="shared" si="547"/>
        <v>3788.6</v>
      </c>
      <c r="J923" s="7">
        <f t="shared" si="547"/>
        <v>3788.6</v>
      </c>
      <c r="K923" s="7">
        <f t="shared" si="547"/>
        <v>3499.8</v>
      </c>
      <c r="L923" s="7">
        <f t="shared" ref="L923" si="548">L924+L926</f>
        <v>1132.8</v>
      </c>
      <c r="M923" s="7">
        <f t="shared" si="536"/>
        <v>32.367563860792039</v>
      </c>
    </row>
    <row r="924" spans="1:13" ht="78.75">
      <c r="A924" s="31" t="s">
        <v>180</v>
      </c>
      <c r="B924" s="42" t="s">
        <v>545</v>
      </c>
      <c r="C924" s="42" t="s">
        <v>287</v>
      </c>
      <c r="D924" s="42" t="s">
        <v>179</v>
      </c>
      <c r="E924" s="42" t="s">
        <v>181</v>
      </c>
      <c r="F924" s="63">
        <f>F925</f>
        <v>3599.8</v>
      </c>
      <c r="G924" s="63">
        <f t="shared" ref="G924:L924" si="549">G925</f>
        <v>4307.8999999999996</v>
      </c>
      <c r="H924" s="63">
        <f t="shared" si="549"/>
        <v>3135.5</v>
      </c>
      <c r="I924" s="63">
        <f t="shared" si="549"/>
        <v>3135.5</v>
      </c>
      <c r="J924" s="63">
        <f t="shared" si="549"/>
        <v>3135.5</v>
      </c>
      <c r="K924" s="63">
        <f t="shared" si="549"/>
        <v>3499.8</v>
      </c>
      <c r="L924" s="63">
        <f t="shared" si="549"/>
        <v>1132.8</v>
      </c>
      <c r="M924" s="7">
        <f t="shared" si="536"/>
        <v>32.367563860792039</v>
      </c>
    </row>
    <row r="925" spans="1:13" ht="31.5">
      <c r="A925" s="31" t="s">
        <v>182</v>
      </c>
      <c r="B925" s="42" t="s">
        <v>545</v>
      </c>
      <c r="C925" s="42" t="s">
        <v>287</v>
      </c>
      <c r="D925" s="42" t="s">
        <v>179</v>
      </c>
      <c r="E925" s="42" t="s">
        <v>183</v>
      </c>
      <c r="F925" s="63">
        <f>'Прил.№4 ведомств.'!G849</f>
        <v>3599.8</v>
      </c>
      <c r="G925" s="63">
        <f>'Прил.№4 ведомств.'!I849</f>
        <v>4307.8999999999996</v>
      </c>
      <c r="H925" s="63">
        <f>'Прил.№4 ведомств.'!J849</f>
        <v>3135.5</v>
      </c>
      <c r="I925" s="63">
        <f>'Прил.№4 ведомств.'!K849</f>
        <v>3135.5</v>
      </c>
      <c r="J925" s="63">
        <f>'Прил.№4 ведомств.'!L849</f>
        <v>3135.5</v>
      </c>
      <c r="K925" s="63">
        <f>'Прил.№4 ведомств.'!M849</f>
        <v>3499.8</v>
      </c>
      <c r="L925" s="63">
        <f>'Прил.№4 ведомств.'!N849</f>
        <v>1132.8</v>
      </c>
      <c r="M925" s="7">
        <f t="shared" si="536"/>
        <v>32.367563860792039</v>
      </c>
    </row>
    <row r="926" spans="1:13" ht="31.5" hidden="1" customHeight="1">
      <c r="A926" s="31" t="s">
        <v>184</v>
      </c>
      <c r="B926" s="42" t="s">
        <v>545</v>
      </c>
      <c r="C926" s="42" t="s">
        <v>287</v>
      </c>
      <c r="D926" s="42" t="s">
        <v>179</v>
      </c>
      <c r="E926" s="42" t="s">
        <v>185</v>
      </c>
      <c r="F926" s="63">
        <f>F927</f>
        <v>0</v>
      </c>
      <c r="G926" s="63">
        <f t="shared" ref="G926:L926" si="550">G927</f>
        <v>0</v>
      </c>
      <c r="H926" s="63">
        <f t="shared" si="550"/>
        <v>653.1</v>
      </c>
      <c r="I926" s="63">
        <f t="shared" si="550"/>
        <v>653.1</v>
      </c>
      <c r="J926" s="63">
        <f t="shared" si="550"/>
        <v>653.1</v>
      </c>
      <c r="K926" s="63">
        <f t="shared" si="550"/>
        <v>0</v>
      </c>
      <c r="L926" s="63">
        <f t="shared" si="550"/>
        <v>0</v>
      </c>
      <c r="M926" s="7" t="e">
        <f t="shared" si="536"/>
        <v>#DIV/0!</v>
      </c>
    </row>
    <row r="927" spans="1:13" ht="47.25" hidden="1" customHeight="1">
      <c r="A927" s="31" t="s">
        <v>186</v>
      </c>
      <c r="B927" s="42" t="s">
        <v>545</v>
      </c>
      <c r="C927" s="42" t="s">
        <v>287</v>
      </c>
      <c r="D927" s="42" t="s">
        <v>179</v>
      </c>
      <c r="E927" s="42" t="s">
        <v>187</v>
      </c>
      <c r="F927" s="63">
        <v>0</v>
      </c>
      <c r="G927" s="63">
        <v>0</v>
      </c>
      <c r="H927" s="63">
        <f>'Прил.№4 ведомств.'!J851</f>
        <v>653.1</v>
      </c>
      <c r="I927" s="63">
        <f>'Прил.№4 ведомств.'!K851</f>
        <v>653.1</v>
      </c>
      <c r="J927" s="63">
        <f>'Прил.№4 ведомств.'!L851</f>
        <v>653.1</v>
      </c>
      <c r="K927" s="63">
        <f>'Прил.№4 ведомств.'!M851</f>
        <v>0</v>
      </c>
      <c r="L927" s="63">
        <f>'Прил.№4 ведомств.'!N851</f>
        <v>0</v>
      </c>
      <c r="M927" s="7" t="e">
        <f t="shared" si="536"/>
        <v>#DIV/0!</v>
      </c>
    </row>
    <row r="928" spans="1:13" ht="15.75">
      <c r="A928" s="31" t="s">
        <v>194</v>
      </c>
      <c r="B928" s="42" t="s">
        <v>545</v>
      </c>
      <c r="C928" s="42" t="s">
        <v>287</v>
      </c>
      <c r="D928" s="42" t="s">
        <v>195</v>
      </c>
      <c r="E928" s="42"/>
      <c r="F928" s="7">
        <f>F929</f>
        <v>4882</v>
      </c>
      <c r="G928" s="7">
        <f t="shared" ref="G928:L928" si="551">G929</f>
        <v>5064.9000000000005</v>
      </c>
      <c r="H928" s="7">
        <f t="shared" si="551"/>
        <v>4326.1000000000004</v>
      </c>
      <c r="I928" s="7">
        <f t="shared" si="551"/>
        <v>4356.4000000000005</v>
      </c>
      <c r="J928" s="7">
        <f t="shared" si="551"/>
        <v>4387.1000000000004</v>
      </c>
      <c r="K928" s="7">
        <f t="shared" si="551"/>
        <v>4278.3999999999996</v>
      </c>
      <c r="L928" s="7">
        <f t="shared" si="551"/>
        <v>794.4</v>
      </c>
      <c r="M928" s="7">
        <f t="shared" si="536"/>
        <v>18.567688855646971</v>
      </c>
    </row>
    <row r="929" spans="1:13" ht="31.5">
      <c r="A929" s="26" t="s">
        <v>393</v>
      </c>
      <c r="B929" s="42" t="s">
        <v>545</v>
      </c>
      <c r="C929" s="42" t="s">
        <v>287</v>
      </c>
      <c r="D929" s="42" t="s">
        <v>394</v>
      </c>
      <c r="E929" s="42"/>
      <c r="F929" s="7">
        <f>F930+F932+F934</f>
        <v>4882</v>
      </c>
      <c r="G929" s="7">
        <f t="shared" ref="G929:K929" si="552">G930+G932+G934</f>
        <v>5064.9000000000005</v>
      </c>
      <c r="H929" s="7">
        <f t="shared" si="552"/>
        <v>4326.1000000000004</v>
      </c>
      <c r="I929" s="7">
        <f t="shared" si="552"/>
        <v>4356.4000000000005</v>
      </c>
      <c r="J929" s="7">
        <f t="shared" si="552"/>
        <v>4387.1000000000004</v>
      </c>
      <c r="K929" s="7">
        <f t="shared" si="552"/>
        <v>4278.3999999999996</v>
      </c>
      <c r="L929" s="7">
        <f t="shared" ref="L929" si="553">L930+L932+L934</f>
        <v>794.4</v>
      </c>
      <c r="M929" s="7">
        <f t="shared" si="536"/>
        <v>18.567688855646971</v>
      </c>
    </row>
    <row r="930" spans="1:13" ht="78.75">
      <c r="A930" s="31" t="s">
        <v>180</v>
      </c>
      <c r="B930" s="42" t="s">
        <v>545</v>
      </c>
      <c r="C930" s="42" t="s">
        <v>287</v>
      </c>
      <c r="D930" s="42" t="s">
        <v>394</v>
      </c>
      <c r="E930" s="42" t="s">
        <v>181</v>
      </c>
      <c r="F930" s="63">
        <f>F931</f>
        <v>3660.7</v>
      </c>
      <c r="G930" s="63">
        <f t="shared" ref="G930:L930" si="554">G931</f>
        <v>3779.8</v>
      </c>
      <c r="H930" s="63">
        <f t="shared" si="554"/>
        <v>3033</v>
      </c>
      <c r="I930" s="63">
        <f t="shared" si="554"/>
        <v>3063.3</v>
      </c>
      <c r="J930" s="63">
        <f t="shared" si="554"/>
        <v>3094</v>
      </c>
      <c r="K930" s="63">
        <f t="shared" si="554"/>
        <v>3033</v>
      </c>
      <c r="L930" s="63">
        <f t="shared" si="554"/>
        <v>671.8</v>
      </c>
      <c r="M930" s="7">
        <f t="shared" si="536"/>
        <v>22.149686778766899</v>
      </c>
    </row>
    <row r="931" spans="1:13" ht="31.5">
      <c r="A931" s="31" t="s">
        <v>395</v>
      </c>
      <c r="B931" s="42" t="s">
        <v>545</v>
      </c>
      <c r="C931" s="42" t="s">
        <v>287</v>
      </c>
      <c r="D931" s="42" t="s">
        <v>394</v>
      </c>
      <c r="E931" s="42" t="s">
        <v>262</v>
      </c>
      <c r="F931" s="63">
        <f>'Прил.№4 ведомств.'!G855</f>
        <v>3660.7</v>
      </c>
      <c r="G931" s="63">
        <f>'Прил.№4 ведомств.'!I855</f>
        <v>3779.8</v>
      </c>
      <c r="H931" s="63">
        <f>'Прил.№4 ведомств.'!J855</f>
        <v>3033</v>
      </c>
      <c r="I931" s="63">
        <f>'Прил.№4 ведомств.'!K855</f>
        <v>3063.3</v>
      </c>
      <c r="J931" s="63">
        <f>'Прил.№4 ведомств.'!L855</f>
        <v>3094</v>
      </c>
      <c r="K931" s="63">
        <f>'Прил.№4 ведомств.'!M855</f>
        <v>3033</v>
      </c>
      <c r="L931" s="63">
        <f>'Прил.№4 ведомств.'!N855</f>
        <v>671.8</v>
      </c>
      <c r="M931" s="7">
        <f t="shared" si="536"/>
        <v>22.149686778766899</v>
      </c>
    </row>
    <row r="932" spans="1:13" ht="31.5">
      <c r="A932" s="31" t="s">
        <v>184</v>
      </c>
      <c r="B932" s="42" t="s">
        <v>545</v>
      </c>
      <c r="C932" s="42" t="s">
        <v>287</v>
      </c>
      <c r="D932" s="42" t="s">
        <v>394</v>
      </c>
      <c r="E932" s="42" t="s">
        <v>185</v>
      </c>
      <c r="F932" s="63">
        <f>F933</f>
        <v>1194.1999999999998</v>
      </c>
      <c r="G932" s="63">
        <f t="shared" ref="G932:L932" si="555">G933</f>
        <v>1258</v>
      </c>
      <c r="H932" s="63">
        <f t="shared" si="555"/>
        <v>1266</v>
      </c>
      <c r="I932" s="63">
        <f t="shared" si="555"/>
        <v>1266</v>
      </c>
      <c r="J932" s="63">
        <f t="shared" si="555"/>
        <v>1266</v>
      </c>
      <c r="K932" s="63">
        <f t="shared" si="555"/>
        <v>1194.1999999999998</v>
      </c>
      <c r="L932" s="63">
        <f t="shared" si="555"/>
        <v>117.1</v>
      </c>
      <c r="M932" s="7">
        <f t="shared" si="536"/>
        <v>9.805727683805058</v>
      </c>
    </row>
    <row r="933" spans="1:13" ht="47.25">
      <c r="A933" s="31" t="s">
        <v>186</v>
      </c>
      <c r="B933" s="42" t="s">
        <v>545</v>
      </c>
      <c r="C933" s="42" t="s">
        <v>287</v>
      </c>
      <c r="D933" s="42" t="s">
        <v>394</v>
      </c>
      <c r="E933" s="42" t="s">
        <v>187</v>
      </c>
      <c r="F933" s="63">
        <f>'Прил.№4 ведомств.'!G857</f>
        <v>1194.1999999999998</v>
      </c>
      <c r="G933" s="63">
        <f>'Прил.№4 ведомств.'!I857</f>
        <v>1258</v>
      </c>
      <c r="H933" s="63">
        <f>'Прил.№4 ведомств.'!J857</f>
        <v>1266</v>
      </c>
      <c r="I933" s="63">
        <f>'Прил.№4 ведомств.'!K857</f>
        <v>1266</v>
      </c>
      <c r="J933" s="63">
        <f>'Прил.№4 ведомств.'!L857</f>
        <v>1266</v>
      </c>
      <c r="K933" s="63">
        <f>'Прил.№4 ведомств.'!M857</f>
        <v>1194.1999999999998</v>
      </c>
      <c r="L933" s="63">
        <f>'Прил.№4 ведомств.'!N857</f>
        <v>117.1</v>
      </c>
      <c r="M933" s="7">
        <f t="shared" si="536"/>
        <v>9.805727683805058</v>
      </c>
    </row>
    <row r="934" spans="1:13" ht="15.75">
      <c r="A934" s="31" t="s">
        <v>188</v>
      </c>
      <c r="B934" s="42" t="s">
        <v>545</v>
      </c>
      <c r="C934" s="42" t="s">
        <v>287</v>
      </c>
      <c r="D934" s="42" t="s">
        <v>394</v>
      </c>
      <c r="E934" s="42" t="s">
        <v>198</v>
      </c>
      <c r="F934" s="7">
        <f>F935</f>
        <v>27.1</v>
      </c>
      <c r="G934" s="7">
        <f t="shared" ref="G934:L934" si="556">G935</f>
        <v>27.1</v>
      </c>
      <c r="H934" s="7">
        <f t="shared" si="556"/>
        <v>27.1</v>
      </c>
      <c r="I934" s="7">
        <f t="shared" si="556"/>
        <v>27.1</v>
      </c>
      <c r="J934" s="7">
        <f t="shared" si="556"/>
        <v>27.1</v>
      </c>
      <c r="K934" s="7">
        <f t="shared" si="556"/>
        <v>51.2</v>
      </c>
      <c r="L934" s="7">
        <f t="shared" si="556"/>
        <v>5.5</v>
      </c>
      <c r="M934" s="7">
        <f t="shared" si="536"/>
        <v>10.7421875</v>
      </c>
    </row>
    <row r="935" spans="1:13" ht="15.75">
      <c r="A935" s="31" t="s">
        <v>190</v>
      </c>
      <c r="B935" s="42" t="s">
        <v>545</v>
      </c>
      <c r="C935" s="42" t="s">
        <v>287</v>
      </c>
      <c r="D935" s="42" t="s">
        <v>394</v>
      </c>
      <c r="E935" s="42" t="s">
        <v>191</v>
      </c>
      <c r="F935" s="7">
        <f>'Прил.№4 ведомств.'!G859</f>
        <v>27.1</v>
      </c>
      <c r="G935" s="7">
        <f>'Прил.№4 ведомств.'!I859</f>
        <v>27.1</v>
      </c>
      <c r="H935" s="7">
        <f>'Прил.№4 ведомств.'!J859</f>
        <v>27.1</v>
      </c>
      <c r="I935" s="7">
        <f>'Прил.№4 ведомств.'!K859</f>
        <v>27.1</v>
      </c>
      <c r="J935" s="7">
        <f>'Прил.№4 ведомств.'!L859</f>
        <v>27.1</v>
      </c>
      <c r="K935" s="7">
        <f>'Прил.№4 ведомств.'!M859</f>
        <v>51.2</v>
      </c>
      <c r="L935" s="7">
        <f>'Прил.№4 ведомств.'!N859</f>
        <v>5.5</v>
      </c>
      <c r="M935" s="7">
        <f t="shared" si="536"/>
        <v>10.7421875</v>
      </c>
    </row>
    <row r="936" spans="1:13" ht="15.75">
      <c r="A936" s="43" t="s">
        <v>636</v>
      </c>
      <c r="B936" s="8" t="s">
        <v>291</v>
      </c>
      <c r="C936" s="42"/>
      <c r="D936" s="42"/>
      <c r="E936" s="42"/>
      <c r="F936" s="4">
        <f>F937</f>
        <v>6309.8</v>
      </c>
      <c r="G936" s="4">
        <f t="shared" ref="G936:L939" si="557">G937</f>
        <v>6309.8</v>
      </c>
      <c r="H936" s="4">
        <f t="shared" si="557"/>
        <v>8181.7000000000007</v>
      </c>
      <c r="I936" s="4">
        <f t="shared" si="557"/>
        <v>8258.7000000000007</v>
      </c>
      <c r="J936" s="4">
        <f t="shared" si="557"/>
        <v>8332.7000000000007</v>
      </c>
      <c r="K936" s="4">
        <f t="shared" si="557"/>
        <v>6238.7</v>
      </c>
      <c r="L936" s="4">
        <f t="shared" si="557"/>
        <v>1008.9</v>
      </c>
      <c r="M936" s="4">
        <f t="shared" si="536"/>
        <v>16.171638322086331</v>
      </c>
    </row>
    <row r="937" spans="1:13" ht="15.75">
      <c r="A937" s="43" t="s">
        <v>637</v>
      </c>
      <c r="B937" s="8" t="s">
        <v>291</v>
      </c>
      <c r="C937" s="8" t="s">
        <v>266</v>
      </c>
      <c r="D937" s="8"/>
      <c r="E937" s="8"/>
      <c r="F937" s="4">
        <f>F938</f>
        <v>6309.8</v>
      </c>
      <c r="G937" s="4">
        <f t="shared" si="557"/>
        <v>6309.8</v>
      </c>
      <c r="H937" s="4">
        <f t="shared" si="557"/>
        <v>8181.7000000000007</v>
      </c>
      <c r="I937" s="4">
        <f t="shared" si="557"/>
        <v>8258.7000000000007</v>
      </c>
      <c r="J937" s="4">
        <f t="shared" si="557"/>
        <v>8332.7000000000007</v>
      </c>
      <c r="K937" s="4">
        <f t="shared" si="557"/>
        <v>6238.7</v>
      </c>
      <c r="L937" s="4">
        <f t="shared" si="557"/>
        <v>1008.9</v>
      </c>
      <c r="M937" s="4">
        <f t="shared" si="536"/>
        <v>16.171638322086331</v>
      </c>
    </row>
    <row r="938" spans="1:13" ht="15.75">
      <c r="A938" s="31" t="s">
        <v>174</v>
      </c>
      <c r="B938" s="42" t="s">
        <v>291</v>
      </c>
      <c r="C938" s="42" t="s">
        <v>266</v>
      </c>
      <c r="D938" s="42" t="s">
        <v>175</v>
      </c>
      <c r="E938" s="42"/>
      <c r="F938" s="7">
        <f>F939</f>
        <v>6309.8</v>
      </c>
      <c r="G938" s="7">
        <f t="shared" si="557"/>
        <v>6309.8</v>
      </c>
      <c r="H938" s="7">
        <f t="shared" si="557"/>
        <v>8181.7000000000007</v>
      </c>
      <c r="I938" s="7">
        <f t="shared" si="557"/>
        <v>8258.7000000000007</v>
      </c>
      <c r="J938" s="7">
        <f t="shared" si="557"/>
        <v>8332.7000000000007</v>
      </c>
      <c r="K938" s="7">
        <f t="shared" si="557"/>
        <v>6238.7</v>
      </c>
      <c r="L938" s="7">
        <f t="shared" si="557"/>
        <v>1008.9</v>
      </c>
      <c r="M938" s="7">
        <f t="shared" si="536"/>
        <v>16.171638322086331</v>
      </c>
    </row>
    <row r="939" spans="1:13" ht="31.5">
      <c r="A939" s="31" t="s">
        <v>638</v>
      </c>
      <c r="B939" s="42" t="s">
        <v>291</v>
      </c>
      <c r="C939" s="42" t="s">
        <v>266</v>
      </c>
      <c r="D939" s="42" t="s">
        <v>639</v>
      </c>
      <c r="E939" s="42"/>
      <c r="F939" s="7">
        <f>F940</f>
        <v>6309.8</v>
      </c>
      <c r="G939" s="7">
        <f t="shared" si="557"/>
        <v>6309.8</v>
      </c>
      <c r="H939" s="7">
        <f t="shared" si="557"/>
        <v>8181.7000000000007</v>
      </c>
      <c r="I939" s="7">
        <f t="shared" si="557"/>
        <v>8258.7000000000007</v>
      </c>
      <c r="J939" s="7">
        <f t="shared" si="557"/>
        <v>8332.7000000000007</v>
      </c>
      <c r="K939" s="7">
        <f t="shared" si="557"/>
        <v>6238.7</v>
      </c>
      <c r="L939" s="7">
        <f t="shared" si="557"/>
        <v>1008.9</v>
      </c>
      <c r="M939" s="7">
        <f t="shared" si="536"/>
        <v>16.171638322086331</v>
      </c>
    </row>
    <row r="940" spans="1:13" ht="31.5">
      <c r="A940" s="31" t="s">
        <v>695</v>
      </c>
      <c r="B940" s="42" t="s">
        <v>291</v>
      </c>
      <c r="C940" s="42" t="s">
        <v>266</v>
      </c>
      <c r="D940" s="42" t="s">
        <v>640</v>
      </c>
      <c r="E940" s="42"/>
      <c r="F940" s="7">
        <f>F941+F943+F945</f>
        <v>6309.8</v>
      </c>
      <c r="G940" s="7">
        <f t="shared" ref="G940:K940" si="558">G941+G943+G945</f>
        <v>6309.8</v>
      </c>
      <c r="H940" s="7">
        <f t="shared" si="558"/>
        <v>8181.7000000000007</v>
      </c>
      <c r="I940" s="7">
        <f t="shared" si="558"/>
        <v>8258.7000000000007</v>
      </c>
      <c r="J940" s="7">
        <f t="shared" si="558"/>
        <v>8332.7000000000007</v>
      </c>
      <c r="K940" s="7">
        <f t="shared" si="558"/>
        <v>6238.7</v>
      </c>
      <c r="L940" s="7">
        <f t="shared" ref="L940" si="559">L941+L943+L945</f>
        <v>1008.9</v>
      </c>
      <c r="M940" s="7">
        <f t="shared" si="536"/>
        <v>16.171638322086331</v>
      </c>
    </row>
    <row r="941" spans="1:13" ht="78.75">
      <c r="A941" s="31" t="s">
        <v>180</v>
      </c>
      <c r="B941" s="42" t="s">
        <v>291</v>
      </c>
      <c r="C941" s="42" t="s">
        <v>266</v>
      </c>
      <c r="D941" s="42" t="s">
        <v>640</v>
      </c>
      <c r="E941" s="42" t="s">
        <v>181</v>
      </c>
      <c r="F941" s="63">
        <f>F942</f>
        <v>5371.7</v>
      </c>
      <c r="G941" s="63">
        <f t="shared" ref="G941:L941" si="560">G942</f>
        <v>5371.7</v>
      </c>
      <c r="H941" s="63">
        <f t="shared" si="560"/>
        <v>5696.1</v>
      </c>
      <c r="I941" s="63">
        <f t="shared" si="560"/>
        <v>5753.1</v>
      </c>
      <c r="J941" s="63">
        <f t="shared" si="560"/>
        <v>5810.7</v>
      </c>
      <c r="K941" s="63">
        <f t="shared" si="560"/>
        <v>5371.7</v>
      </c>
      <c r="L941" s="63">
        <f t="shared" si="560"/>
        <v>928.9</v>
      </c>
      <c r="M941" s="7">
        <f t="shared" si="536"/>
        <v>17.292477241841503</v>
      </c>
    </row>
    <row r="942" spans="1:13" ht="31.5">
      <c r="A942" s="31" t="s">
        <v>261</v>
      </c>
      <c r="B942" s="42" t="s">
        <v>291</v>
      </c>
      <c r="C942" s="42" t="s">
        <v>266</v>
      </c>
      <c r="D942" s="42" t="s">
        <v>640</v>
      </c>
      <c r="E942" s="42" t="s">
        <v>262</v>
      </c>
      <c r="F942" s="63">
        <f>'Прил.№4 ведомств.'!G1099</f>
        <v>5371.7</v>
      </c>
      <c r="G942" s="63">
        <f>'Прил.№4 ведомств.'!I1099</f>
        <v>5371.7</v>
      </c>
      <c r="H942" s="63">
        <f>'Прил.№4 ведомств.'!J1099</f>
        <v>5696.1</v>
      </c>
      <c r="I942" s="63">
        <f>'Прил.№4 ведомств.'!K1099</f>
        <v>5753.1</v>
      </c>
      <c r="J942" s="63">
        <f>'Прил.№4 ведомств.'!L1099</f>
        <v>5810.7</v>
      </c>
      <c r="K942" s="63">
        <f>'Прил.№4 ведомств.'!M1099</f>
        <v>5371.7</v>
      </c>
      <c r="L942" s="63">
        <f>'Прил.№4 ведомств.'!N1099</f>
        <v>928.9</v>
      </c>
      <c r="M942" s="7">
        <f t="shared" si="536"/>
        <v>17.292477241841503</v>
      </c>
    </row>
    <row r="943" spans="1:13" ht="31.5">
      <c r="A943" s="31" t="s">
        <v>184</v>
      </c>
      <c r="B943" s="42" t="s">
        <v>291</v>
      </c>
      <c r="C943" s="42" t="s">
        <v>266</v>
      </c>
      <c r="D943" s="42" t="s">
        <v>640</v>
      </c>
      <c r="E943" s="42" t="s">
        <v>185</v>
      </c>
      <c r="F943" s="7">
        <f>F944</f>
        <v>928.1</v>
      </c>
      <c r="G943" s="7">
        <f t="shared" ref="G943:L943" si="561">G944</f>
        <v>928.1</v>
      </c>
      <c r="H943" s="7">
        <f t="shared" si="561"/>
        <v>2475.6</v>
      </c>
      <c r="I943" s="7">
        <f t="shared" si="561"/>
        <v>2495.6</v>
      </c>
      <c r="J943" s="7">
        <f t="shared" si="561"/>
        <v>2512</v>
      </c>
      <c r="K943" s="7">
        <f t="shared" si="561"/>
        <v>857</v>
      </c>
      <c r="L943" s="7">
        <f t="shared" si="561"/>
        <v>80</v>
      </c>
      <c r="M943" s="7">
        <f t="shared" si="536"/>
        <v>9.3348891481913654</v>
      </c>
    </row>
    <row r="944" spans="1:13" ht="47.25">
      <c r="A944" s="31" t="s">
        <v>186</v>
      </c>
      <c r="B944" s="42" t="s">
        <v>291</v>
      </c>
      <c r="C944" s="42" t="s">
        <v>266</v>
      </c>
      <c r="D944" s="42" t="s">
        <v>640</v>
      </c>
      <c r="E944" s="42" t="s">
        <v>187</v>
      </c>
      <c r="F944" s="7">
        <f>'Прил.№4 ведомств.'!G1101</f>
        <v>928.1</v>
      </c>
      <c r="G944" s="7">
        <f>'Прил.№4 ведомств.'!I1101</f>
        <v>928.1</v>
      </c>
      <c r="H944" s="7">
        <f>'Прил.№4 ведомств.'!J1101</f>
        <v>2475.6</v>
      </c>
      <c r="I944" s="7">
        <f>'Прил.№4 ведомств.'!K1101</f>
        <v>2495.6</v>
      </c>
      <c r="J944" s="7">
        <f>'Прил.№4 ведомств.'!L1101</f>
        <v>2512</v>
      </c>
      <c r="K944" s="7">
        <f>'Прил.№4 ведомств.'!M1101</f>
        <v>857</v>
      </c>
      <c r="L944" s="7">
        <f>'Прил.№4 ведомств.'!N1101</f>
        <v>80</v>
      </c>
      <c r="M944" s="7">
        <f t="shared" si="536"/>
        <v>9.3348891481913654</v>
      </c>
    </row>
    <row r="945" spans="1:13" ht="15.75">
      <c r="A945" s="31" t="s">
        <v>188</v>
      </c>
      <c r="B945" s="42" t="s">
        <v>291</v>
      </c>
      <c r="C945" s="42" t="s">
        <v>266</v>
      </c>
      <c r="D945" s="42" t="s">
        <v>640</v>
      </c>
      <c r="E945" s="42" t="s">
        <v>198</v>
      </c>
      <c r="F945" s="7">
        <f>F946</f>
        <v>10</v>
      </c>
      <c r="G945" s="7">
        <f t="shared" ref="G945:L945" si="562">G946</f>
        <v>10</v>
      </c>
      <c r="H945" s="7">
        <f t="shared" si="562"/>
        <v>10</v>
      </c>
      <c r="I945" s="7">
        <f t="shared" si="562"/>
        <v>10</v>
      </c>
      <c r="J945" s="7">
        <f t="shared" si="562"/>
        <v>10</v>
      </c>
      <c r="K945" s="7">
        <f t="shared" si="562"/>
        <v>10</v>
      </c>
      <c r="L945" s="7">
        <f t="shared" si="562"/>
        <v>0</v>
      </c>
      <c r="M945" s="7">
        <f t="shared" si="536"/>
        <v>0</v>
      </c>
    </row>
    <row r="946" spans="1:13" ht="15.75">
      <c r="A946" s="31" t="s">
        <v>190</v>
      </c>
      <c r="B946" s="42" t="s">
        <v>291</v>
      </c>
      <c r="C946" s="42" t="s">
        <v>266</v>
      </c>
      <c r="D946" s="42" t="s">
        <v>640</v>
      </c>
      <c r="E946" s="42" t="s">
        <v>191</v>
      </c>
      <c r="F946" s="7">
        <f>'Прил.№4 ведомств.'!G1103</f>
        <v>10</v>
      </c>
      <c r="G946" s="7">
        <f>'Прил.№4 ведомств.'!I1103</f>
        <v>10</v>
      </c>
      <c r="H946" s="7">
        <f>'Прил.№4 ведомств.'!J1103</f>
        <v>10</v>
      </c>
      <c r="I946" s="7">
        <f>'Прил.№4 ведомств.'!K1103</f>
        <v>10</v>
      </c>
      <c r="J946" s="7">
        <f>'Прил.№4 ведомств.'!L1103</f>
        <v>10</v>
      </c>
      <c r="K946" s="7">
        <f>'Прил.№4 ведомств.'!M1103</f>
        <v>10</v>
      </c>
      <c r="L946" s="7">
        <f>'Прил.№4 ведомств.'!N1103</f>
        <v>0</v>
      </c>
      <c r="M946" s="7">
        <f t="shared" si="536"/>
        <v>0</v>
      </c>
    </row>
    <row r="947" spans="1:13" ht="15.75">
      <c r="A947" s="71" t="s">
        <v>641</v>
      </c>
      <c r="B947" s="8"/>
      <c r="C947" s="8"/>
      <c r="D947" s="8"/>
      <c r="E947" s="8"/>
      <c r="F947" s="72">
        <f t="shared" ref="F947:K947" si="563">F12+F211+F229+F274+F422+F658+F780+F885+F936+F204</f>
        <v>665442.20000000007</v>
      </c>
      <c r="G947" s="72">
        <f t="shared" si="563"/>
        <v>638134.33647058834</v>
      </c>
      <c r="H947" s="72">
        <f t="shared" si="563"/>
        <v>747288</v>
      </c>
      <c r="I947" s="72">
        <f t="shared" si="563"/>
        <v>743098.70000000007</v>
      </c>
      <c r="J947" s="72">
        <f t="shared" si="563"/>
        <v>741645.10000000009</v>
      </c>
      <c r="K947" s="72">
        <f t="shared" si="563"/>
        <v>685899.99999999977</v>
      </c>
      <c r="L947" s="72">
        <f t="shared" ref="L947" si="564">L12+L211+L229+L274+L422+L658+L780+L885+L936+L204</f>
        <v>177548.49999999997</v>
      </c>
      <c r="M947" s="4">
        <f t="shared" si="536"/>
        <v>25.885478932789042</v>
      </c>
    </row>
    <row r="948" spans="1:13" hidden="1">
      <c r="H948">
        <f>'Прил.№4 ведомств.'!J1104</f>
        <v>747927.99999999988</v>
      </c>
      <c r="I948">
        <f>'Прил.№4 ведомств.'!K1104</f>
        <v>743098.70000000007</v>
      </c>
      <c r="J948">
        <f>'Прил.№4 ведомств.'!L1104</f>
        <v>741645.1</v>
      </c>
      <c r="K948">
        <f>'Прил.№4 ведомств.'!M1104</f>
        <v>685900</v>
      </c>
      <c r="L948">
        <f>'Прил.№4 ведомств.'!N1104</f>
        <v>177548.50000000003</v>
      </c>
      <c r="M948">
        <f>'Прил.№4 ведомств.'!O1104</f>
        <v>25.885478932789042</v>
      </c>
    </row>
    <row r="949" spans="1:13" hidden="1">
      <c r="H949" s="23">
        <f>H948-H947</f>
        <v>639.99999999988358</v>
      </c>
      <c r="I949" s="23">
        <f t="shared" ref="I949:K949" si="565">I948-I947</f>
        <v>0</v>
      </c>
      <c r="J949" s="23">
        <f t="shared" si="565"/>
        <v>0</v>
      </c>
      <c r="K949" s="23">
        <f t="shared" si="565"/>
        <v>0</v>
      </c>
      <c r="L949" s="23">
        <f t="shared" ref="L949:M949" si="566">L948-L947</f>
        <v>0</v>
      </c>
      <c r="M949" s="23">
        <f t="shared" si="566"/>
        <v>0</v>
      </c>
    </row>
  </sheetData>
  <mergeCells count="14">
    <mergeCell ref="L9:L10"/>
    <mergeCell ref="M9:M10"/>
    <mergeCell ref="A7:M7"/>
    <mergeCell ref="F9:F10"/>
    <mergeCell ref="G9:G10"/>
    <mergeCell ref="H9:H10"/>
    <mergeCell ref="I9:I10"/>
    <mergeCell ref="J9:J10"/>
    <mergeCell ref="K9:K10"/>
    <mergeCell ref="A9:A10"/>
    <mergeCell ref="B9:B10"/>
    <mergeCell ref="C9:C10"/>
    <mergeCell ref="D9:D10"/>
    <mergeCell ref="E9:E10"/>
  </mergeCells>
  <pageMargins left="0.39370078740157483" right="0.39370078740157483" top="1.1811023622047245" bottom="0.3937007874015748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57"/>
  <sheetViews>
    <sheetView view="pageBreakPreview" zoomScaleNormal="100" zoomScaleSheetLayoutView="100" workbookViewId="0">
      <selection activeCell="N1" sqref="N1:N5"/>
    </sheetView>
  </sheetViews>
  <sheetFormatPr defaultRowHeight="15"/>
  <cols>
    <col min="1" max="1" width="48.42578125" style="1" customWidth="1"/>
    <col min="2" max="2" width="7" style="1" customWidth="1"/>
    <col min="3" max="3" width="4.28515625" style="1" customWidth="1"/>
    <col min="4" max="4" width="4.85546875" style="1" customWidth="1"/>
    <col min="5" max="5" width="11.7109375" style="1" customWidth="1"/>
    <col min="6" max="6" width="5.7109375" style="1" customWidth="1"/>
    <col min="7" max="8" width="13.85546875" style="1" hidden="1" customWidth="1"/>
    <col min="9" max="9" width="13.7109375" style="1" hidden="1" customWidth="1"/>
    <col min="10" max="10" width="13.42578125" style="1" hidden="1" customWidth="1"/>
    <col min="11" max="11" width="14.140625" style="1" hidden="1" customWidth="1"/>
    <col min="12" max="12" width="14" style="1" hidden="1" customWidth="1"/>
    <col min="13" max="13" width="13.28515625" style="1" customWidth="1"/>
    <col min="14" max="14" width="13.85546875" style="1" customWidth="1"/>
    <col min="15" max="15" width="13.5703125" style="1" customWidth="1"/>
    <col min="16" max="16384" width="9.140625" style="1"/>
  </cols>
  <sheetData>
    <row r="1" spans="1:15" ht="18.75">
      <c r="A1" s="74"/>
      <c r="B1" s="74"/>
      <c r="C1" s="74"/>
      <c r="D1" s="74"/>
      <c r="G1" s="74"/>
      <c r="H1" s="74"/>
      <c r="I1" s="205"/>
      <c r="N1" s="277" t="s">
        <v>645</v>
      </c>
    </row>
    <row r="2" spans="1:15" ht="18.75">
      <c r="A2" s="74"/>
      <c r="B2" s="74"/>
      <c r="C2" s="74"/>
      <c r="D2" s="74"/>
      <c r="G2" s="74"/>
      <c r="H2" s="74"/>
      <c r="I2" s="205"/>
      <c r="N2" s="277" t="s">
        <v>999</v>
      </c>
    </row>
    <row r="3" spans="1:15" ht="18.75">
      <c r="A3" s="74"/>
      <c r="B3" s="74"/>
      <c r="C3" s="74"/>
      <c r="D3" s="74"/>
      <c r="G3" s="74"/>
      <c r="H3" s="74"/>
      <c r="I3" s="205"/>
      <c r="N3" s="277" t="s">
        <v>1000</v>
      </c>
    </row>
    <row r="4" spans="1:15" ht="18.75">
      <c r="A4" s="74"/>
      <c r="B4" s="74"/>
      <c r="C4" s="74"/>
      <c r="D4" s="74"/>
      <c r="G4" s="74"/>
      <c r="H4" s="74"/>
      <c r="I4" s="205"/>
      <c r="N4" s="277" t="s">
        <v>1001</v>
      </c>
    </row>
    <row r="5" spans="1:15" ht="18.75">
      <c r="A5" s="74"/>
      <c r="B5" s="74"/>
      <c r="C5" s="74"/>
      <c r="D5" s="74"/>
      <c r="F5" s="280"/>
      <c r="G5" s="280"/>
      <c r="H5" s="280"/>
      <c r="I5" s="280"/>
      <c r="J5" s="280"/>
      <c r="K5" s="280"/>
      <c r="L5" s="280"/>
      <c r="M5" s="280"/>
      <c r="N5" s="277" t="s">
        <v>1021</v>
      </c>
      <c r="O5" s="280"/>
    </row>
    <row r="6" spans="1:15" ht="15.75">
      <c r="A6" s="310"/>
      <c r="B6" s="310"/>
      <c r="C6" s="310"/>
      <c r="D6" s="310"/>
      <c r="E6" s="310"/>
      <c r="F6" s="310"/>
      <c r="G6" s="310"/>
      <c r="H6" s="276"/>
      <c r="I6" s="205"/>
    </row>
    <row r="7" spans="1:15" ht="15.75" customHeight="1">
      <c r="A7" s="305" t="s">
        <v>1013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1:15" ht="15.75">
      <c r="A8" s="275"/>
      <c r="B8" s="275"/>
      <c r="C8" s="275"/>
      <c r="D8" s="275"/>
      <c r="E8" s="275"/>
      <c r="F8" s="275"/>
      <c r="G8" s="275"/>
      <c r="H8" s="275"/>
      <c r="I8" s="205"/>
    </row>
    <row r="9" spans="1:15" ht="15.75">
      <c r="A9" s="14"/>
      <c r="B9" s="14"/>
      <c r="C9" s="14"/>
      <c r="D9" s="14"/>
      <c r="E9" s="14"/>
      <c r="F9" s="14"/>
      <c r="G9" s="125" t="s">
        <v>1</v>
      </c>
      <c r="H9" s="125"/>
      <c r="I9" s="205"/>
      <c r="M9" s="261"/>
      <c r="N9" s="261"/>
      <c r="O9" s="261"/>
    </row>
    <row r="10" spans="1:15" ht="63">
      <c r="A10" s="15" t="s">
        <v>163</v>
      </c>
      <c r="B10" s="15" t="s">
        <v>164</v>
      </c>
      <c r="C10" s="16" t="s">
        <v>165</v>
      </c>
      <c r="D10" s="16" t="s">
        <v>166</v>
      </c>
      <c r="E10" s="16" t="s">
        <v>167</v>
      </c>
      <c r="F10" s="16" t="s">
        <v>168</v>
      </c>
      <c r="G10" s="15" t="s">
        <v>4</v>
      </c>
      <c r="H10" s="15" t="s">
        <v>891</v>
      </c>
      <c r="I10" s="211" t="s">
        <v>870</v>
      </c>
      <c r="J10" s="212" t="s">
        <v>881</v>
      </c>
      <c r="K10" s="212" t="s">
        <v>882</v>
      </c>
      <c r="L10" s="212" t="s">
        <v>883</v>
      </c>
      <c r="M10" s="211" t="s">
        <v>1004</v>
      </c>
      <c r="N10" s="279" t="s">
        <v>1005</v>
      </c>
      <c r="O10" s="279" t="s">
        <v>1006</v>
      </c>
    </row>
    <row r="11" spans="1:15" ht="15.75">
      <c r="A11" s="17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7</v>
      </c>
      <c r="N11" s="19">
        <v>8</v>
      </c>
      <c r="O11" s="19">
        <v>9</v>
      </c>
    </row>
    <row r="12" spans="1:15" ht="31.5">
      <c r="A12" s="20" t="s">
        <v>169</v>
      </c>
      <c r="B12" s="213">
        <v>901</v>
      </c>
      <c r="C12" s="214"/>
      <c r="D12" s="214"/>
      <c r="E12" s="214"/>
      <c r="F12" s="214"/>
      <c r="G12" s="22">
        <f>G13</f>
        <v>14164.460000000001</v>
      </c>
      <c r="H12" s="22">
        <f>H13</f>
        <v>7737.9</v>
      </c>
      <c r="I12" s="22">
        <f t="shared" ref="I12:L12" si="0">I13</f>
        <v>13445.199999999999</v>
      </c>
      <c r="J12" s="22">
        <f t="shared" si="0"/>
        <v>14362</v>
      </c>
      <c r="K12" s="22">
        <f t="shared" si="0"/>
        <v>14362</v>
      </c>
      <c r="L12" s="22">
        <f t="shared" si="0"/>
        <v>14362</v>
      </c>
      <c r="M12" s="22">
        <f t="shared" ref="M12:N12" si="1">M13</f>
        <v>14362</v>
      </c>
      <c r="N12" s="22">
        <f t="shared" si="1"/>
        <v>2292.1</v>
      </c>
      <c r="O12" s="22">
        <f>N12/M12*100</f>
        <v>15.959476396045119</v>
      </c>
    </row>
    <row r="13" spans="1:15" ht="15.75">
      <c r="A13" s="24" t="s">
        <v>170</v>
      </c>
      <c r="B13" s="213">
        <v>901</v>
      </c>
      <c r="C13" s="215" t="s">
        <v>171</v>
      </c>
      <c r="D13" s="214"/>
      <c r="E13" s="214"/>
      <c r="F13" s="214"/>
      <c r="G13" s="22">
        <f>G14+G24</f>
        <v>14164.460000000001</v>
      </c>
      <c r="H13" s="22">
        <f>H14+H24</f>
        <v>7737.9</v>
      </c>
      <c r="I13" s="22">
        <f t="shared" ref="I13:L13" si="2">I14+I24</f>
        <v>13445.199999999999</v>
      </c>
      <c r="J13" s="22">
        <f t="shared" si="2"/>
        <v>14362</v>
      </c>
      <c r="K13" s="22">
        <f t="shared" si="2"/>
        <v>14362</v>
      </c>
      <c r="L13" s="22">
        <f t="shared" si="2"/>
        <v>14362</v>
      </c>
      <c r="M13" s="22">
        <f t="shared" ref="M13:N13" si="3">M14+M24</f>
        <v>14362</v>
      </c>
      <c r="N13" s="22">
        <f t="shared" si="3"/>
        <v>2292.1</v>
      </c>
      <c r="O13" s="22">
        <f t="shared" ref="O13:O76" si="4">N13/M13*100</f>
        <v>15.959476396045119</v>
      </c>
    </row>
    <row r="14" spans="1:15" ht="63">
      <c r="A14" s="24" t="s">
        <v>172</v>
      </c>
      <c r="B14" s="213">
        <v>901</v>
      </c>
      <c r="C14" s="215" t="s">
        <v>171</v>
      </c>
      <c r="D14" s="215" t="s">
        <v>173</v>
      </c>
      <c r="E14" s="215"/>
      <c r="F14" s="215"/>
      <c r="G14" s="22">
        <f>G15</f>
        <v>14114.460000000001</v>
      </c>
      <c r="H14" s="22">
        <f t="shared" ref="H14:H16" si="5">H15</f>
        <v>7687.9</v>
      </c>
      <c r="I14" s="22">
        <f t="shared" ref="I14:L16" si="6">I15</f>
        <v>13395.199999999999</v>
      </c>
      <c r="J14" s="22">
        <f t="shared" si="6"/>
        <v>14362</v>
      </c>
      <c r="K14" s="22">
        <f t="shared" si="6"/>
        <v>14362</v>
      </c>
      <c r="L14" s="22">
        <f t="shared" si="6"/>
        <v>14362</v>
      </c>
      <c r="M14" s="22">
        <f t="shared" ref="M14:N16" si="7">M15</f>
        <v>14362</v>
      </c>
      <c r="N14" s="22">
        <f t="shared" si="7"/>
        <v>2292.1</v>
      </c>
      <c r="O14" s="22">
        <f t="shared" si="4"/>
        <v>15.959476396045119</v>
      </c>
    </row>
    <row r="15" spans="1:15" ht="15.75">
      <c r="A15" s="26" t="s">
        <v>174</v>
      </c>
      <c r="B15" s="216">
        <v>901</v>
      </c>
      <c r="C15" s="214" t="s">
        <v>171</v>
      </c>
      <c r="D15" s="214" t="s">
        <v>173</v>
      </c>
      <c r="E15" s="214" t="s">
        <v>175</v>
      </c>
      <c r="F15" s="214"/>
      <c r="G15" s="27">
        <f>G16</f>
        <v>14114.460000000001</v>
      </c>
      <c r="H15" s="27">
        <f t="shared" si="5"/>
        <v>7687.9</v>
      </c>
      <c r="I15" s="27">
        <f t="shared" si="6"/>
        <v>13395.199999999999</v>
      </c>
      <c r="J15" s="27">
        <f t="shared" si="6"/>
        <v>14362</v>
      </c>
      <c r="K15" s="27">
        <f t="shared" si="6"/>
        <v>14362</v>
      </c>
      <c r="L15" s="27">
        <f t="shared" si="6"/>
        <v>14362</v>
      </c>
      <c r="M15" s="27">
        <f t="shared" si="7"/>
        <v>14362</v>
      </c>
      <c r="N15" s="27">
        <f t="shared" si="7"/>
        <v>2292.1</v>
      </c>
      <c r="O15" s="27">
        <f t="shared" si="4"/>
        <v>15.959476396045119</v>
      </c>
    </row>
    <row r="16" spans="1:15" ht="31.5">
      <c r="A16" s="26" t="s">
        <v>176</v>
      </c>
      <c r="B16" s="216">
        <v>901</v>
      </c>
      <c r="C16" s="214" t="s">
        <v>171</v>
      </c>
      <c r="D16" s="214" t="s">
        <v>173</v>
      </c>
      <c r="E16" s="214" t="s">
        <v>177</v>
      </c>
      <c r="F16" s="214"/>
      <c r="G16" s="27">
        <f>G17</f>
        <v>14114.460000000001</v>
      </c>
      <c r="H16" s="27">
        <f t="shared" si="5"/>
        <v>7687.9</v>
      </c>
      <c r="I16" s="27">
        <f t="shared" si="6"/>
        <v>13395.199999999999</v>
      </c>
      <c r="J16" s="27">
        <f t="shared" si="6"/>
        <v>14362</v>
      </c>
      <c r="K16" s="27">
        <f t="shared" si="6"/>
        <v>14362</v>
      </c>
      <c r="L16" s="27">
        <f t="shared" si="6"/>
        <v>14362</v>
      </c>
      <c r="M16" s="27">
        <f t="shared" si="7"/>
        <v>14362</v>
      </c>
      <c r="N16" s="27">
        <f t="shared" si="7"/>
        <v>2292.1</v>
      </c>
      <c r="O16" s="27">
        <f t="shared" si="4"/>
        <v>15.959476396045119</v>
      </c>
    </row>
    <row r="17" spans="1:15" ht="47.25">
      <c r="A17" s="26" t="s">
        <v>178</v>
      </c>
      <c r="B17" s="216">
        <v>901</v>
      </c>
      <c r="C17" s="214" t="s">
        <v>171</v>
      </c>
      <c r="D17" s="214" t="s">
        <v>173</v>
      </c>
      <c r="E17" s="214" t="s">
        <v>179</v>
      </c>
      <c r="F17" s="214"/>
      <c r="G17" s="27">
        <f>G18+G20+G22</f>
        <v>14114.460000000001</v>
      </c>
      <c r="H17" s="27">
        <f>H18+H20+H22</f>
        <v>7687.9</v>
      </c>
      <c r="I17" s="27">
        <f t="shared" ref="I17:L17" si="8">I18+I20+I22</f>
        <v>13395.199999999999</v>
      </c>
      <c r="J17" s="27">
        <f t="shared" si="8"/>
        <v>14362</v>
      </c>
      <c r="K17" s="27">
        <f t="shared" si="8"/>
        <v>14362</v>
      </c>
      <c r="L17" s="27">
        <f t="shared" si="8"/>
        <v>14362</v>
      </c>
      <c r="M17" s="27">
        <f t="shared" ref="M17:N17" si="9">M18+M20+M22</f>
        <v>14362</v>
      </c>
      <c r="N17" s="27">
        <f t="shared" si="9"/>
        <v>2292.1</v>
      </c>
      <c r="O17" s="27">
        <f t="shared" si="4"/>
        <v>15.959476396045119</v>
      </c>
    </row>
    <row r="18" spans="1:15" ht="94.5">
      <c r="A18" s="26" t="s">
        <v>180</v>
      </c>
      <c r="B18" s="216">
        <v>901</v>
      </c>
      <c r="C18" s="214" t="s">
        <v>171</v>
      </c>
      <c r="D18" s="214" t="s">
        <v>173</v>
      </c>
      <c r="E18" s="214" t="s">
        <v>179</v>
      </c>
      <c r="F18" s="214" t="s">
        <v>181</v>
      </c>
      <c r="G18" s="27">
        <f>G19</f>
        <v>12784.1</v>
      </c>
      <c r="H18" s="27">
        <f>H19</f>
        <v>7262.8</v>
      </c>
      <c r="I18" s="27">
        <f t="shared" ref="I18:L18" si="10">I19</f>
        <v>12053.8</v>
      </c>
      <c r="J18" s="27">
        <f t="shared" si="10"/>
        <v>12470</v>
      </c>
      <c r="K18" s="27">
        <f t="shared" si="10"/>
        <v>12470</v>
      </c>
      <c r="L18" s="27">
        <f t="shared" si="10"/>
        <v>12470</v>
      </c>
      <c r="M18" s="27">
        <f t="shared" ref="M18:N18" si="11">M19</f>
        <v>12801.6</v>
      </c>
      <c r="N18" s="27">
        <f t="shared" si="11"/>
        <v>2175.4</v>
      </c>
      <c r="O18" s="27">
        <f t="shared" si="4"/>
        <v>16.99318835145607</v>
      </c>
    </row>
    <row r="19" spans="1:15" ht="31.5">
      <c r="A19" s="26" t="s">
        <v>182</v>
      </c>
      <c r="B19" s="216">
        <v>901</v>
      </c>
      <c r="C19" s="214" t="s">
        <v>171</v>
      </c>
      <c r="D19" s="214" t="s">
        <v>173</v>
      </c>
      <c r="E19" s="214" t="s">
        <v>179</v>
      </c>
      <c r="F19" s="214" t="s">
        <v>183</v>
      </c>
      <c r="G19" s="28">
        <v>12784.1</v>
      </c>
      <c r="H19" s="28">
        <v>7262.8</v>
      </c>
      <c r="I19" s="28">
        <v>12053.8</v>
      </c>
      <c r="J19" s="28">
        <v>12470</v>
      </c>
      <c r="K19" s="28">
        <f>J19</f>
        <v>12470</v>
      </c>
      <c r="L19" s="28">
        <f>K19</f>
        <v>12470</v>
      </c>
      <c r="M19" s="28">
        <f>12926-124.4</f>
        <v>12801.6</v>
      </c>
      <c r="N19" s="28">
        <v>2175.4</v>
      </c>
      <c r="O19" s="27">
        <f t="shared" si="4"/>
        <v>16.99318835145607</v>
      </c>
    </row>
    <row r="20" spans="1:15" ht="31.5">
      <c r="A20" s="26" t="s">
        <v>184</v>
      </c>
      <c r="B20" s="216">
        <v>901</v>
      </c>
      <c r="C20" s="214" t="s">
        <v>171</v>
      </c>
      <c r="D20" s="214" t="s">
        <v>173</v>
      </c>
      <c r="E20" s="214" t="s">
        <v>179</v>
      </c>
      <c r="F20" s="214" t="s">
        <v>185</v>
      </c>
      <c r="G20" s="27">
        <f>G21</f>
        <v>1302.3599999999999</v>
      </c>
      <c r="H20" s="27">
        <f>H21</f>
        <v>424.2</v>
      </c>
      <c r="I20" s="27">
        <f t="shared" ref="I20:L20" si="12">I21</f>
        <v>1302.4000000000001</v>
      </c>
      <c r="J20" s="27">
        <f t="shared" si="12"/>
        <v>1864</v>
      </c>
      <c r="K20" s="27">
        <f t="shared" si="12"/>
        <v>1864</v>
      </c>
      <c r="L20" s="27">
        <f t="shared" si="12"/>
        <v>1864</v>
      </c>
      <c r="M20" s="27">
        <f t="shared" ref="M20:N20" si="13">M21</f>
        <v>1532.4</v>
      </c>
      <c r="N20" s="27">
        <f t="shared" si="13"/>
        <v>116.5</v>
      </c>
      <c r="O20" s="27">
        <f t="shared" si="4"/>
        <v>7.602453667449752</v>
      </c>
    </row>
    <row r="21" spans="1:15" ht="47.25">
      <c r="A21" s="26" t="s">
        <v>186</v>
      </c>
      <c r="B21" s="216">
        <v>901</v>
      </c>
      <c r="C21" s="214" t="s">
        <v>171</v>
      </c>
      <c r="D21" s="214" t="s">
        <v>173</v>
      </c>
      <c r="E21" s="214" t="s">
        <v>179</v>
      </c>
      <c r="F21" s="214" t="s">
        <v>187</v>
      </c>
      <c r="G21" s="28">
        <v>1302.3599999999999</v>
      </c>
      <c r="H21" s="28">
        <v>424.2</v>
      </c>
      <c r="I21" s="28">
        <v>1302.4000000000001</v>
      </c>
      <c r="J21" s="28">
        <f>1892-J23</f>
        <v>1864</v>
      </c>
      <c r="K21" s="28">
        <f>J21</f>
        <v>1864</v>
      </c>
      <c r="L21" s="28">
        <f>K21</f>
        <v>1864</v>
      </c>
      <c r="M21" s="28">
        <f>1408+124.4</f>
        <v>1532.4</v>
      </c>
      <c r="N21" s="28">
        <v>116.5</v>
      </c>
      <c r="O21" s="27">
        <f t="shared" si="4"/>
        <v>7.602453667449752</v>
      </c>
    </row>
    <row r="22" spans="1:15" ht="15.75">
      <c r="A22" s="26" t="s">
        <v>188</v>
      </c>
      <c r="B22" s="216">
        <v>901</v>
      </c>
      <c r="C22" s="214" t="s">
        <v>171</v>
      </c>
      <c r="D22" s="214" t="s">
        <v>173</v>
      </c>
      <c r="E22" s="214" t="s">
        <v>179</v>
      </c>
      <c r="F22" s="214" t="s">
        <v>189</v>
      </c>
      <c r="G22" s="27">
        <f>G23</f>
        <v>28</v>
      </c>
      <c r="H22" s="27">
        <f>H23</f>
        <v>0.9</v>
      </c>
      <c r="I22" s="27">
        <f t="shared" ref="I22:L22" si="14">I23</f>
        <v>39</v>
      </c>
      <c r="J22" s="27">
        <f t="shared" si="14"/>
        <v>28</v>
      </c>
      <c r="K22" s="27">
        <f t="shared" si="14"/>
        <v>28</v>
      </c>
      <c r="L22" s="27">
        <f t="shared" si="14"/>
        <v>28</v>
      </c>
      <c r="M22" s="27">
        <f t="shared" ref="M22:N22" si="15">M23</f>
        <v>28</v>
      </c>
      <c r="N22" s="27">
        <f t="shared" si="15"/>
        <v>0.2</v>
      </c>
      <c r="O22" s="27">
        <f t="shared" si="4"/>
        <v>0.7142857142857143</v>
      </c>
    </row>
    <row r="23" spans="1:15" ht="15.75">
      <c r="A23" s="26" t="s">
        <v>622</v>
      </c>
      <c r="B23" s="216">
        <v>901</v>
      </c>
      <c r="C23" s="214" t="s">
        <v>171</v>
      </c>
      <c r="D23" s="214" t="s">
        <v>173</v>
      </c>
      <c r="E23" s="214" t="s">
        <v>179</v>
      </c>
      <c r="F23" s="214" t="s">
        <v>191</v>
      </c>
      <c r="G23" s="27">
        <v>28</v>
      </c>
      <c r="H23" s="27">
        <v>0.9</v>
      </c>
      <c r="I23" s="27">
        <v>39</v>
      </c>
      <c r="J23" s="27">
        <v>28</v>
      </c>
      <c r="K23" s="27">
        <v>28</v>
      </c>
      <c r="L23" s="27">
        <v>28</v>
      </c>
      <c r="M23" s="27">
        <v>28</v>
      </c>
      <c r="N23" s="27">
        <v>0.2</v>
      </c>
      <c r="O23" s="27">
        <f t="shared" si="4"/>
        <v>0.7142857142857143</v>
      </c>
    </row>
    <row r="24" spans="1:15" ht="18.75" hidden="1" customHeight="1">
      <c r="A24" s="24" t="s">
        <v>192</v>
      </c>
      <c r="B24" s="213">
        <v>901</v>
      </c>
      <c r="C24" s="215" t="s">
        <v>171</v>
      </c>
      <c r="D24" s="215" t="s">
        <v>193</v>
      </c>
      <c r="E24" s="215"/>
      <c r="F24" s="215"/>
      <c r="G24" s="22">
        <f>G25</f>
        <v>50</v>
      </c>
      <c r="H24" s="22">
        <f t="shared" ref="H24:H27" si="16">H25</f>
        <v>50</v>
      </c>
      <c r="I24" s="22">
        <f t="shared" ref="I24:L27" si="17">I25</f>
        <v>50</v>
      </c>
      <c r="J24" s="22">
        <f t="shared" si="17"/>
        <v>0</v>
      </c>
      <c r="K24" s="22">
        <f t="shared" si="17"/>
        <v>0</v>
      </c>
      <c r="L24" s="22">
        <f t="shared" si="17"/>
        <v>0</v>
      </c>
      <c r="M24" s="22">
        <f t="shared" ref="M24:N27" si="18">M25</f>
        <v>0</v>
      </c>
      <c r="N24" s="22">
        <f t="shared" si="18"/>
        <v>0</v>
      </c>
      <c r="O24" s="22" t="e">
        <f t="shared" si="4"/>
        <v>#DIV/0!</v>
      </c>
    </row>
    <row r="25" spans="1:15" ht="15.75" hidden="1">
      <c r="A25" s="26" t="s">
        <v>194</v>
      </c>
      <c r="B25" s="216">
        <v>901</v>
      </c>
      <c r="C25" s="214" t="s">
        <v>171</v>
      </c>
      <c r="D25" s="214" t="s">
        <v>193</v>
      </c>
      <c r="E25" s="214" t="s">
        <v>195</v>
      </c>
      <c r="F25" s="214"/>
      <c r="G25" s="27">
        <f>G26</f>
        <v>50</v>
      </c>
      <c r="H25" s="27">
        <f t="shared" si="16"/>
        <v>50</v>
      </c>
      <c r="I25" s="27">
        <f t="shared" si="17"/>
        <v>50</v>
      </c>
      <c r="J25" s="27">
        <f t="shared" si="17"/>
        <v>0</v>
      </c>
      <c r="K25" s="27">
        <f t="shared" si="17"/>
        <v>0</v>
      </c>
      <c r="L25" s="27">
        <f t="shared" si="17"/>
        <v>0</v>
      </c>
      <c r="M25" s="27">
        <f t="shared" si="18"/>
        <v>0</v>
      </c>
      <c r="N25" s="27">
        <f t="shared" si="18"/>
        <v>0</v>
      </c>
      <c r="O25" s="22" t="e">
        <f t="shared" si="4"/>
        <v>#DIV/0!</v>
      </c>
    </row>
    <row r="26" spans="1:15" ht="15.75" hidden="1">
      <c r="A26" s="26" t="s">
        <v>196</v>
      </c>
      <c r="B26" s="216">
        <v>901</v>
      </c>
      <c r="C26" s="214" t="s">
        <v>171</v>
      </c>
      <c r="D26" s="214" t="s">
        <v>193</v>
      </c>
      <c r="E26" s="214" t="s">
        <v>197</v>
      </c>
      <c r="F26" s="214"/>
      <c r="G26" s="27">
        <f>G27</f>
        <v>50</v>
      </c>
      <c r="H26" s="27">
        <f t="shared" si="16"/>
        <v>50</v>
      </c>
      <c r="I26" s="27">
        <f t="shared" si="17"/>
        <v>50</v>
      </c>
      <c r="J26" s="27">
        <f t="shared" si="17"/>
        <v>0</v>
      </c>
      <c r="K26" s="27">
        <f t="shared" si="17"/>
        <v>0</v>
      </c>
      <c r="L26" s="27">
        <f t="shared" si="17"/>
        <v>0</v>
      </c>
      <c r="M26" s="27">
        <f t="shared" si="18"/>
        <v>0</v>
      </c>
      <c r="N26" s="27">
        <f t="shared" si="18"/>
        <v>0</v>
      </c>
      <c r="O26" s="22" t="e">
        <f t="shared" si="4"/>
        <v>#DIV/0!</v>
      </c>
    </row>
    <row r="27" spans="1:15" ht="15.75" hidden="1">
      <c r="A27" s="26" t="s">
        <v>188</v>
      </c>
      <c r="B27" s="216">
        <v>901</v>
      </c>
      <c r="C27" s="214" t="s">
        <v>171</v>
      </c>
      <c r="D27" s="214" t="s">
        <v>193</v>
      </c>
      <c r="E27" s="214" t="s">
        <v>197</v>
      </c>
      <c r="F27" s="214" t="s">
        <v>198</v>
      </c>
      <c r="G27" s="27">
        <f>G28</f>
        <v>50</v>
      </c>
      <c r="H27" s="27">
        <f t="shared" si="16"/>
        <v>50</v>
      </c>
      <c r="I27" s="27">
        <f t="shared" si="17"/>
        <v>50</v>
      </c>
      <c r="J27" s="27">
        <f t="shared" si="17"/>
        <v>0</v>
      </c>
      <c r="K27" s="27">
        <f t="shared" si="17"/>
        <v>0</v>
      </c>
      <c r="L27" s="27">
        <f t="shared" si="17"/>
        <v>0</v>
      </c>
      <c r="M27" s="27">
        <f t="shared" si="18"/>
        <v>0</v>
      </c>
      <c r="N27" s="27">
        <f t="shared" si="18"/>
        <v>0</v>
      </c>
      <c r="O27" s="22" t="e">
        <f t="shared" si="4"/>
        <v>#DIV/0!</v>
      </c>
    </row>
    <row r="28" spans="1:15" ht="15.75" hidden="1">
      <c r="A28" s="26" t="s">
        <v>199</v>
      </c>
      <c r="B28" s="216">
        <v>901</v>
      </c>
      <c r="C28" s="214" t="s">
        <v>171</v>
      </c>
      <c r="D28" s="214" t="s">
        <v>193</v>
      </c>
      <c r="E28" s="214" t="s">
        <v>197</v>
      </c>
      <c r="F28" s="214" t="s">
        <v>200</v>
      </c>
      <c r="G28" s="27">
        <v>50</v>
      </c>
      <c r="H28" s="27">
        <v>50</v>
      </c>
      <c r="I28" s="27">
        <v>50</v>
      </c>
      <c r="J28" s="27">
        <v>0</v>
      </c>
      <c r="K28" s="27">
        <v>0</v>
      </c>
      <c r="L28" s="27">
        <v>0</v>
      </c>
      <c r="M28" s="27"/>
      <c r="N28" s="27"/>
      <c r="O28" s="22" t="e">
        <f t="shared" si="4"/>
        <v>#DIV/0!</v>
      </c>
    </row>
    <row r="29" spans="1:15" ht="31.5">
      <c r="A29" s="20" t="s">
        <v>201</v>
      </c>
      <c r="B29" s="213">
        <v>902</v>
      </c>
      <c r="C29" s="214"/>
      <c r="D29" s="214"/>
      <c r="E29" s="214"/>
      <c r="F29" s="214"/>
      <c r="G29" s="22">
        <f>G30+G168+G186+G218+G161</f>
        <v>87268.39999999998</v>
      </c>
      <c r="H29" s="22">
        <f>H30+H168+H186+H218</f>
        <v>59953.899999999994</v>
      </c>
      <c r="I29" s="22">
        <f>I30+I168+I186+I218+I161</f>
        <v>83261.003921568612</v>
      </c>
      <c r="J29" s="22">
        <f>J30+J168+J186+J218+J161</f>
        <v>92033.599999999991</v>
      </c>
      <c r="K29" s="22">
        <f>K30+K168+K186+K218+K161</f>
        <v>90820.500000000015</v>
      </c>
      <c r="L29" s="22">
        <f>L30+L168+L186+L218+L161</f>
        <v>91204.6</v>
      </c>
      <c r="M29" s="22">
        <f>M30+M168+M186+M218+M161</f>
        <v>87665.9</v>
      </c>
      <c r="N29" s="22">
        <f t="shared" ref="N29" si="19">N30+N168+N186+N218+N161</f>
        <v>16068.300000000003</v>
      </c>
      <c r="O29" s="22">
        <f t="shared" si="4"/>
        <v>18.329019607395811</v>
      </c>
    </row>
    <row r="30" spans="1:15" ht="15.75">
      <c r="A30" s="24" t="s">
        <v>170</v>
      </c>
      <c r="B30" s="213">
        <v>902</v>
      </c>
      <c r="C30" s="215" t="s">
        <v>171</v>
      </c>
      <c r="D30" s="214"/>
      <c r="E30" s="214"/>
      <c r="F30" s="214"/>
      <c r="G30" s="22">
        <f t="shared" ref="G30:M30" si="20">G31+G55+G63</f>
        <v>66062.7</v>
      </c>
      <c r="H30" s="22">
        <f t="shared" si="20"/>
        <v>46256</v>
      </c>
      <c r="I30" s="22">
        <f t="shared" si="20"/>
        <v>63684.337254901955</v>
      </c>
      <c r="J30" s="22">
        <f t="shared" si="20"/>
        <v>66693.400000000009</v>
      </c>
      <c r="K30" s="22">
        <f t="shared" si="20"/>
        <v>67188.200000000012</v>
      </c>
      <c r="L30" s="22">
        <f t="shared" si="20"/>
        <v>67525.8</v>
      </c>
      <c r="M30" s="22">
        <f t="shared" si="20"/>
        <v>64135.5</v>
      </c>
      <c r="N30" s="22">
        <f t="shared" ref="N30" si="21">N31+N55+N63</f>
        <v>11909.400000000001</v>
      </c>
      <c r="O30" s="22">
        <f t="shared" si="4"/>
        <v>18.569123184507802</v>
      </c>
    </row>
    <row r="31" spans="1:15" ht="78.75">
      <c r="A31" s="24" t="s">
        <v>202</v>
      </c>
      <c r="B31" s="213">
        <v>902</v>
      </c>
      <c r="C31" s="215" t="s">
        <v>171</v>
      </c>
      <c r="D31" s="215" t="s">
        <v>203</v>
      </c>
      <c r="E31" s="215"/>
      <c r="F31" s="215"/>
      <c r="G31" s="22">
        <f>G32</f>
        <v>51508.2</v>
      </c>
      <c r="H31" s="22">
        <f>H32</f>
        <v>36342.1</v>
      </c>
      <c r="I31" s="22">
        <f t="shared" ref="I31:L31" si="22">I32</f>
        <v>49198.937254901961</v>
      </c>
      <c r="J31" s="22">
        <f t="shared" si="22"/>
        <v>49603.8</v>
      </c>
      <c r="K31" s="22">
        <f t="shared" si="22"/>
        <v>49952.700000000004</v>
      </c>
      <c r="L31" s="22">
        <f t="shared" si="22"/>
        <v>50164</v>
      </c>
      <c r="M31" s="22">
        <f t="shared" ref="M31:N31" si="23">M32</f>
        <v>52193.9</v>
      </c>
      <c r="N31" s="22">
        <f t="shared" si="23"/>
        <v>10276</v>
      </c>
      <c r="O31" s="22">
        <f t="shared" si="4"/>
        <v>19.688124474315963</v>
      </c>
    </row>
    <row r="32" spans="1:15" ht="15.75">
      <c r="A32" s="26" t="s">
        <v>174</v>
      </c>
      <c r="B32" s="216">
        <v>902</v>
      </c>
      <c r="C32" s="214" t="s">
        <v>171</v>
      </c>
      <c r="D32" s="214" t="s">
        <v>203</v>
      </c>
      <c r="E32" s="214" t="s">
        <v>175</v>
      </c>
      <c r="F32" s="214"/>
      <c r="G32" s="28">
        <f t="shared" ref="G32:M32" si="24">G33+G49</f>
        <v>51508.2</v>
      </c>
      <c r="H32" s="28">
        <f t="shared" si="24"/>
        <v>36342.1</v>
      </c>
      <c r="I32" s="28">
        <f t="shared" si="24"/>
        <v>49198.937254901961</v>
      </c>
      <c r="J32" s="28">
        <f t="shared" si="24"/>
        <v>49603.8</v>
      </c>
      <c r="K32" s="28">
        <f t="shared" si="24"/>
        <v>49952.700000000004</v>
      </c>
      <c r="L32" s="28">
        <f t="shared" si="24"/>
        <v>50164</v>
      </c>
      <c r="M32" s="28">
        <f t="shared" si="24"/>
        <v>52193.9</v>
      </c>
      <c r="N32" s="28">
        <f t="shared" ref="N32" si="25">N33+N49</f>
        <v>10276</v>
      </c>
      <c r="O32" s="27">
        <f t="shared" si="4"/>
        <v>19.688124474315963</v>
      </c>
    </row>
    <row r="33" spans="1:15" ht="31.5">
      <c r="A33" s="26" t="s">
        <v>176</v>
      </c>
      <c r="B33" s="216">
        <v>902</v>
      </c>
      <c r="C33" s="214" t="s">
        <v>171</v>
      </c>
      <c r="D33" s="214" t="s">
        <v>203</v>
      </c>
      <c r="E33" s="214" t="s">
        <v>177</v>
      </c>
      <c r="F33" s="214"/>
      <c r="G33" s="28">
        <f>G34+G41</f>
        <v>43429.2</v>
      </c>
      <c r="H33" s="28">
        <f>H34+H41</f>
        <v>29295.199999999997</v>
      </c>
      <c r="I33" s="28">
        <f t="shared" ref="I33:L33" si="26">I34+I41</f>
        <v>41163.337254901962</v>
      </c>
      <c r="J33" s="28">
        <f t="shared" si="26"/>
        <v>47263.9</v>
      </c>
      <c r="K33" s="28">
        <f t="shared" si="26"/>
        <v>47612.800000000003</v>
      </c>
      <c r="L33" s="28">
        <f t="shared" si="26"/>
        <v>47824.1</v>
      </c>
      <c r="M33" s="28">
        <f>M34+M41+M44</f>
        <v>49640.4</v>
      </c>
      <c r="N33" s="28">
        <f t="shared" ref="N33" si="27">N34+N41+N44</f>
        <v>9813.6</v>
      </c>
      <c r="O33" s="27">
        <f t="shared" si="4"/>
        <v>19.769381390963812</v>
      </c>
    </row>
    <row r="34" spans="1:15" ht="47.25">
      <c r="A34" s="26" t="s">
        <v>178</v>
      </c>
      <c r="B34" s="216">
        <v>902</v>
      </c>
      <c r="C34" s="214" t="s">
        <v>171</v>
      </c>
      <c r="D34" s="214" t="s">
        <v>203</v>
      </c>
      <c r="E34" s="214" t="s">
        <v>179</v>
      </c>
      <c r="F34" s="214"/>
      <c r="G34" s="27">
        <f>G35+G37+G39</f>
        <v>39883.599999999999</v>
      </c>
      <c r="H34" s="27">
        <f>H35+H37+H39</f>
        <v>26835.599999999999</v>
      </c>
      <c r="I34" s="27">
        <f t="shared" ref="I34:L34" si="28">I35+I37+I39</f>
        <v>37617.737254901964</v>
      </c>
      <c r="J34" s="27">
        <f t="shared" si="28"/>
        <v>44031.1</v>
      </c>
      <c r="K34" s="27">
        <f t="shared" si="28"/>
        <v>44380</v>
      </c>
      <c r="L34" s="27">
        <f t="shared" si="28"/>
        <v>44591.299999999996</v>
      </c>
      <c r="M34" s="27">
        <f t="shared" ref="M34:N34" si="29">M35+M37+M39</f>
        <v>43597</v>
      </c>
      <c r="N34" s="27">
        <f t="shared" si="29"/>
        <v>8864.7000000000007</v>
      </c>
      <c r="O34" s="27">
        <f t="shared" si="4"/>
        <v>20.333279812831158</v>
      </c>
    </row>
    <row r="35" spans="1:15" ht="94.5">
      <c r="A35" s="26" t="s">
        <v>180</v>
      </c>
      <c r="B35" s="216">
        <v>902</v>
      </c>
      <c r="C35" s="214" t="s">
        <v>171</v>
      </c>
      <c r="D35" s="214" t="s">
        <v>203</v>
      </c>
      <c r="E35" s="214" t="s">
        <v>179</v>
      </c>
      <c r="F35" s="214" t="s">
        <v>181</v>
      </c>
      <c r="G35" s="27">
        <f>G36</f>
        <v>34170.5</v>
      </c>
      <c r="H35" s="27">
        <f>H36</f>
        <v>23843.4</v>
      </c>
      <c r="I35" s="27">
        <f t="shared" ref="I35:L35" si="30">I36</f>
        <v>33661.270588235297</v>
      </c>
      <c r="J35" s="27">
        <f t="shared" si="30"/>
        <v>36671.5</v>
      </c>
      <c r="K35" s="27">
        <f t="shared" si="30"/>
        <v>36671.5</v>
      </c>
      <c r="L35" s="27">
        <f t="shared" si="30"/>
        <v>36671.5</v>
      </c>
      <c r="M35" s="27">
        <f t="shared" ref="M35:N35" si="31">M36</f>
        <v>36418</v>
      </c>
      <c r="N35" s="27">
        <f t="shared" si="31"/>
        <v>8261.6</v>
      </c>
      <c r="O35" s="27">
        <f t="shared" si="4"/>
        <v>22.685485199626559</v>
      </c>
    </row>
    <row r="36" spans="1:15" ht="31.5">
      <c r="A36" s="26" t="s">
        <v>182</v>
      </c>
      <c r="B36" s="216">
        <v>902</v>
      </c>
      <c r="C36" s="214" t="s">
        <v>171</v>
      </c>
      <c r="D36" s="214" t="s">
        <v>203</v>
      </c>
      <c r="E36" s="214" t="s">
        <v>179</v>
      </c>
      <c r="F36" s="214" t="s">
        <v>183</v>
      </c>
      <c r="G36" s="28">
        <f>36517.7-553.5-1733.7-60</f>
        <v>34170.5</v>
      </c>
      <c r="H36" s="28">
        <v>23843.4</v>
      </c>
      <c r="I36" s="28">
        <f>H36/8.5*12</f>
        <v>33661.270588235297</v>
      </c>
      <c r="J36" s="28">
        <v>36671.5</v>
      </c>
      <c r="K36" s="28">
        <f>J36</f>
        <v>36671.5</v>
      </c>
      <c r="L36" s="28">
        <f>K36</f>
        <v>36671.5</v>
      </c>
      <c r="M36" s="28">
        <f>36671.5-253.5</f>
        <v>36418</v>
      </c>
      <c r="N36" s="28">
        <v>8261.6</v>
      </c>
      <c r="O36" s="27">
        <f t="shared" si="4"/>
        <v>22.685485199626559</v>
      </c>
    </row>
    <row r="37" spans="1:15" ht="31.5">
      <c r="A37" s="26" t="s">
        <v>184</v>
      </c>
      <c r="B37" s="216">
        <v>902</v>
      </c>
      <c r="C37" s="214" t="s">
        <v>171</v>
      </c>
      <c r="D37" s="214" t="s">
        <v>203</v>
      </c>
      <c r="E37" s="214" t="s">
        <v>179</v>
      </c>
      <c r="F37" s="214" t="s">
        <v>185</v>
      </c>
      <c r="G37" s="27">
        <f>G38</f>
        <v>5592.4</v>
      </c>
      <c r="H37" s="27">
        <f>H38</f>
        <v>2765.6</v>
      </c>
      <c r="I37" s="27">
        <f t="shared" ref="I37:L37" si="32">I38</f>
        <v>3687.4666666666667</v>
      </c>
      <c r="J37" s="27">
        <f t="shared" si="32"/>
        <v>7238.9000000000005</v>
      </c>
      <c r="K37" s="27">
        <f t="shared" si="32"/>
        <v>7587.8</v>
      </c>
      <c r="L37" s="27">
        <f t="shared" si="32"/>
        <v>7799.1</v>
      </c>
      <c r="M37" s="27">
        <f t="shared" ref="M37:N37" si="33">M38</f>
        <v>6959.7</v>
      </c>
      <c r="N37" s="27">
        <f t="shared" si="33"/>
        <v>561.9</v>
      </c>
      <c r="O37" s="27">
        <f t="shared" si="4"/>
        <v>8.0736238630975468</v>
      </c>
    </row>
    <row r="38" spans="1:15" ht="47.25">
      <c r="A38" s="26" t="s">
        <v>186</v>
      </c>
      <c r="B38" s="216">
        <v>902</v>
      </c>
      <c r="C38" s="214" t="s">
        <v>171</v>
      </c>
      <c r="D38" s="214" t="s">
        <v>203</v>
      </c>
      <c r="E38" s="214" t="s">
        <v>179</v>
      </c>
      <c r="F38" s="214" t="s">
        <v>187</v>
      </c>
      <c r="G38" s="28">
        <f>3962.7+1800-140.3-30</f>
        <v>5592.4</v>
      </c>
      <c r="H38" s="28">
        <v>2765.6</v>
      </c>
      <c r="I38" s="28">
        <f>H38/9*12</f>
        <v>3687.4666666666667</v>
      </c>
      <c r="J38" s="28">
        <f>7179-J40+180.6</f>
        <v>7238.9000000000005</v>
      </c>
      <c r="K38" s="28">
        <f>7527.9-K40+180.6</f>
        <v>7587.8</v>
      </c>
      <c r="L38" s="28">
        <f>7739.2-L40+180.6</f>
        <v>7799.1</v>
      </c>
      <c r="M38" s="28">
        <v>6959.7</v>
      </c>
      <c r="N38" s="28">
        <v>561.9</v>
      </c>
      <c r="O38" s="27">
        <f t="shared" si="4"/>
        <v>8.0736238630975468</v>
      </c>
    </row>
    <row r="39" spans="1:15" ht="15.75">
      <c r="A39" s="26" t="s">
        <v>188</v>
      </c>
      <c r="B39" s="216">
        <v>902</v>
      </c>
      <c r="C39" s="214" t="s">
        <v>171</v>
      </c>
      <c r="D39" s="214" t="s">
        <v>203</v>
      </c>
      <c r="E39" s="214" t="s">
        <v>179</v>
      </c>
      <c r="F39" s="214" t="s">
        <v>198</v>
      </c>
      <c r="G39" s="27">
        <f>G40</f>
        <v>120.7</v>
      </c>
      <c r="H39" s="27">
        <f>H40</f>
        <v>226.6</v>
      </c>
      <c r="I39" s="27">
        <f t="shared" ref="I39:L39" si="34">I40</f>
        <v>269</v>
      </c>
      <c r="J39" s="27">
        <f t="shared" si="34"/>
        <v>120.7</v>
      </c>
      <c r="K39" s="27">
        <f t="shared" si="34"/>
        <v>120.7</v>
      </c>
      <c r="L39" s="27">
        <f t="shared" si="34"/>
        <v>120.7</v>
      </c>
      <c r="M39" s="27">
        <f t="shared" ref="M39:N39" si="35">M40</f>
        <v>219.3</v>
      </c>
      <c r="N39" s="27">
        <f t="shared" si="35"/>
        <v>41.2</v>
      </c>
      <c r="O39" s="27">
        <f t="shared" si="4"/>
        <v>18.787049703602371</v>
      </c>
    </row>
    <row r="40" spans="1:15" ht="15.75">
      <c r="A40" s="26" t="s">
        <v>622</v>
      </c>
      <c r="B40" s="216">
        <v>902</v>
      </c>
      <c r="C40" s="214" t="s">
        <v>171</v>
      </c>
      <c r="D40" s="214" t="s">
        <v>203</v>
      </c>
      <c r="E40" s="214" t="s">
        <v>179</v>
      </c>
      <c r="F40" s="214" t="s">
        <v>191</v>
      </c>
      <c r="G40" s="28">
        <f>90.7+30</f>
        <v>120.7</v>
      </c>
      <c r="H40" s="28">
        <v>226.6</v>
      </c>
      <c r="I40" s="28">
        <v>269</v>
      </c>
      <c r="J40" s="28">
        <f t="shared" ref="J40:L40" si="36">90.7+30</f>
        <v>120.7</v>
      </c>
      <c r="K40" s="28">
        <f t="shared" si="36"/>
        <v>120.7</v>
      </c>
      <c r="L40" s="28">
        <f t="shared" si="36"/>
        <v>120.7</v>
      </c>
      <c r="M40" s="28">
        <f>90.7+30+98.6</f>
        <v>219.3</v>
      </c>
      <c r="N40" s="28">
        <v>41.2</v>
      </c>
      <c r="O40" s="27">
        <f t="shared" si="4"/>
        <v>18.787049703602371</v>
      </c>
    </row>
    <row r="41" spans="1:15" ht="31.5">
      <c r="A41" s="26" t="s">
        <v>204</v>
      </c>
      <c r="B41" s="216">
        <v>902</v>
      </c>
      <c r="C41" s="214" t="s">
        <v>171</v>
      </c>
      <c r="D41" s="214" t="s">
        <v>203</v>
      </c>
      <c r="E41" s="214" t="s">
        <v>205</v>
      </c>
      <c r="F41" s="214"/>
      <c r="G41" s="27">
        <f t="shared" ref="G41:L42" si="37">G42</f>
        <v>3545.6</v>
      </c>
      <c r="H41" s="27">
        <f t="shared" si="37"/>
        <v>2459.6</v>
      </c>
      <c r="I41" s="27">
        <f t="shared" si="37"/>
        <v>3545.6</v>
      </c>
      <c r="J41" s="27">
        <f t="shared" si="37"/>
        <v>3232.8</v>
      </c>
      <c r="K41" s="27">
        <f t="shared" si="37"/>
        <v>3232.8</v>
      </c>
      <c r="L41" s="27">
        <f t="shared" si="37"/>
        <v>3232.8</v>
      </c>
      <c r="M41" s="27">
        <f t="shared" ref="M41:N42" si="38">M42</f>
        <v>3545.6</v>
      </c>
      <c r="N41" s="27">
        <f t="shared" si="38"/>
        <v>159</v>
      </c>
      <c r="O41" s="27">
        <f t="shared" si="4"/>
        <v>4.484431407942238</v>
      </c>
    </row>
    <row r="42" spans="1:15" ht="94.5">
      <c r="A42" s="26" t="s">
        <v>180</v>
      </c>
      <c r="B42" s="216">
        <v>902</v>
      </c>
      <c r="C42" s="214" t="s">
        <v>171</v>
      </c>
      <c r="D42" s="214" t="s">
        <v>203</v>
      </c>
      <c r="E42" s="214" t="s">
        <v>205</v>
      </c>
      <c r="F42" s="214" t="s">
        <v>181</v>
      </c>
      <c r="G42" s="27">
        <f>G43</f>
        <v>3545.6</v>
      </c>
      <c r="H42" s="27">
        <f>H43</f>
        <v>2459.6</v>
      </c>
      <c r="I42" s="27">
        <f t="shared" si="37"/>
        <v>3545.6</v>
      </c>
      <c r="J42" s="27">
        <f t="shared" si="37"/>
        <v>3232.8</v>
      </c>
      <c r="K42" s="27">
        <f t="shared" si="37"/>
        <v>3232.8</v>
      </c>
      <c r="L42" s="27">
        <f t="shared" si="37"/>
        <v>3232.8</v>
      </c>
      <c r="M42" s="27">
        <f t="shared" si="38"/>
        <v>3545.6</v>
      </c>
      <c r="N42" s="27">
        <f t="shared" si="38"/>
        <v>159</v>
      </c>
      <c r="O42" s="27">
        <f t="shared" si="4"/>
        <v>4.484431407942238</v>
      </c>
    </row>
    <row r="43" spans="1:15" ht="31.5">
      <c r="A43" s="26" t="s">
        <v>182</v>
      </c>
      <c r="B43" s="216">
        <v>902</v>
      </c>
      <c r="C43" s="214" t="s">
        <v>171</v>
      </c>
      <c r="D43" s="214" t="s">
        <v>203</v>
      </c>
      <c r="E43" s="214" t="s">
        <v>205</v>
      </c>
      <c r="F43" s="214" t="s">
        <v>183</v>
      </c>
      <c r="G43" s="28">
        <v>3545.6</v>
      </c>
      <c r="H43" s="28">
        <v>2459.6</v>
      </c>
      <c r="I43" s="28">
        <v>3545.6</v>
      </c>
      <c r="J43" s="28">
        <v>3232.8</v>
      </c>
      <c r="K43" s="28">
        <f>J43</f>
        <v>3232.8</v>
      </c>
      <c r="L43" s="28">
        <f>K43</f>
        <v>3232.8</v>
      </c>
      <c r="M43" s="28">
        <v>3545.6</v>
      </c>
      <c r="N43" s="28">
        <v>159</v>
      </c>
      <c r="O43" s="27">
        <f t="shared" si="4"/>
        <v>4.484431407942238</v>
      </c>
    </row>
    <row r="44" spans="1:15" ht="47.25">
      <c r="A44" s="26" t="s">
        <v>263</v>
      </c>
      <c r="B44" s="216">
        <v>902</v>
      </c>
      <c r="C44" s="214" t="s">
        <v>171</v>
      </c>
      <c r="D44" s="214" t="s">
        <v>203</v>
      </c>
      <c r="E44" s="214" t="s">
        <v>978</v>
      </c>
      <c r="F44" s="214"/>
      <c r="G44" s="28"/>
      <c r="H44" s="28"/>
      <c r="I44" s="28"/>
      <c r="J44" s="28"/>
      <c r="K44" s="28"/>
      <c r="L44" s="28"/>
      <c r="M44" s="28">
        <f>M45+M47</f>
        <v>2497.8000000000002</v>
      </c>
      <c r="N44" s="28">
        <f t="shared" ref="N44" si="39">N45+N47</f>
        <v>789.9</v>
      </c>
      <c r="O44" s="27">
        <f t="shared" si="4"/>
        <v>31.62382896949315</v>
      </c>
    </row>
    <row r="45" spans="1:15" ht="94.5">
      <c r="A45" s="26" t="s">
        <v>180</v>
      </c>
      <c r="B45" s="216">
        <v>902</v>
      </c>
      <c r="C45" s="214" t="s">
        <v>171</v>
      </c>
      <c r="D45" s="214" t="s">
        <v>203</v>
      </c>
      <c r="E45" s="214" t="s">
        <v>978</v>
      </c>
      <c r="F45" s="214" t="s">
        <v>181</v>
      </c>
      <c r="G45" s="28"/>
      <c r="H45" s="28"/>
      <c r="I45" s="28"/>
      <c r="J45" s="28"/>
      <c r="K45" s="28"/>
      <c r="L45" s="28"/>
      <c r="M45" s="28">
        <f>M46</f>
        <v>1872.4</v>
      </c>
      <c r="N45" s="28">
        <f t="shared" ref="N45" si="40">N46</f>
        <v>734.5</v>
      </c>
      <c r="O45" s="27">
        <f t="shared" si="4"/>
        <v>39.227729117709892</v>
      </c>
    </row>
    <row r="46" spans="1:15" ht="31.5">
      <c r="A46" s="26" t="s">
        <v>182</v>
      </c>
      <c r="B46" s="216">
        <v>902</v>
      </c>
      <c r="C46" s="214" t="s">
        <v>171</v>
      </c>
      <c r="D46" s="214" t="s">
        <v>203</v>
      </c>
      <c r="E46" s="214" t="s">
        <v>978</v>
      </c>
      <c r="F46" s="214" t="s">
        <v>183</v>
      </c>
      <c r="G46" s="28">
        <f>1952.2-57.2</f>
        <v>1895</v>
      </c>
      <c r="H46" s="28">
        <v>1551.3</v>
      </c>
      <c r="I46" s="28">
        <f t="shared" ref="I46" si="41">1952.2-57.2</f>
        <v>1895</v>
      </c>
      <c r="J46" s="28">
        <v>1777</v>
      </c>
      <c r="K46" s="28">
        <v>1777</v>
      </c>
      <c r="L46" s="28">
        <v>1777</v>
      </c>
      <c r="M46" s="28">
        <f>1777+95.4</f>
        <v>1872.4</v>
      </c>
      <c r="N46" s="28">
        <v>734.5</v>
      </c>
      <c r="O46" s="27">
        <f t="shared" si="4"/>
        <v>39.227729117709892</v>
      </c>
    </row>
    <row r="47" spans="1:15" ht="47.25">
      <c r="A47" s="26" t="s">
        <v>251</v>
      </c>
      <c r="B47" s="216">
        <v>902</v>
      </c>
      <c r="C47" s="214" t="s">
        <v>171</v>
      </c>
      <c r="D47" s="214" t="s">
        <v>203</v>
      </c>
      <c r="E47" s="214" t="s">
        <v>978</v>
      </c>
      <c r="F47" s="214" t="s">
        <v>185</v>
      </c>
      <c r="G47" s="27">
        <f>G48</f>
        <v>625.4</v>
      </c>
      <c r="H47" s="27">
        <f>H48</f>
        <v>322.5</v>
      </c>
      <c r="I47" s="27">
        <f t="shared" ref="I47:N47" si="42">I48</f>
        <v>597.5</v>
      </c>
      <c r="J47" s="27">
        <f t="shared" si="42"/>
        <v>669.3</v>
      </c>
      <c r="K47" s="27">
        <f t="shared" si="42"/>
        <v>700.3</v>
      </c>
      <c r="L47" s="27">
        <f t="shared" si="42"/>
        <v>721.3</v>
      </c>
      <c r="M47" s="27">
        <f t="shared" si="42"/>
        <v>625.4</v>
      </c>
      <c r="N47" s="27">
        <f t="shared" si="42"/>
        <v>55.4</v>
      </c>
      <c r="O47" s="27">
        <f t="shared" si="4"/>
        <v>8.8583306683722416</v>
      </c>
    </row>
    <row r="48" spans="1:15" ht="47.25">
      <c r="A48" s="26" t="s">
        <v>186</v>
      </c>
      <c r="B48" s="216">
        <v>902</v>
      </c>
      <c r="C48" s="214" t="s">
        <v>171</v>
      </c>
      <c r="D48" s="214" t="s">
        <v>203</v>
      </c>
      <c r="E48" s="214" t="s">
        <v>978</v>
      </c>
      <c r="F48" s="214" t="s">
        <v>187</v>
      </c>
      <c r="G48" s="27">
        <f>821.9-196.5</f>
        <v>625.4</v>
      </c>
      <c r="H48" s="27">
        <v>322.5</v>
      </c>
      <c r="I48" s="27">
        <v>597.5</v>
      </c>
      <c r="J48" s="27">
        <v>669.3</v>
      </c>
      <c r="K48" s="27">
        <v>700.3</v>
      </c>
      <c r="L48" s="27">
        <v>721.3</v>
      </c>
      <c r="M48" s="27">
        <f t="shared" ref="M48" si="43">821.9-196.5</f>
        <v>625.4</v>
      </c>
      <c r="N48" s="27">
        <v>55.4</v>
      </c>
      <c r="O48" s="27">
        <f t="shared" si="4"/>
        <v>8.8583306683722416</v>
      </c>
    </row>
    <row r="49" spans="1:16" ht="15.75">
      <c r="A49" s="26" t="s">
        <v>194</v>
      </c>
      <c r="B49" s="216">
        <v>902</v>
      </c>
      <c r="C49" s="214" t="s">
        <v>171</v>
      </c>
      <c r="D49" s="214" t="s">
        <v>203</v>
      </c>
      <c r="E49" s="214" t="s">
        <v>195</v>
      </c>
      <c r="F49" s="214"/>
      <c r="G49" s="30">
        <f>G50</f>
        <v>8079</v>
      </c>
      <c r="H49" s="30">
        <f>H50</f>
        <v>7046.9000000000005</v>
      </c>
      <c r="I49" s="30">
        <f t="shared" ref="I49:L49" si="44">I50</f>
        <v>8035.6</v>
      </c>
      <c r="J49" s="30">
        <f t="shared" si="44"/>
        <v>2339.9</v>
      </c>
      <c r="K49" s="30">
        <f t="shared" si="44"/>
        <v>2339.9</v>
      </c>
      <c r="L49" s="30">
        <f t="shared" si="44"/>
        <v>2339.9</v>
      </c>
      <c r="M49" s="30">
        <f t="shared" ref="M49:N49" si="45">M50</f>
        <v>2553.5</v>
      </c>
      <c r="N49" s="30">
        <f t="shared" si="45"/>
        <v>462.4</v>
      </c>
      <c r="O49" s="27">
        <f t="shared" si="4"/>
        <v>18.108478558840808</v>
      </c>
    </row>
    <row r="50" spans="1:16" ht="31.5">
      <c r="A50" s="26" t="s">
        <v>206</v>
      </c>
      <c r="B50" s="216">
        <v>902</v>
      </c>
      <c r="C50" s="214" t="s">
        <v>171</v>
      </c>
      <c r="D50" s="214" t="s">
        <v>203</v>
      </c>
      <c r="E50" s="214" t="s">
        <v>207</v>
      </c>
      <c r="F50" s="214"/>
      <c r="G50" s="27">
        <f>G51+G53</f>
        <v>8079</v>
      </c>
      <c r="H50" s="27">
        <f>H51+H53</f>
        <v>7046.9000000000005</v>
      </c>
      <c r="I50" s="27">
        <f t="shared" ref="I50:L50" si="46">I51+I53</f>
        <v>8035.6</v>
      </c>
      <c r="J50" s="27">
        <f t="shared" si="46"/>
        <v>2339.9</v>
      </c>
      <c r="K50" s="27">
        <f t="shared" si="46"/>
        <v>2339.9</v>
      </c>
      <c r="L50" s="27">
        <f t="shared" si="46"/>
        <v>2339.9</v>
      </c>
      <c r="M50" s="27">
        <f t="shared" ref="M50:N50" si="47">M51+M53</f>
        <v>2553.5</v>
      </c>
      <c r="N50" s="27">
        <f t="shared" si="47"/>
        <v>462.4</v>
      </c>
      <c r="O50" s="27">
        <f t="shared" si="4"/>
        <v>18.108478558840808</v>
      </c>
    </row>
    <row r="51" spans="1:16" ht="94.5">
      <c r="A51" s="26" t="s">
        <v>180</v>
      </c>
      <c r="B51" s="216">
        <v>902</v>
      </c>
      <c r="C51" s="214" t="s">
        <v>171</v>
      </c>
      <c r="D51" s="214" t="s">
        <v>203</v>
      </c>
      <c r="E51" s="214" t="s">
        <v>207</v>
      </c>
      <c r="F51" s="214" t="s">
        <v>181</v>
      </c>
      <c r="G51" s="27">
        <f>G52</f>
        <v>5821.2</v>
      </c>
      <c r="H51" s="27">
        <f>H52</f>
        <v>5210.1000000000004</v>
      </c>
      <c r="I51" s="27">
        <f t="shared" ref="I51:L51" si="48">I52</f>
        <v>5817.2</v>
      </c>
      <c r="J51" s="27">
        <f t="shared" si="48"/>
        <v>2339.9</v>
      </c>
      <c r="K51" s="27">
        <f t="shared" si="48"/>
        <v>2339.9</v>
      </c>
      <c r="L51" s="27">
        <f t="shared" si="48"/>
        <v>2339.9</v>
      </c>
      <c r="M51" s="27">
        <f t="shared" ref="M51:N51" si="49">M52</f>
        <v>2553.5</v>
      </c>
      <c r="N51" s="27">
        <f t="shared" si="49"/>
        <v>462.4</v>
      </c>
      <c r="O51" s="27">
        <f t="shared" si="4"/>
        <v>18.108478558840808</v>
      </c>
    </row>
    <row r="52" spans="1:16" ht="31.5">
      <c r="A52" s="26" t="s">
        <v>182</v>
      </c>
      <c r="B52" s="216">
        <v>902</v>
      </c>
      <c r="C52" s="214" t="s">
        <v>171</v>
      </c>
      <c r="D52" s="214" t="s">
        <v>203</v>
      </c>
      <c r="E52" s="214" t="s">
        <v>207</v>
      </c>
      <c r="F52" s="214" t="s">
        <v>183</v>
      </c>
      <c r="G52" s="28">
        <f>6958.6+88.4-2398.3+1112.5+60</f>
        <v>5821.2</v>
      </c>
      <c r="H52" s="28">
        <v>5210.1000000000004</v>
      </c>
      <c r="I52" s="28">
        <v>5817.2</v>
      </c>
      <c r="J52" s="28">
        <v>2339.9</v>
      </c>
      <c r="K52" s="28">
        <v>2339.9</v>
      </c>
      <c r="L52" s="28">
        <v>2339.9</v>
      </c>
      <c r="M52" s="28">
        <f>2339.9+250-36.4</f>
        <v>2553.5</v>
      </c>
      <c r="N52" s="28">
        <v>462.4</v>
      </c>
      <c r="O52" s="27">
        <f t="shared" si="4"/>
        <v>18.108478558840808</v>
      </c>
    </row>
    <row r="53" spans="1:16" ht="31.5" hidden="1">
      <c r="A53" s="26" t="s">
        <v>184</v>
      </c>
      <c r="B53" s="216">
        <v>902</v>
      </c>
      <c r="C53" s="214" t="s">
        <v>171</v>
      </c>
      <c r="D53" s="214" t="s">
        <v>203</v>
      </c>
      <c r="E53" s="214" t="s">
        <v>207</v>
      </c>
      <c r="F53" s="214" t="s">
        <v>185</v>
      </c>
      <c r="G53" s="27">
        <f>G54</f>
        <v>2257.8000000000002</v>
      </c>
      <c r="H53" s="27">
        <f>H54</f>
        <v>1836.8</v>
      </c>
      <c r="I53" s="27">
        <f t="shared" ref="I53:L53" si="50">I54</f>
        <v>2218.4</v>
      </c>
      <c r="J53" s="27">
        <f t="shared" si="50"/>
        <v>0</v>
      </c>
      <c r="K53" s="27">
        <f t="shared" si="50"/>
        <v>0</v>
      </c>
      <c r="L53" s="27">
        <f t="shared" si="50"/>
        <v>0</v>
      </c>
      <c r="M53" s="27">
        <f t="shared" ref="M53:N53" si="51">M54</f>
        <v>0</v>
      </c>
      <c r="N53" s="27">
        <f t="shared" si="51"/>
        <v>0</v>
      </c>
      <c r="O53" s="22" t="e">
        <f t="shared" si="4"/>
        <v>#DIV/0!</v>
      </c>
    </row>
    <row r="54" spans="1:16" ht="47.25" hidden="1">
      <c r="A54" s="26" t="s">
        <v>186</v>
      </c>
      <c r="B54" s="216">
        <v>902</v>
      </c>
      <c r="C54" s="214" t="s">
        <v>171</v>
      </c>
      <c r="D54" s="214" t="s">
        <v>203</v>
      </c>
      <c r="E54" s="214" t="s">
        <v>207</v>
      </c>
      <c r="F54" s="214" t="s">
        <v>187</v>
      </c>
      <c r="G54" s="28">
        <f>2109.3+129.9+835.5-1438.1+621.2</f>
        <v>2257.8000000000002</v>
      </c>
      <c r="H54" s="28">
        <v>1836.8</v>
      </c>
      <c r="I54" s="28">
        <v>2218.4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2" t="e">
        <f t="shared" si="4"/>
        <v>#DIV/0!</v>
      </c>
    </row>
    <row r="55" spans="1:16" ht="63">
      <c r="A55" s="24" t="s">
        <v>172</v>
      </c>
      <c r="B55" s="213">
        <v>902</v>
      </c>
      <c r="C55" s="215" t="s">
        <v>171</v>
      </c>
      <c r="D55" s="215" t="s">
        <v>173</v>
      </c>
      <c r="E55" s="215"/>
      <c r="F55" s="214"/>
      <c r="G55" s="22">
        <f>G56</f>
        <v>1081.7</v>
      </c>
      <c r="H55" s="22">
        <f>H56</f>
        <v>917.4</v>
      </c>
      <c r="I55" s="22">
        <f t="shared" ref="I55:L55" si="52">I56</f>
        <v>1081.7</v>
      </c>
      <c r="J55" s="22">
        <f t="shared" si="52"/>
        <v>2634.4</v>
      </c>
      <c r="K55" s="22">
        <f t="shared" si="52"/>
        <v>2634.4</v>
      </c>
      <c r="L55" s="22">
        <f t="shared" si="52"/>
        <v>2634.4</v>
      </c>
      <c r="M55" s="22">
        <f t="shared" ref="M55:N57" si="53">M56</f>
        <v>1081.7</v>
      </c>
      <c r="N55" s="22">
        <f t="shared" si="53"/>
        <v>226.7</v>
      </c>
      <c r="O55" s="22">
        <f t="shared" si="4"/>
        <v>20.957751687159099</v>
      </c>
    </row>
    <row r="56" spans="1:16" ht="21" customHeight="1">
      <c r="A56" s="26" t="s">
        <v>174</v>
      </c>
      <c r="B56" s="216">
        <v>902</v>
      </c>
      <c r="C56" s="214" t="s">
        <v>171</v>
      </c>
      <c r="D56" s="214" t="s">
        <v>173</v>
      </c>
      <c r="E56" s="214" t="s">
        <v>175</v>
      </c>
      <c r="F56" s="214"/>
      <c r="G56" s="27">
        <f t="shared" ref="G56:L57" si="54">G57</f>
        <v>1081.7</v>
      </c>
      <c r="H56" s="27">
        <f t="shared" si="54"/>
        <v>917.4</v>
      </c>
      <c r="I56" s="27">
        <f t="shared" si="54"/>
        <v>1081.7</v>
      </c>
      <c r="J56" s="27">
        <f t="shared" si="54"/>
        <v>2634.4</v>
      </c>
      <c r="K56" s="27">
        <f t="shared" si="54"/>
        <v>2634.4</v>
      </c>
      <c r="L56" s="27">
        <f t="shared" si="54"/>
        <v>2634.4</v>
      </c>
      <c r="M56" s="27">
        <f t="shared" si="53"/>
        <v>1081.7</v>
      </c>
      <c r="N56" s="27">
        <f t="shared" si="53"/>
        <v>226.7</v>
      </c>
      <c r="O56" s="27">
        <f t="shared" si="4"/>
        <v>20.957751687159099</v>
      </c>
    </row>
    <row r="57" spans="1:16" ht="31.5">
      <c r="A57" s="26" t="s">
        <v>176</v>
      </c>
      <c r="B57" s="216">
        <v>902</v>
      </c>
      <c r="C57" s="214" t="s">
        <v>171</v>
      </c>
      <c r="D57" s="214" t="s">
        <v>173</v>
      </c>
      <c r="E57" s="214" t="s">
        <v>177</v>
      </c>
      <c r="F57" s="214"/>
      <c r="G57" s="27">
        <f>G58</f>
        <v>1081.7</v>
      </c>
      <c r="H57" s="27">
        <f>H58</f>
        <v>917.4</v>
      </c>
      <c r="I57" s="27">
        <f t="shared" si="54"/>
        <v>1081.7</v>
      </c>
      <c r="J57" s="27">
        <f t="shared" si="54"/>
        <v>2634.4</v>
      </c>
      <c r="K57" s="27">
        <f t="shared" si="54"/>
        <v>2634.4</v>
      </c>
      <c r="L57" s="27">
        <f t="shared" si="54"/>
        <v>2634.4</v>
      </c>
      <c r="M57" s="27">
        <f t="shared" si="53"/>
        <v>1081.7</v>
      </c>
      <c r="N57" s="27">
        <f t="shared" si="53"/>
        <v>226.7</v>
      </c>
      <c r="O57" s="27">
        <f t="shared" si="4"/>
        <v>20.957751687159099</v>
      </c>
    </row>
    <row r="58" spans="1:16" ht="47.25">
      <c r="A58" s="26" t="s">
        <v>178</v>
      </c>
      <c r="B58" s="216">
        <v>902</v>
      </c>
      <c r="C58" s="214" t="s">
        <v>171</v>
      </c>
      <c r="D58" s="214" t="s">
        <v>173</v>
      </c>
      <c r="E58" s="214" t="s">
        <v>179</v>
      </c>
      <c r="F58" s="214"/>
      <c r="G58" s="27">
        <f>G59+G61</f>
        <v>1081.7</v>
      </c>
      <c r="H58" s="27">
        <f>H59+H61</f>
        <v>917.4</v>
      </c>
      <c r="I58" s="27">
        <f t="shared" ref="I58:L58" si="55">I59+I61</f>
        <v>1081.7</v>
      </c>
      <c r="J58" s="27">
        <f t="shared" si="55"/>
        <v>2634.4</v>
      </c>
      <c r="K58" s="27">
        <f t="shared" si="55"/>
        <v>2634.4</v>
      </c>
      <c r="L58" s="27">
        <f t="shared" si="55"/>
        <v>2634.4</v>
      </c>
      <c r="M58" s="27">
        <f t="shared" ref="M58:N58" si="56">M59+M61</f>
        <v>1081.7</v>
      </c>
      <c r="N58" s="27">
        <f t="shared" si="56"/>
        <v>226.7</v>
      </c>
      <c r="O58" s="27">
        <f t="shared" si="4"/>
        <v>20.957751687159099</v>
      </c>
    </row>
    <row r="59" spans="1:16" ht="94.5">
      <c r="A59" s="26" t="s">
        <v>180</v>
      </c>
      <c r="B59" s="216">
        <v>902</v>
      </c>
      <c r="C59" s="214" t="s">
        <v>171</v>
      </c>
      <c r="D59" s="214" t="s">
        <v>173</v>
      </c>
      <c r="E59" s="214" t="s">
        <v>179</v>
      </c>
      <c r="F59" s="214" t="s">
        <v>181</v>
      </c>
      <c r="G59" s="27">
        <f>G60</f>
        <v>1081.7</v>
      </c>
      <c r="H59" s="27">
        <f>H60</f>
        <v>917.4</v>
      </c>
      <c r="I59" s="27">
        <f t="shared" ref="I59:L59" si="57">I60</f>
        <v>1081.7</v>
      </c>
      <c r="J59" s="27">
        <f t="shared" si="57"/>
        <v>2634.4</v>
      </c>
      <c r="K59" s="27">
        <f t="shared" si="57"/>
        <v>2634.4</v>
      </c>
      <c r="L59" s="27">
        <f t="shared" si="57"/>
        <v>2634.4</v>
      </c>
      <c r="M59" s="27">
        <f t="shared" ref="M59:N59" si="58">M60</f>
        <v>1081.7</v>
      </c>
      <c r="N59" s="27">
        <f t="shared" si="58"/>
        <v>226.7</v>
      </c>
      <c r="O59" s="27">
        <f t="shared" si="4"/>
        <v>20.957751687159099</v>
      </c>
    </row>
    <row r="60" spans="1:16" ht="31.5">
      <c r="A60" s="26" t="s">
        <v>182</v>
      </c>
      <c r="B60" s="216">
        <v>902</v>
      </c>
      <c r="C60" s="214" t="s">
        <v>171</v>
      </c>
      <c r="D60" s="214" t="s">
        <v>173</v>
      </c>
      <c r="E60" s="214" t="s">
        <v>179</v>
      </c>
      <c r="F60" s="214" t="s">
        <v>183</v>
      </c>
      <c r="G60" s="28">
        <f>1081.7</f>
        <v>1081.7</v>
      </c>
      <c r="H60" s="28">
        <v>917.4</v>
      </c>
      <c r="I60" s="28">
        <v>1081.7</v>
      </c>
      <c r="J60" s="28">
        <v>2634.4</v>
      </c>
      <c r="K60" s="28">
        <v>2634.4</v>
      </c>
      <c r="L60" s="28">
        <v>2634.4</v>
      </c>
      <c r="M60" s="28">
        <f t="shared" ref="M60" si="59">1081.7</f>
        <v>1081.7</v>
      </c>
      <c r="N60" s="28">
        <v>226.7</v>
      </c>
      <c r="O60" s="27">
        <f t="shared" si="4"/>
        <v>20.957751687159099</v>
      </c>
    </row>
    <row r="61" spans="1:16" ht="31.5" hidden="1" customHeight="1">
      <c r="A61" s="26" t="s">
        <v>184</v>
      </c>
      <c r="B61" s="216">
        <v>902</v>
      </c>
      <c r="C61" s="214" t="s">
        <v>171</v>
      </c>
      <c r="D61" s="214" t="s">
        <v>173</v>
      </c>
      <c r="E61" s="214" t="s">
        <v>179</v>
      </c>
      <c r="F61" s="214" t="s">
        <v>185</v>
      </c>
      <c r="G61" s="28">
        <f>G62</f>
        <v>0</v>
      </c>
      <c r="H61" s="28">
        <f>H62</f>
        <v>0</v>
      </c>
      <c r="I61" s="28">
        <f t="shared" ref="I61:L61" si="60">I62</f>
        <v>0</v>
      </c>
      <c r="J61" s="28">
        <f t="shared" si="60"/>
        <v>0</v>
      </c>
      <c r="K61" s="28">
        <f t="shared" si="60"/>
        <v>0</v>
      </c>
      <c r="L61" s="28">
        <f t="shared" si="60"/>
        <v>0</v>
      </c>
      <c r="M61" s="28">
        <f t="shared" ref="M61:N61" si="61">M62</f>
        <v>0</v>
      </c>
      <c r="N61" s="28">
        <f t="shared" si="61"/>
        <v>0</v>
      </c>
      <c r="O61" s="22" t="e">
        <f t="shared" si="4"/>
        <v>#DIV/0!</v>
      </c>
    </row>
    <row r="62" spans="1:16" ht="47.25" hidden="1" customHeight="1">
      <c r="A62" s="26" t="s">
        <v>186</v>
      </c>
      <c r="B62" s="216">
        <v>902</v>
      </c>
      <c r="C62" s="214" t="s">
        <v>171</v>
      </c>
      <c r="D62" s="214" t="s">
        <v>173</v>
      </c>
      <c r="E62" s="214" t="s">
        <v>179</v>
      </c>
      <c r="F62" s="214" t="s">
        <v>187</v>
      </c>
      <c r="G62" s="28"/>
      <c r="H62" s="28"/>
      <c r="I62" s="28"/>
      <c r="J62" s="28"/>
      <c r="K62" s="28"/>
      <c r="L62" s="28"/>
      <c r="M62" s="28"/>
      <c r="N62" s="28"/>
      <c r="O62" s="22" t="e">
        <f t="shared" si="4"/>
        <v>#DIV/0!</v>
      </c>
    </row>
    <row r="63" spans="1:16" ht="15.75">
      <c r="A63" s="24" t="s">
        <v>192</v>
      </c>
      <c r="B63" s="213">
        <v>902</v>
      </c>
      <c r="C63" s="215" t="s">
        <v>171</v>
      </c>
      <c r="D63" s="215" t="s">
        <v>193</v>
      </c>
      <c r="E63" s="215"/>
      <c r="F63" s="215"/>
      <c r="G63" s="22">
        <f>G64+G68+G80+G93+G107+G97</f>
        <v>13472.8</v>
      </c>
      <c r="H63" s="22">
        <f>H64+H68+H80+H93+H107+H97</f>
        <v>8996.5</v>
      </c>
      <c r="I63" s="22">
        <f>I64+I68+I80+I93+I107+I97</f>
        <v>13403.699999999999</v>
      </c>
      <c r="J63" s="22">
        <f t="shared" ref="J63:L63" si="62">J64+J68+J80+J93+J107+J97</f>
        <v>14455.199999999999</v>
      </c>
      <c r="K63" s="22">
        <f t="shared" si="62"/>
        <v>14601.1</v>
      </c>
      <c r="L63" s="22">
        <f t="shared" si="62"/>
        <v>14727.4</v>
      </c>
      <c r="M63" s="22">
        <f>M64+M68+M80+M93+M107+M97</f>
        <v>10859.9</v>
      </c>
      <c r="N63" s="22">
        <f t="shared" ref="N63" si="63">N64+N68+N80+N93+N107+N97</f>
        <v>1406.7</v>
      </c>
      <c r="O63" s="22">
        <f t="shared" si="4"/>
        <v>12.953157948047405</v>
      </c>
      <c r="P63" s="140"/>
    </row>
    <row r="64" spans="1:16" ht="51" hidden="1" customHeight="1">
      <c r="A64" s="26" t="s">
        <v>208</v>
      </c>
      <c r="B64" s="216">
        <v>902</v>
      </c>
      <c r="C64" s="214" t="s">
        <v>171</v>
      </c>
      <c r="D64" s="214" t="s">
        <v>193</v>
      </c>
      <c r="E64" s="214" t="s">
        <v>209</v>
      </c>
      <c r="F64" s="214"/>
      <c r="G64" s="27">
        <f>G65</f>
        <v>250</v>
      </c>
      <c r="H64" s="27">
        <f t="shared" ref="H64:H66" si="64">H65</f>
        <v>0</v>
      </c>
      <c r="I64" s="27">
        <f t="shared" ref="I64:L66" si="65">I65</f>
        <v>250</v>
      </c>
      <c r="J64" s="27">
        <f t="shared" si="65"/>
        <v>0</v>
      </c>
      <c r="K64" s="27">
        <f t="shared" si="65"/>
        <v>0</v>
      </c>
      <c r="L64" s="27">
        <f t="shared" si="65"/>
        <v>0</v>
      </c>
      <c r="M64" s="27">
        <f t="shared" ref="M64:N66" si="66">M65</f>
        <v>0</v>
      </c>
      <c r="N64" s="27">
        <f t="shared" si="66"/>
        <v>0</v>
      </c>
      <c r="O64" s="22" t="e">
        <f t="shared" si="4"/>
        <v>#DIV/0!</v>
      </c>
    </row>
    <row r="65" spans="1:15" ht="31.5" hidden="1">
      <c r="A65" s="26" t="s">
        <v>210</v>
      </c>
      <c r="B65" s="216">
        <v>902</v>
      </c>
      <c r="C65" s="214" t="s">
        <v>171</v>
      </c>
      <c r="D65" s="214" t="s">
        <v>193</v>
      </c>
      <c r="E65" s="214" t="s">
        <v>211</v>
      </c>
      <c r="F65" s="214"/>
      <c r="G65" s="27">
        <f>G66</f>
        <v>250</v>
      </c>
      <c r="H65" s="27">
        <f t="shared" si="64"/>
        <v>0</v>
      </c>
      <c r="I65" s="27">
        <f t="shared" si="65"/>
        <v>250</v>
      </c>
      <c r="J65" s="27">
        <f t="shared" si="65"/>
        <v>0</v>
      </c>
      <c r="K65" s="27">
        <f t="shared" si="65"/>
        <v>0</v>
      </c>
      <c r="L65" s="27">
        <f t="shared" si="65"/>
        <v>0</v>
      </c>
      <c r="M65" s="27">
        <f t="shared" si="66"/>
        <v>0</v>
      </c>
      <c r="N65" s="27">
        <f t="shared" si="66"/>
        <v>0</v>
      </c>
      <c r="O65" s="22" t="e">
        <f t="shared" si="4"/>
        <v>#DIV/0!</v>
      </c>
    </row>
    <row r="66" spans="1:15" ht="15.75" hidden="1">
      <c r="A66" s="26" t="s">
        <v>188</v>
      </c>
      <c r="B66" s="216">
        <v>902</v>
      </c>
      <c r="C66" s="214" t="s">
        <v>171</v>
      </c>
      <c r="D66" s="214" t="s">
        <v>193</v>
      </c>
      <c r="E66" s="214" t="s">
        <v>211</v>
      </c>
      <c r="F66" s="214" t="s">
        <v>198</v>
      </c>
      <c r="G66" s="27">
        <f>G67</f>
        <v>250</v>
      </c>
      <c r="H66" s="27">
        <f t="shared" si="64"/>
        <v>0</v>
      </c>
      <c r="I66" s="27">
        <f t="shared" si="65"/>
        <v>250</v>
      </c>
      <c r="J66" s="27">
        <f t="shared" si="65"/>
        <v>0</v>
      </c>
      <c r="K66" s="27">
        <f t="shared" si="65"/>
        <v>0</v>
      </c>
      <c r="L66" s="27">
        <f t="shared" si="65"/>
        <v>0</v>
      </c>
      <c r="M66" s="27">
        <f t="shared" si="66"/>
        <v>0</v>
      </c>
      <c r="N66" s="27">
        <f t="shared" si="66"/>
        <v>0</v>
      </c>
      <c r="O66" s="22" t="e">
        <f t="shared" si="4"/>
        <v>#DIV/0!</v>
      </c>
    </row>
    <row r="67" spans="1:15" ht="66.75" hidden="1" customHeight="1">
      <c r="A67" s="26" t="s">
        <v>212</v>
      </c>
      <c r="B67" s="216">
        <v>902</v>
      </c>
      <c r="C67" s="214" t="s">
        <v>171</v>
      </c>
      <c r="D67" s="214" t="s">
        <v>193</v>
      </c>
      <c r="E67" s="214" t="s">
        <v>211</v>
      </c>
      <c r="F67" s="214" t="s">
        <v>213</v>
      </c>
      <c r="G67" s="27">
        <f>100+150</f>
        <v>250</v>
      </c>
      <c r="H67" s="27">
        <v>0</v>
      </c>
      <c r="I67" s="27">
        <f t="shared" ref="I67" si="67">100+150</f>
        <v>250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2" t="e">
        <f t="shared" si="4"/>
        <v>#DIV/0!</v>
      </c>
    </row>
    <row r="68" spans="1:15" ht="47.25">
      <c r="A68" s="26" t="s">
        <v>960</v>
      </c>
      <c r="B68" s="216">
        <v>902</v>
      </c>
      <c r="C68" s="214" t="s">
        <v>171</v>
      </c>
      <c r="D68" s="214" t="s">
        <v>193</v>
      </c>
      <c r="E68" s="214" t="s">
        <v>215</v>
      </c>
      <c r="F68" s="214"/>
      <c r="G68" s="27">
        <f>G69+G72+G77</f>
        <v>653.5</v>
      </c>
      <c r="H68" s="27">
        <f>H69+H72+H77</f>
        <v>412.49999999999994</v>
      </c>
      <c r="I68" s="27">
        <f t="shared" ref="I68:L68" si="68">I69+I72+I77</f>
        <v>653.5</v>
      </c>
      <c r="J68" s="27">
        <f t="shared" si="68"/>
        <v>668.5</v>
      </c>
      <c r="K68" s="27">
        <f t="shared" si="68"/>
        <v>668.5</v>
      </c>
      <c r="L68" s="27">
        <f t="shared" si="68"/>
        <v>668.5</v>
      </c>
      <c r="M68" s="27">
        <f t="shared" ref="M68:N68" si="69">M69+M72+M77</f>
        <v>740.5</v>
      </c>
      <c r="N68" s="27">
        <f t="shared" si="69"/>
        <v>102.80000000000001</v>
      </c>
      <c r="O68" s="27">
        <f t="shared" si="4"/>
        <v>13.882511816340312</v>
      </c>
    </row>
    <row r="69" spans="1:15" ht="31.5">
      <c r="A69" s="31" t="s">
        <v>216</v>
      </c>
      <c r="B69" s="216">
        <v>902</v>
      </c>
      <c r="C69" s="214" t="s">
        <v>171</v>
      </c>
      <c r="D69" s="214" t="s">
        <v>193</v>
      </c>
      <c r="E69" s="217" t="s">
        <v>217</v>
      </c>
      <c r="F69" s="214"/>
      <c r="G69" s="27">
        <f>G70</f>
        <v>428.1</v>
      </c>
      <c r="H69" s="27">
        <f>H70</f>
        <v>269.89999999999998</v>
      </c>
      <c r="I69" s="27">
        <f t="shared" ref="I69:L70" si="70">I70</f>
        <v>428.1</v>
      </c>
      <c r="J69" s="27">
        <f t="shared" si="70"/>
        <v>428.1</v>
      </c>
      <c r="K69" s="27">
        <f t="shared" si="70"/>
        <v>428.1</v>
      </c>
      <c r="L69" s="27">
        <f t="shared" si="70"/>
        <v>428.1</v>
      </c>
      <c r="M69" s="27">
        <f t="shared" ref="M69:N70" si="71">M70</f>
        <v>491</v>
      </c>
      <c r="N69" s="27">
        <f t="shared" si="71"/>
        <v>80.2</v>
      </c>
      <c r="O69" s="27">
        <f t="shared" si="4"/>
        <v>16.334012219959266</v>
      </c>
    </row>
    <row r="70" spans="1:15" ht="31.5">
      <c r="A70" s="26" t="s">
        <v>184</v>
      </c>
      <c r="B70" s="216">
        <v>902</v>
      </c>
      <c r="C70" s="214" t="s">
        <v>171</v>
      </c>
      <c r="D70" s="214" t="s">
        <v>193</v>
      </c>
      <c r="E70" s="217" t="s">
        <v>217</v>
      </c>
      <c r="F70" s="214" t="s">
        <v>185</v>
      </c>
      <c r="G70" s="27">
        <f>G71</f>
        <v>428.1</v>
      </c>
      <c r="H70" s="27">
        <f>H71</f>
        <v>269.89999999999998</v>
      </c>
      <c r="I70" s="27">
        <f t="shared" si="70"/>
        <v>428.1</v>
      </c>
      <c r="J70" s="27">
        <f t="shared" si="70"/>
        <v>428.1</v>
      </c>
      <c r="K70" s="27">
        <f t="shared" si="70"/>
        <v>428.1</v>
      </c>
      <c r="L70" s="27">
        <f t="shared" si="70"/>
        <v>428.1</v>
      </c>
      <c r="M70" s="27">
        <f t="shared" si="71"/>
        <v>491</v>
      </c>
      <c r="N70" s="27">
        <f t="shared" si="71"/>
        <v>80.2</v>
      </c>
      <c r="O70" s="27">
        <f t="shared" si="4"/>
        <v>16.334012219959266</v>
      </c>
    </row>
    <row r="71" spans="1:15" ht="47.25">
      <c r="A71" s="26" t="s">
        <v>186</v>
      </c>
      <c r="B71" s="216">
        <v>902</v>
      </c>
      <c r="C71" s="214" t="s">
        <v>171</v>
      </c>
      <c r="D71" s="214" t="s">
        <v>193</v>
      </c>
      <c r="E71" s="217" t="s">
        <v>217</v>
      </c>
      <c r="F71" s="214" t="s">
        <v>187</v>
      </c>
      <c r="G71" s="27">
        <f>494.3-66.2</f>
        <v>428.1</v>
      </c>
      <c r="H71" s="27">
        <v>269.89999999999998</v>
      </c>
      <c r="I71" s="27">
        <f t="shared" ref="I71:L71" si="72">494.3-66.2</f>
        <v>428.1</v>
      </c>
      <c r="J71" s="27">
        <f t="shared" si="72"/>
        <v>428.1</v>
      </c>
      <c r="K71" s="27">
        <f t="shared" si="72"/>
        <v>428.1</v>
      </c>
      <c r="L71" s="27">
        <f t="shared" si="72"/>
        <v>428.1</v>
      </c>
      <c r="M71" s="27">
        <f>428.1+62.9</f>
        <v>491</v>
      </c>
      <c r="N71" s="27">
        <v>80.2</v>
      </c>
      <c r="O71" s="27">
        <f t="shared" si="4"/>
        <v>16.334012219959266</v>
      </c>
    </row>
    <row r="72" spans="1:15" ht="63">
      <c r="A72" s="206" t="s">
        <v>218</v>
      </c>
      <c r="B72" s="216">
        <v>902</v>
      </c>
      <c r="C72" s="214" t="s">
        <v>171</v>
      </c>
      <c r="D72" s="214" t="s">
        <v>193</v>
      </c>
      <c r="E72" s="217" t="s">
        <v>219</v>
      </c>
      <c r="F72" s="214"/>
      <c r="G72" s="27">
        <f>G73+G75</f>
        <v>224.89999999999998</v>
      </c>
      <c r="H72" s="27">
        <f>H73+H75</f>
        <v>142.4</v>
      </c>
      <c r="I72" s="27">
        <f t="shared" ref="I72:L72" si="73">I73+I75</f>
        <v>224.89999999999998</v>
      </c>
      <c r="J72" s="27">
        <f t="shared" si="73"/>
        <v>239.89999999999998</v>
      </c>
      <c r="K72" s="27">
        <f t="shared" si="73"/>
        <v>239.89999999999998</v>
      </c>
      <c r="L72" s="27">
        <f t="shared" si="73"/>
        <v>239.89999999999998</v>
      </c>
      <c r="M72" s="27">
        <f t="shared" ref="M72:N72" si="74">M73+M75</f>
        <v>249.5</v>
      </c>
      <c r="N72" s="27">
        <f t="shared" si="74"/>
        <v>22.6</v>
      </c>
      <c r="O72" s="27">
        <f t="shared" si="4"/>
        <v>9.0581162324649291</v>
      </c>
    </row>
    <row r="73" spans="1:15" ht="94.5">
      <c r="A73" s="26" t="s">
        <v>180</v>
      </c>
      <c r="B73" s="216">
        <v>902</v>
      </c>
      <c r="C73" s="214" t="s">
        <v>171</v>
      </c>
      <c r="D73" s="214" t="s">
        <v>193</v>
      </c>
      <c r="E73" s="217" t="s">
        <v>219</v>
      </c>
      <c r="F73" s="214" t="s">
        <v>181</v>
      </c>
      <c r="G73" s="27">
        <f>G74</f>
        <v>159.69999999999999</v>
      </c>
      <c r="H73" s="27">
        <f>H74</f>
        <v>79.900000000000006</v>
      </c>
      <c r="I73" s="27">
        <f t="shared" ref="I73:L73" si="75">I74</f>
        <v>159.69999999999999</v>
      </c>
      <c r="J73" s="27">
        <f t="shared" si="75"/>
        <v>159.69999999999999</v>
      </c>
      <c r="K73" s="27">
        <f t="shared" si="75"/>
        <v>159.69999999999999</v>
      </c>
      <c r="L73" s="27">
        <f t="shared" si="75"/>
        <v>159.69999999999999</v>
      </c>
      <c r="M73" s="27">
        <f t="shared" ref="M73:N73" si="76">M74</f>
        <v>159.69999999999999</v>
      </c>
      <c r="N73" s="27">
        <f t="shared" si="76"/>
        <v>22.6</v>
      </c>
      <c r="O73" s="27">
        <f t="shared" si="4"/>
        <v>14.151534126487164</v>
      </c>
    </row>
    <row r="74" spans="1:15" ht="31.5">
      <c r="A74" s="26" t="s">
        <v>182</v>
      </c>
      <c r="B74" s="216">
        <v>902</v>
      </c>
      <c r="C74" s="214" t="s">
        <v>171</v>
      </c>
      <c r="D74" s="214" t="s">
        <v>193</v>
      </c>
      <c r="E74" s="217" t="s">
        <v>219</v>
      </c>
      <c r="F74" s="214" t="s">
        <v>183</v>
      </c>
      <c r="G74" s="27">
        <v>159.69999999999999</v>
      </c>
      <c r="H74" s="27">
        <v>79.900000000000006</v>
      </c>
      <c r="I74" s="27">
        <v>159.69999999999999</v>
      </c>
      <c r="J74" s="27">
        <v>159.69999999999999</v>
      </c>
      <c r="K74" s="27">
        <v>159.69999999999999</v>
      </c>
      <c r="L74" s="27">
        <v>159.69999999999999</v>
      </c>
      <c r="M74" s="27">
        <v>159.69999999999999</v>
      </c>
      <c r="N74" s="27">
        <v>22.6</v>
      </c>
      <c r="O74" s="27">
        <f t="shared" si="4"/>
        <v>14.151534126487164</v>
      </c>
    </row>
    <row r="75" spans="1:15" ht="31.5">
      <c r="A75" s="26" t="s">
        <v>184</v>
      </c>
      <c r="B75" s="216">
        <v>902</v>
      </c>
      <c r="C75" s="214" t="s">
        <v>171</v>
      </c>
      <c r="D75" s="214" t="s">
        <v>193</v>
      </c>
      <c r="E75" s="217" t="s">
        <v>219</v>
      </c>
      <c r="F75" s="214" t="s">
        <v>185</v>
      </c>
      <c r="G75" s="27">
        <f>G76</f>
        <v>65.2</v>
      </c>
      <c r="H75" s="27">
        <f>H76</f>
        <v>62.5</v>
      </c>
      <c r="I75" s="27">
        <f t="shared" ref="I75:L75" si="77">I76</f>
        <v>65.2</v>
      </c>
      <c r="J75" s="27">
        <f t="shared" si="77"/>
        <v>80.199999999999989</v>
      </c>
      <c r="K75" s="27">
        <f t="shared" si="77"/>
        <v>80.199999999999989</v>
      </c>
      <c r="L75" s="27">
        <f t="shared" si="77"/>
        <v>80.199999999999989</v>
      </c>
      <c r="M75" s="27">
        <f t="shared" ref="M75:N75" si="78">M76</f>
        <v>89.800000000000011</v>
      </c>
      <c r="N75" s="27">
        <f t="shared" si="78"/>
        <v>0</v>
      </c>
      <c r="O75" s="27">
        <f t="shared" si="4"/>
        <v>0</v>
      </c>
    </row>
    <row r="76" spans="1:15" ht="47.25">
      <c r="A76" s="26" t="s">
        <v>186</v>
      </c>
      <c r="B76" s="216">
        <v>902</v>
      </c>
      <c r="C76" s="214" t="s">
        <v>171</v>
      </c>
      <c r="D76" s="214" t="s">
        <v>193</v>
      </c>
      <c r="E76" s="217" t="s">
        <v>219</v>
      </c>
      <c r="F76" s="214" t="s">
        <v>187</v>
      </c>
      <c r="G76" s="27">
        <f>66.2-0.5-0.5</f>
        <v>65.2</v>
      </c>
      <c r="H76" s="27">
        <v>62.5</v>
      </c>
      <c r="I76" s="27">
        <f t="shared" ref="I76" si="79">66.2-0.5-0.5</f>
        <v>65.2</v>
      </c>
      <c r="J76" s="27">
        <f>669-J71-J74-J79-0.5</f>
        <v>80.199999999999989</v>
      </c>
      <c r="K76" s="27">
        <f>J76</f>
        <v>80.199999999999989</v>
      </c>
      <c r="L76" s="27">
        <f>K76</f>
        <v>80.199999999999989</v>
      </c>
      <c r="M76" s="27">
        <f>65.2+24.6</f>
        <v>89.800000000000011</v>
      </c>
      <c r="N76" s="27">
        <v>0</v>
      </c>
      <c r="O76" s="27">
        <f t="shared" si="4"/>
        <v>0</v>
      </c>
    </row>
    <row r="77" spans="1:15" ht="47.25" hidden="1">
      <c r="A77" s="35" t="s">
        <v>244</v>
      </c>
      <c r="B77" s="216">
        <v>902</v>
      </c>
      <c r="C77" s="214" t="s">
        <v>171</v>
      </c>
      <c r="D77" s="214" t="s">
        <v>193</v>
      </c>
      <c r="E77" s="217" t="s">
        <v>766</v>
      </c>
      <c r="F77" s="214"/>
      <c r="G77" s="27">
        <f>G78</f>
        <v>0.5</v>
      </c>
      <c r="H77" s="27">
        <f>H78</f>
        <v>0.2</v>
      </c>
      <c r="I77" s="27">
        <f t="shared" ref="I77:L78" si="80">I78</f>
        <v>0.5</v>
      </c>
      <c r="J77" s="27">
        <f t="shared" si="80"/>
        <v>0.5</v>
      </c>
      <c r="K77" s="27">
        <f t="shared" si="80"/>
        <v>0.5</v>
      </c>
      <c r="L77" s="27">
        <f t="shared" si="80"/>
        <v>0.5</v>
      </c>
      <c r="M77" s="27">
        <f t="shared" ref="M77:N78" si="81">M78</f>
        <v>0</v>
      </c>
      <c r="N77" s="27">
        <f t="shared" si="81"/>
        <v>0</v>
      </c>
      <c r="O77" s="27" t="e">
        <f t="shared" ref="O77:O140" si="82">N77/M77*100</f>
        <v>#DIV/0!</v>
      </c>
    </row>
    <row r="78" spans="1:15" ht="31.5" hidden="1">
      <c r="A78" s="26" t="s">
        <v>184</v>
      </c>
      <c r="B78" s="216">
        <v>902</v>
      </c>
      <c r="C78" s="214" t="s">
        <v>171</v>
      </c>
      <c r="D78" s="214" t="s">
        <v>193</v>
      </c>
      <c r="E78" s="217" t="s">
        <v>766</v>
      </c>
      <c r="F78" s="214" t="s">
        <v>185</v>
      </c>
      <c r="G78" s="27">
        <f>G79</f>
        <v>0.5</v>
      </c>
      <c r="H78" s="27">
        <f>H79</f>
        <v>0.2</v>
      </c>
      <c r="I78" s="27">
        <f t="shared" si="80"/>
        <v>0.5</v>
      </c>
      <c r="J78" s="27">
        <f t="shared" si="80"/>
        <v>0.5</v>
      </c>
      <c r="K78" s="27">
        <f t="shared" si="80"/>
        <v>0.5</v>
      </c>
      <c r="L78" s="27">
        <f t="shared" si="80"/>
        <v>0.5</v>
      </c>
      <c r="M78" s="27">
        <f t="shared" si="81"/>
        <v>0</v>
      </c>
      <c r="N78" s="27">
        <f t="shared" si="81"/>
        <v>0</v>
      </c>
      <c r="O78" s="27" t="e">
        <f t="shared" si="82"/>
        <v>#DIV/0!</v>
      </c>
    </row>
    <row r="79" spans="1:15" ht="47.25" hidden="1">
      <c r="A79" s="26" t="s">
        <v>186</v>
      </c>
      <c r="B79" s="216">
        <v>902</v>
      </c>
      <c r="C79" s="214" t="s">
        <v>171</v>
      </c>
      <c r="D79" s="214" t="s">
        <v>193</v>
      </c>
      <c r="E79" s="217" t="s">
        <v>766</v>
      </c>
      <c r="F79" s="214" t="s">
        <v>187</v>
      </c>
      <c r="G79" s="27">
        <v>0.5</v>
      </c>
      <c r="H79" s="27">
        <v>0.2</v>
      </c>
      <c r="I79" s="27">
        <v>0.5</v>
      </c>
      <c r="J79" s="27">
        <v>0.5</v>
      </c>
      <c r="K79" s="27">
        <v>0.5</v>
      </c>
      <c r="L79" s="27">
        <v>0.5</v>
      </c>
      <c r="M79" s="27">
        <f>0.5-0.5</f>
        <v>0</v>
      </c>
      <c r="N79" s="27">
        <f t="shared" ref="N79" si="83">0.5-0.5</f>
        <v>0</v>
      </c>
      <c r="O79" s="27" t="e">
        <f t="shared" si="82"/>
        <v>#DIV/0!</v>
      </c>
    </row>
    <row r="80" spans="1:15" ht="94.5">
      <c r="A80" s="31" t="s">
        <v>220</v>
      </c>
      <c r="B80" s="216">
        <v>902</v>
      </c>
      <c r="C80" s="218" t="s">
        <v>171</v>
      </c>
      <c r="D80" s="218" t="s">
        <v>193</v>
      </c>
      <c r="E80" s="219" t="s">
        <v>221</v>
      </c>
      <c r="F80" s="218"/>
      <c r="G80" s="27">
        <f>G81+G85+G89</f>
        <v>80</v>
      </c>
      <c r="H80" s="27">
        <f>H81+H85+H89</f>
        <v>14.6</v>
      </c>
      <c r="I80" s="27">
        <f>I81+I85+I89</f>
        <v>80</v>
      </c>
      <c r="J80" s="27">
        <f t="shared" ref="J80:M80" si="84">J81+J85+J89</f>
        <v>120</v>
      </c>
      <c r="K80" s="27">
        <f t="shared" si="84"/>
        <v>120</v>
      </c>
      <c r="L80" s="27">
        <f t="shared" si="84"/>
        <v>120</v>
      </c>
      <c r="M80" s="27">
        <f t="shared" si="84"/>
        <v>95</v>
      </c>
      <c r="N80" s="27">
        <f t="shared" ref="N80" si="85">N81+N85+N89</f>
        <v>0</v>
      </c>
      <c r="O80" s="27">
        <f t="shared" si="82"/>
        <v>0</v>
      </c>
    </row>
    <row r="81" spans="1:15" ht="78.75" hidden="1">
      <c r="A81" s="31" t="s">
        <v>222</v>
      </c>
      <c r="B81" s="216">
        <v>902</v>
      </c>
      <c r="C81" s="218" t="s">
        <v>171</v>
      </c>
      <c r="D81" s="218" t="s">
        <v>193</v>
      </c>
      <c r="E81" s="220" t="s">
        <v>223</v>
      </c>
      <c r="F81" s="218"/>
      <c r="G81" s="27">
        <f>G82</f>
        <v>15</v>
      </c>
      <c r="H81" s="27">
        <f t="shared" ref="H81:H83" si="86">H82</f>
        <v>7.3</v>
      </c>
      <c r="I81" s="27">
        <f t="shared" ref="I81:L83" si="87">I82</f>
        <v>15</v>
      </c>
      <c r="J81" s="27">
        <f t="shared" si="87"/>
        <v>25</v>
      </c>
      <c r="K81" s="27">
        <f t="shared" si="87"/>
        <v>25</v>
      </c>
      <c r="L81" s="27">
        <f t="shared" si="87"/>
        <v>25</v>
      </c>
      <c r="M81" s="27">
        <f t="shared" ref="M81:N83" si="88">M82</f>
        <v>0</v>
      </c>
      <c r="N81" s="27">
        <f t="shared" si="88"/>
        <v>0</v>
      </c>
      <c r="O81" s="27" t="e">
        <f t="shared" si="82"/>
        <v>#DIV/0!</v>
      </c>
    </row>
    <row r="82" spans="1:15" ht="31.5" hidden="1">
      <c r="A82" s="206" t="s">
        <v>224</v>
      </c>
      <c r="B82" s="216">
        <v>902</v>
      </c>
      <c r="C82" s="218" t="s">
        <v>171</v>
      </c>
      <c r="D82" s="218" t="s">
        <v>193</v>
      </c>
      <c r="E82" s="219" t="s">
        <v>225</v>
      </c>
      <c r="F82" s="218"/>
      <c r="G82" s="27">
        <f>G83</f>
        <v>15</v>
      </c>
      <c r="H82" s="27">
        <f t="shared" si="86"/>
        <v>7.3</v>
      </c>
      <c r="I82" s="27">
        <f t="shared" si="87"/>
        <v>15</v>
      </c>
      <c r="J82" s="27">
        <f t="shared" si="87"/>
        <v>25</v>
      </c>
      <c r="K82" s="27">
        <f t="shared" si="87"/>
        <v>25</v>
      </c>
      <c r="L82" s="27">
        <f t="shared" si="87"/>
        <v>25</v>
      </c>
      <c r="M82" s="27">
        <f t="shared" si="88"/>
        <v>0</v>
      </c>
      <c r="N82" s="27">
        <f t="shared" si="88"/>
        <v>0</v>
      </c>
      <c r="O82" s="27" t="e">
        <f t="shared" si="82"/>
        <v>#DIV/0!</v>
      </c>
    </row>
    <row r="83" spans="1:15" ht="31.5" hidden="1">
      <c r="A83" s="26" t="s">
        <v>184</v>
      </c>
      <c r="B83" s="216">
        <v>902</v>
      </c>
      <c r="C83" s="218" t="s">
        <v>171</v>
      </c>
      <c r="D83" s="218" t="s">
        <v>193</v>
      </c>
      <c r="E83" s="219" t="s">
        <v>225</v>
      </c>
      <c r="F83" s="218" t="s">
        <v>185</v>
      </c>
      <c r="G83" s="27">
        <f>G84</f>
        <v>15</v>
      </c>
      <c r="H83" s="27">
        <f t="shared" si="86"/>
        <v>7.3</v>
      </c>
      <c r="I83" s="27">
        <f t="shared" si="87"/>
        <v>15</v>
      </c>
      <c r="J83" s="27">
        <f t="shared" si="87"/>
        <v>25</v>
      </c>
      <c r="K83" s="27">
        <f t="shared" si="87"/>
        <v>25</v>
      </c>
      <c r="L83" s="27">
        <f t="shared" si="87"/>
        <v>25</v>
      </c>
      <c r="M83" s="27">
        <f t="shared" si="88"/>
        <v>0</v>
      </c>
      <c r="N83" s="27">
        <f t="shared" si="88"/>
        <v>0</v>
      </c>
      <c r="O83" s="27" t="e">
        <f t="shared" si="82"/>
        <v>#DIV/0!</v>
      </c>
    </row>
    <row r="84" spans="1:15" ht="47.25" hidden="1">
      <c r="A84" s="26" t="s">
        <v>186</v>
      </c>
      <c r="B84" s="216">
        <v>902</v>
      </c>
      <c r="C84" s="218" t="s">
        <v>171</v>
      </c>
      <c r="D84" s="218" t="s">
        <v>193</v>
      </c>
      <c r="E84" s="219" t="s">
        <v>225</v>
      </c>
      <c r="F84" s="218" t="s">
        <v>187</v>
      </c>
      <c r="G84" s="27">
        <v>15</v>
      </c>
      <c r="H84" s="27">
        <v>7.3</v>
      </c>
      <c r="I84" s="27">
        <v>15</v>
      </c>
      <c r="J84" s="27">
        <v>25</v>
      </c>
      <c r="K84" s="27">
        <v>25</v>
      </c>
      <c r="L84" s="27">
        <v>25</v>
      </c>
      <c r="M84" s="27">
        <f>25-25</f>
        <v>0</v>
      </c>
      <c r="N84" s="27">
        <f t="shared" ref="N84" si="89">25-25</f>
        <v>0</v>
      </c>
      <c r="O84" s="27" t="e">
        <f t="shared" si="82"/>
        <v>#DIV/0!</v>
      </c>
    </row>
    <row r="85" spans="1:15" ht="63">
      <c r="A85" s="31" t="s">
        <v>226</v>
      </c>
      <c r="B85" s="216">
        <v>902</v>
      </c>
      <c r="C85" s="218" t="s">
        <v>171</v>
      </c>
      <c r="D85" s="218" t="s">
        <v>193</v>
      </c>
      <c r="E85" s="220" t="s">
        <v>227</v>
      </c>
      <c r="F85" s="218"/>
      <c r="G85" s="27">
        <f>G86</f>
        <v>50</v>
      </c>
      <c r="H85" s="27">
        <f t="shared" ref="H85:H87" si="90">H86</f>
        <v>7.3</v>
      </c>
      <c r="I85" s="27">
        <f t="shared" ref="I85:L87" si="91">I86</f>
        <v>50</v>
      </c>
      <c r="J85" s="27">
        <f t="shared" si="91"/>
        <v>70</v>
      </c>
      <c r="K85" s="27">
        <f t="shared" si="91"/>
        <v>70</v>
      </c>
      <c r="L85" s="27">
        <f t="shared" si="91"/>
        <v>70</v>
      </c>
      <c r="M85" s="27">
        <f t="shared" ref="M85:N87" si="92">M86</f>
        <v>70</v>
      </c>
      <c r="N85" s="27">
        <f t="shared" si="92"/>
        <v>0</v>
      </c>
      <c r="O85" s="27">
        <f t="shared" si="82"/>
        <v>0</v>
      </c>
    </row>
    <row r="86" spans="1:15" ht="31.5">
      <c r="A86" s="47" t="s">
        <v>228</v>
      </c>
      <c r="B86" s="216">
        <v>902</v>
      </c>
      <c r="C86" s="218" t="s">
        <v>171</v>
      </c>
      <c r="D86" s="218" t="s">
        <v>193</v>
      </c>
      <c r="E86" s="219" t="s">
        <v>229</v>
      </c>
      <c r="F86" s="218"/>
      <c r="G86" s="27">
        <f>G87</f>
        <v>50</v>
      </c>
      <c r="H86" s="27">
        <f t="shared" si="90"/>
        <v>7.3</v>
      </c>
      <c r="I86" s="27">
        <f t="shared" si="91"/>
        <v>50</v>
      </c>
      <c r="J86" s="27">
        <f t="shared" si="91"/>
        <v>70</v>
      </c>
      <c r="K86" s="27">
        <f t="shared" si="91"/>
        <v>70</v>
      </c>
      <c r="L86" s="27">
        <f t="shared" si="91"/>
        <v>70</v>
      </c>
      <c r="M86" s="27">
        <f t="shared" si="92"/>
        <v>70</v>
      </c>
      <c r="N86" s="27">
        <f t="shared" si="92"/>
        <v>0</v>
      </c>
      <c r="O86" s="27">
        <f t="shared" si="82"/>
        <v>0</v>
      </c>
    </row>
    <row r="87" spans="1:15" ht="31.5">
      <c r="A87" s="26" t="s">
        <v>184</v>
      </c>
      <c r="B87" s="216">
        <v>902</v>
      </c>
      <c r="C87" s="218" t="s">
        <v>171</v>
      </c>
      <c r="D87" s="218" t="s">
        <v>193</v>
      </c>
      <c r="E87" s="219" t="s">
        <v>229</v>
      </c>
      <c r="F87" s="218" t="s">
        <v>185</v>
      </c>
      <c r="G87" s="27">
        <f>G88</f>
        <v>50</v>
      </c>
      <c r="H87" s="27">
        <f t="shared" si="90"/>
        <v>7.3</v>
      </c>
      <c r="I87" s="27">
        <f t="shared" si="91"/>
        <v>50</v>
      </c>
      <c r="J87" s="27">
        <f t="shared" si="91"/>
        <v>70</v>
      </c>
      <c r="K87" s="27">
        <f t="shared" si="91"/>
        <v>70</v>
      </c>
      <c r="L87" s="27">
        <f t="shared" si="91"/>
        <v>70</v>
      </c>
      <c r="M87" s="27">
        <f t="shared" si="92"/>
        <v>70</v>
      </c>
      <c r="N87" s="27">
        <f t="shared" si="92"/>
        <v>0</v>
      </c>
      <c r="O87" s="27">
        <f t="shared" si="82"/>
        <v>0</v>
      </c>
    </row>
    <row r="88" spans="1:15" ht="47.25">
      <c r="A88" s="26" t="s">
        <v>186</v>
      </c>
      <c r="B88" s="216">
        <v>902</v>
      </c>
      <c r="C88" s="218" t="s">
        <v>171</v>
      </c>
      <c r="D88" s="218" t="s">
        <v>193</v>
      </c>
      <c r="E88" s="219" t="s">
        <v>229</v>
      </c>
      <c r="F88" s="218" t="s">
        <v>187</v>
      </c>
      <c r="G88" s="27">
        <v>50</v>
      </c>
      <c r="H88" s="27">
        <v>7.3</v>
      </c>
      <c r="I88" s="27">
        <v>50</v>
      </c>
      <c r="J88" s="27">
        <v>70</v>
      </c>
      <c r="K88" s="27">
        <v>70</v>
      </c>
      <c r="L88" s="27">
        <v>70</v>
      </c>
      <c r="M88" s="27">
        <v>70</v>
      </c>
      <c r="N88" s="27">
        <v>0</v>
      </c>
      <c r="O88" s="27">
        <f t="shared" si="82"/>
        <v>0</v>
      </c>
    </row>
    <row r="89" spans="1:15" ht="47.25">
      <c r="A89" s="26" t="s">
        <v>230</v>
      </c>
      <c r="B89" s="216">
        <v>902</v>
      </c>
      <c r="C89" s="218" t="s">
        <v>171</v>
      </c>
      <c r="D89" s="218" t="s">
        <v>193</v>
      </c>
      <c r="E89" s="219" t="s">
        <v>231</v>
      </c>
      <c r="F89" s="218"/>
      <c r="G89" s="27">
        <f>G90</f>
        <v>15</v>
      </c>
      <c r="H89" s="27">
        <f t="shared" ref="H89:H91" si="93">H90</f>
        <v>0</v>
      </c>
      <c r="I89" s="27">
        <f t="shared" ref="I89:L91" si="94">I90</f>
        <v>15</v>
      </c>
      <c r="J89" s="27">
        <f t="shared" si="94"/>
        <v>25</v>
      </c>
      <c r="K89" s="27">
        <f t="shared" si="94"/>
        <v>25</v>
      </c>
      <c r="L89" s="27">
        <f t="shared" si="94"/>
        <v>25</v>
      </c>
      <c r="M89" s="27">
        <f t="shared" ref="M89:N91" si="95">M90</f>
        <v>25</v>
      </c>
      <c r="N89" s="27">
        <f t="shared" si="95"/>
        <v>0</v>
      </c>
      <c r="O89" s="27">
        <f t="shared" si="82"/>
        <v>0</v>
      </c>
    </row>
    <row r="90" spans="1:15" ht="15.75">
      <c r="A90" s="47" t="s">
        <v>232</v>
      </c>
      <c r="B90" s="216">
        <v>902</v>
      </c>
      <c r="C90" s="218" t="s">
        <v>171</v>
      </c>
      <c r="D90" s="218" t="s">
        <v>193</v>
      </c>
      <c r="E90" s="219" t="s">
        <v>233</v>
      </c>
      <c r="F90" s="218"/>
      <c r="G90" s="27">
        <f>G91</f>
        <v>15</v>
      </c>
      <c r="H90" s="27">
        <f t="shared" si="93"/>
        <v>0</v>
      </c>
      <c r="I90" s="27">
        <f t="shared" si="94"/>
        <v>15</v>
      </c>
      <c r="J90" s="27">
        <f t="shared" si="94"/>
        <v>25</v>
      </c>
      <c r="K90" s="27">
        <f t="shared" si="94"/>
        <v>25</v>
      </c>
      <c r="L90" s="27">
        <f t="shared" si="94"/>
        <v>25</v>
      </c>
      <c r="M90" s="27">
        <f t="shared" si="95"/>
        <v>25</v>
      </c>
      <c r="N90" s="27">
        <f t="shared" si="95"/>
        <v>0</v>
      </c>
      <c r="O90" s="27">
        <f t="shared" si="82"/>
        <v>0</v>
      </c>
    </row>
    <row r="91" spans="1:15" ht="31.5">
      <c r="A91" s="26" t="s">
        <v>184</v>
      </c>
      <c r="B91" s="216">
        <v>902</v>
      </c>
      <c r="C91" s="218" t="s">
        <v>171</v>
      </c>
      <c r="D91" s="218" t="s">
        <v>193</v>
      </c>
      <c r="E91" s="219" t="s">
        <v>233</v>
      </c>
      <c r="F91" s="218" t="s">
        <v>185</v>
      </c>
      <c r="G91" s="27">
        <f>G92</f>
        <v>15</v>
      </c>
      <c r="H91" s="27">
        <f t="shared" si="93"/>
        <v>0</v>
      </c>
      <c r="I91" s="27">
        <f t="shared" si="94"/>
        <v>15</v>
      </c>
      <c r="J91" s="27">
        <f t="shared" si="94"/>
        <v>25</v>
      </c>
      <c r="K91" s="27">
        <f t="shared" si="94"/>
        <v>25</v>
      </c>
      <c r="L91" s="27">
        <f t="shared" si="94"/>
        <v>25</v>
      </c>
      <c r="M91" s="27">
        <f t="shared" si="95"/>
        <v>25</v>
      </c>
      <c r="N91" s="27">
        <f t="shared" si="95"/>
        <v>0</v>
      </c>
      <c r="O91" s="27">
        <f t="shared" si="82"/>
        <v>0</v>
      </c>
    </row>
    <row r="92" spans="1:15" ht="47.25">
      <c r="A92" s="26" t="s">
        <v>186</v>
      </c>
      <c r="B92" s="216">
        <v>902</v>
      </c>
      <c r="C92" s="218" t="s">
        <v>171</v>
      </c>
      <c r="D92" s="218" t="s">
        <v>193</v>
      </c>
      <c r="E92" s="219" t="s">
        <v>233</v>
      </c>
      <c r="F92" s="218" t="s">
        <v>187</v>
      </c>
      <c r="G92" s="27">
        <v>15</v>
      </c>
      <c r="H92" s="27">
        <v>0</v>
      </c>
      <c r="I92" s="27">
        <v>15</v>
      </c>
      <c r="J92" s="27">
        <v>25</v>
      </c>
      <c r="K92" s="27">
        <v>25</v>
      </c>
      <c r="L92" s="27">
        <v>25</v>
      </c>
      <c r="M92" s="27">
        <v>25</v>
      </c>
      <c r="N92" s="27">
        <v>0</v>
      </c>
      <c r="O92" s="27">
        <f t="shared" si="82"/>
        <v>0</v>
      </c>
    </row>
    <row r="93" spans="1:15" ht="47.25" hidden="1">
      <c r="A93" s="33" t="s">
        <v>234</v>
      </c>
      <c r="B93" s="216">
        <v>902</v>
      </c>
      <c r="C93" s="214" t="s">
        <v>171</v>
      </c>
      <c r="D93" s="214" t="s">
        <v>193</v>
      </c>
      <c r="E93" s="220" t="s">
        <v>235</v>
      </c>
      <c r="F93" s="221"/>
      <c r="G93" s="27">
        <f>G94</f>
        <v>120</v>
      </c>
      <c r="H93" s="27">
        <f t="shared" ref="H93:H95" si="96">H94</f>
        <v>30</v>
      </c>
      <c r="I93" s="27">
        <f t="shared" ref="I93:L95" si="97">I94</f>
        <v>120</v>
      </c>
      <c r="J93" s="27">
        <f t="shared" si="97"/>
        <v>0</v>
      </c>
      <c r="K93" s="27">
        <f t="shared" si="97"/>
        <v>0</v>
      </c>
      <c r="L93" s="27">
        <f t="shared" si="97"/>
        <v>0</v>
      </c>
      <c r="M93" s="27">
        <f t="shared" ref="M93:N95" si="98">M94</f>
        <v>0</v>
      </c>
      <c r="N93" s="27">
        <f t="shared" si="98"/>
        <v>0</v>
      </c>
      <c r="O93" s="27" t="e">
        <f t="shared" si="82"/>
        <v>#DIV/0!</v>
      </c>
    </row>
    <row r="94" spans="1:15" ht="31.5" hidden="1">
      <c r="A94" s="26" t="s">
        <v>210</v>
      </c>
      <c r="B94" s="216">
        <v>902</v>
      </c>
      <c r="C94" s="214" t="s">
        <v>171</v>
      </c>
      <c r="D94" s="214" t="s">
        <v>193</v>
      </c>
      <c r="E94" s="214" t="s">
        <v>236</v>
      </c>
      <c r="F94" s="221"/>
      <c r="G94" s="27">
        <f>G95</f>
        <v>120</v>
      </c>
      <c r="H94" s="27">
        <f t="shared" si="96"/>
        <v>30</v>
      </c>
      <c r="I94" s="27">
        <f t="shared" si="97"/>
        <v>120</v>
      </c>
      <c r="J94" s="27">
        <f t="shared" si="97"/>
        <v>0</v>
      </c>
      <c r="K94" s="27">
        <f t="shared" si="97"/>
        <v>0</v>
      </c>
      <c r="L94" s="27">
        <f t="shared" si="97"/>
        <v>0</v>
      </c>
      <c r="M94" s="27">
        <f t="shared" si="98"/>
        <v>0</v>
      </c>
      <c r="N94" s="27">
        <f t="shared" si="98"/>
        <v>0</v>
      </c>
      <c r="O94" s="27" t="e">
        <f t="shared" si="82"/>
        <v>#DIV/0!</v>
      </c>
    </row>
    <row r="95" spans="1:15" ht="15.75" hidden="1">
      <c r="A95" s="31" t="s">
        <v>188</v>
      </c>
      <c r="B95" s="216">
        <v>902</v>
      </c>
      <c r="C95" s="214" t="s">
        <v>171</v>
      </c>
      <c r="D95" s="214" t="s">
        <v>193</v>
      </c>
      <c r="E95" s="214" t="s">
        <v>236</v>
      </c>
      <c r="F95" s="221" t="s">
        <v>198</v>
      </c>
      <c r="G95" s="27">
        <f>G96</f>
        <v>120</v>
      </c>
      <c r="H95" s="27">
        <f t="shared" si="96"/>
        <v>30</v>
      </c>
      <c r="I95" s="27">
        <f>I96</f>
        <v>120</v>
      </c>
      <c r="J95" s="27">
        <f t="shared" si="97"/>
        <v>0</v>
      </c>
      <c r="K95" s="27">
        <f t="shared" si="97"/>
        <v>0</v>
      </c>
      <c r="L95" s="27">
        <f t="shared" si="97"/>
        <v>0</v>
      </c>
      <c r="M95" s="27">
        <f t="shared" si="98"/>
        <v>0</v>
      </c>
      <c r="N95" s="27">
        <f t="shared" si="98"/>
        <v>0</v>
      </c>
      <c r="O95" s="27" t="e">
        <f t="shared" si="82"/>
        <v>#DIV/0!</v>
      </c>
    </row>
    <row r="96" spans="1:15" ht="51.75" hidden="1" customHeight="1">
      <c r="A96" s="31" t="s">
        <v>237</v>
      </c>
      <c r="B96" s="216">
        <v>902</v>
      </c>
      <c r="C96" s="214" t="s">
        <v>171</v>
      </c>
      <c r="D96" s="214" t="s">
        <v>193</v>
      </c>
      <c r="E96" s="214" t="s">
        <v>236</v>
      </c>
      <c r="F96" s="221" t="s">
        <v>213</v>
      </c>
      <c r="G96" s="27">
        <f>100+20</f>
        <v>120</v>
      </c>
      <c r="H96" s="27">
        <v>30</v>
      </c>
      <c r="I96" s="27">
        <f t="shared" ref="I96" si="99">100+20</f>
        <v>120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 t="e">
        <f t="shared" si="82"/>
        <v>#DIV/0!</v>
      </c>
    </row>
    <row r="97" spans="1:16" ht="63">
      <c r="A97" s="31" t="s">
        <v>956</v>
      </c>
      <c r="B97" s="216">
        <v>902</v>
      </c>
      <c r="C97" s="214" t="s">
        <v>171</v>
      </c>
      <c r="D97" s="214" t="s">
        <v>193</v>
      </c>
      <c r="E97" s="214" t="s">
        <v>805</v>
      </c>
      <c r="F97" s="221"/>
      <c r="G97" s="27">
        <f>G98</f>
        <v>29</v>
      </c>
      <c r="H97" s="27">
        <f t="shared" ref="H97:H99" si="100">H98</f>
        <v>19.100000000000001</v>
      </c>
      <c r="I97" s="27">
        <f t="shared" ref="I97:L99" si="101">I98</f>
        <v>29</v>
      </c>
      <c r="J97" s="27">
        <f t="shared" si="101"/>
        <v>0</v>
      </c>
      <c r="K97" s="27">
        <f t="shared" si="101"/>
        <v>0</v>
      </c>
      <c r="L97" s="27">
        <f t="shared" si="101"/>
        <v>0</v>
      </c>
      <c r="M97" s="27">
        <f>M98+M104</f>
        <v>38</v>
      </c>
      <c r="N97" s="27">
        <f t="shared" ref="N97" si="102">N98+N104</f>
        <v>0</v>
      </c>
      <c r="O97" s="27">
        <f t="shared" si="82"/>
        <v>0</v>
      </c>
    </row>
    <row r="98" spans="1:16" ht="47.25">
      <c r="A98" s="123" t="s">
        <v>940</v>
      </c>
      <c r="B98" s="216">
        <v>902</v>
      </c>
      <c r="C98" s="214" t="s">
        <v>171</v>
      </c>
      <c r="D98" s="214" t="s">
        <v>193</v>
      </c>
      <c r="E98" s="214" t="s">
        <v>939</v>
      </c>
      <c r="F98" s="221"/>
      <c r="G98" s="27">
        <f>G99</f>
        <v>29</v>
      </c>
      <c r="H98" s="27">
        <f t="shared" si="100"/>
        <v>19.100000000000001</v>
      </c>
      <c r="I98" s="27">
        <f t="shared" si="101"/>
        <v>29</v>
      </c>
      <c r="J98" s="27">
        <f t="shared" si="101"/>
        <v>0</v>
      </c>
      <c r="K98" s="27">
        <f t="shared" si="101"/>
        <v>0</v>
      </c>
      <c r="L98" s="27">
        <f t="shared" si="101"/>
        <v>0</v>
      </c>
      <c r="M98" s="27">
        <f t="shared" ref="M98:N99" si="103">M99</f>
        <v>23</v>
      </c>
      <c r="N98" s="27">
        <f t="shared" si="103"/>
        <v>0</v>
      </c>
      <c r="O98" s="27">
        <f t="shared" si="82"/>
        <v>0</v>
      </c>
    </row>
    <row r="99" spans="1:16" ht="31.5">
      <c r="A99" s="26" t="s">
        <v>184</v>
      </c>
      <c r="B99" s="216">
        <v>902</v>
      </c>
      <c r="C99" s="214" t="s">
        <v>171</v>
      </c>
      <c r="D99" s="214" t="s">
        <v>193</v>
      </c>
      <c r="E99" s="214" t="s">
        <v>939</v>
      </c>
      <c r="F99" s="221" t="s">
        <v>185</v>
      </c>
      <c r="G99" s="27">
        <f>G100</f>
        <v>29</v>
      </c>
      <c r="H99" s="27">
        <f t="shared" si="100"/>
        <v>19.100000000000001</v>
      </c>
      <c r="I99" s="27">
        <f t="shared" si="101"/>
        <v>29</v>
      </c>
      <c r="J99" s="27">
        <f t="shared" si="101"/>
        <v>0</v>
      </c>
      <c r="K99" s="27">
        <f t="shared" si="101"/>
        <v>0</v>
      </c>
      <c r="L99" s="27">
        <f t="shared" si="101"/>
        <v>0</v>
      </c>
      <c r="M99" s="27">
        <f t="shared" si="103"/>
        <v>23</v>
      </c>
      <c r="N99" s="27">
        <f t="shared" si="103"/>
        <v>0</v>
      </c>
      <c r="O99" s="27">
        <f t="shared" si="82"/>
        <v>0</v>
      </c>
    </row>
    <row r="100" spans="1:16" ht="47.25">
      <c r="A100" s="26" t="s">
        <v>186</v>
      </c>
      <c r="B100" s="216">
        <v>902</v>
      </c>
      <c r="C100" s="214" t="s">
        <v>171</v>
      </c>
      <c r="D100" s="214" t="s">
        <v>193</v>
      </c>
      <c r="E100" s="214" t="s">
        <v>939</v>
      </c>
      <c r="F100" s="221" t="s">
        <v>187</v>
      </c>
      <c r="G100" s="27">
        <v>29</v>
      </c>
      <c r="H100" s="27">
        <v>19.100000000000001</v>
      </c>
      <c r="I100" s="27">
        <v>29</v>
      </c>
      <c r="J100" s="27">
        <v>0</v>
      </c>
      <c r="K100" s="27">
        <v>0</v>
      </c>
      <c r="L100" s="27">
        <v>0</v>
      </c>
      <c r="M100" s="27">
        <v>23</v>
      </c>
      <c r="N100" s="27">
        <v>0</v>
      </c>
      <c r="O100" s="27">
        <f t="shared" si="82"/>
        <v>0</v>
      </c>
    </row>
    <row r="101" spans="1:16" ht="15.75" hidden="1" customHeight="1">
      <c r="A101" s="31"/>
      <c r="B101" s="216"/>
      <c r="C101" s="214"/>
      <c r="D101" s="214"/>
      <c r="E101" s="214"/>
      <c r="F101" s="221"/>
      <c r="G101" s="27"/>
      <c r="H101" s="27"/>
      <c r="I101" s="27"/>
      <c r="J101" s="27"/>
      <c r="K101" s="27"/>
      <c r="L101" s="27"/>
      <c r="M101" s="27"/>
      <c r="N101" s="27"/>
      <c r="O101" s="27" t="e">
        <f t="shared" si="82"/>
        <v>#DIV/0!</v>
      </c>
    </row>
    <row r="102" spans="1:16" ht="15.75" hidden="1" customHeight="1">
      <c r="A102" s="26"/>
      <c r="B102" s="216"/>
      <c r="C102" s="214"/>
      <c r="D102" s="214"/>
      <c r="E102" s="214"/>
      <c r="F102" s="221"/>
      <c r="G102" s="27"/>
      <c r="H102" s="27"/>
      <c r="I102" s="27"/>
      <c r="J102" s="27"/>
      <c r="K102" s="27"/>
      <c r="L102" s="27"/>
      <c r="M102" s="27"/>
      <c r="N102" s="27"/>
      <c r="O102" s="27" t="e">
        <f t="shared" si="82"/>
        <v>#DIV/0!</v>
      </c>
    </row>
    <row r="103" spans="1:16" ht="15.75" hidden="1" customHeight="1">
      <c r="A103" s="26"/>
      <c r="B103" s="216"/>
      <c r="C103" s="214"/>
      <c r="D103" s="214"/>
      <c r="E103" s="214"/>
      <c r="F103" s="221"/>
      <c r="G103" s="27"/>
      <c r="H103" s="27"/>
      <c r="I103" s="27"/>
      <c r="J103" s="27"/>
      <c r="K103" s="27"/>
      <c r="L103" s="27"/>
      <c r="M103" s="27"/>
      <c r="N103" s="27"/>
      <c r="O103" s="27" t="e">
        <f t="shared" si="82"/>
        <v>#DIV/0!</v>
      </c>
    </row>
    <row r="104" spans="1:16" ht="34.5" customHeight="1">
      <c r="A104" s="281" t="s">
        <v>942</v>
      </c>
      <c r="B104" s="216">
        <v>902</v>
      </c>
      <c r="C104" s="214" t="s">
        <v>171</v>
      </c>
      <c r="D104" s="214" t="s">
        <v>193</v>
      </c>
      <c r="E104" s="214" t="s">
        <v>941</v>
      </c>
      <c r="F104" s="221"/>
      <c r="G104" s="27">
        <f>G105</f>
        <v>29</v>
      </c>
      <c r="H104" s="27">
        <f t="shared" ref="H104:N105" si="104">H105</f>
        <v>19.100000000000001</v>
      </c>
      <c r="I104" s="27">
        <f t="shared" si="104"/>
        <v>29</v>
      </c>
      <c r="J104" s="27">
        <f t="shared" si="104"/>
        <v>0</v>
      </c>
      <c r="K104" s="27">
        <f t="shared" si="104"/>
        <v>0</v>
      </c>
      <c r="L104" s="27">
        <f t="shared" si="104"/>
        <v>0</v>
      </c>
      <c r="M104" s="27">
        <f t="shared" si="104"/>
        <v>15</v>
      </c>
      <c r="N104" s="27">
        <f t="shared" si="104"/>
        <v>0</v>
      </c>
      <c r="O104" s="27">
        <f t="shared" si="82"/>
        <v>0</v>
      </c>
    </row>
    <row r="105" spans="1:16" ht="36" customHeight="1">
      <c r="A105" s="26" t="s">
        <v>184</v>
      </c>
      <c r="B105" s="216">
        <v>902</v>
      </c>
      <c r="C105" s="214" t="s">
        <v>171</v>
      </c>
      <c r="D105" s="214" t="s">
        <v>193</v>
      </c>
      <c r="E105" s="214" t="s">
        <v>941</v>
      </c>
      <c r="F105" s="221" t="s">
        <v>185</v>
      </c>
      <c r="G105" s="27">
        <f>G106</f>
        <v>29</v>
      </c>
      <c r="H105" s="27">
        <f t="shared" si="104"/>
        <v>19.100000000000001</v>
      </c>
      <c r="I105" s="27">
        <f t="shared" si="104"/>
        <v>29</v>
      </c>
      <c r="J105" s="27">
        <f t="shared" si="104"/>
        <v>0</v>
      </c>
      <c r="K105" s="27">
        <f t="shared" si="104"/>
        <v>0</v>
      </c>
      <c r="L105" s="27">
        <f t="shared" si="104"/>
        <v>0</v>
      </c>
      <c r="M105" s="27">
        <f t="shared" si="104"/>
        <v>15</v>
      </c>
      <c r="N105" s="27">
        <f t="shared" si="104"/>
        <v>0</v>
      </c>
      <c r="O105" s="27">
        <f t="shared" si="82"/>
        <v>0</v>
      </c>
    </row>
    <row r="106" spans="1:16" ht="49.5" customHeight="1">
      <c r="A106" s="26" t="s">
        <v>186</v>
      </c>
      <c r="B106" s="216">
        <v>902</v>
      </c>
      <c r="C106" s="214" t="s">
        <v>171</v>
      </c>
      <c r="D106" s="214" t="s">
        <v>193</v>
      </c>
      <c r="E106" s="214" t="s">
        <v>941</v>
      </c>
      <c r="F106" s="221" t="s">
        <v>187</v>
      </c>
      <c r="G106" s="27">
        <v>29</v>
      </c>
      <c r="H106" s="27">
        <v>19.100000000000001</v>
      </c>
      <c r="I106" s="27">
        <v>29</v>
      </c>
      <c r="J106" s="27">
        <v>0</v>
      </c>
      <c r="K106" s="27">
        <v>0</v>
      </c>
      <c r="L106" s="27">
        <v>0</v>
      </c>
      <c r="M106" s="27">
        <v>15</v>
      </c>
      <c r="N106" s="27">
        <v>0</v>
      </c>
      <c r="O106" s="27">
        <f t="shared" si="82"/>
        <v>0</v>
      </c>
    </row>
    <row r="107" spans="1:16" ht="15.75">
      <c r="A107" s="26" t="s">
        <v>174</v>
      </c>
      <c r="B107" s="216">
        <v>902</v>
      </c>
      <c r="C107" s="214" t="s">
        <v>171</v>
      </c>
      <c r="D107" s="214" t="s">
        <v>193</v>
      </c>
      <c r="E107" s="214" t="s">
        <v>175</v>
      </c>
      <c r="F107" s="214"/>
      <c r="G107" s="27">
        <f>G108+G135</f>
        <v>12340.3</v>
      </c>
      <c r="H107" s="27">
        <f>H108+H135</f>
        <v>8520.2999999999993</v>
      </c>
      <c r="I107" s="27">
        <f t="shared" ref="I107:L107" si="105">I108+I135</f>
        <v>12271.199999999999</v>
      </c>
      <c r="J107" s="27">
        <f t="shared" si="105"/>
        <v>13666.699999999999</v>
      </c>
      <c r="K107" s="27">
        <f t="shared" si="105"/>
        <v>13812.6</v>
      </c>
      <c r="L107" s="27">
        <f t="shared" si="105"/>
        <v>13938.9</v>
      </c>
      <c r="M107" s="27">
        <f t="shared" ref="M107:N107" si="106">M108+M135</f>
        <v>9986.4</v>
      </c>
      <c r="N107" s="27">
        <f t="shared" si="106"/>
        <v>1303.9000000000001</v>
      </c>
      <c r="O107" s="27">
        <f t="shared" si="82"/>
        <v>13.0567571897781</v>
      </c>
    </row>
    <row r="108" spans="1:16" ht="31.5">
      <c r="A108" s="26" t="s">
        <v>238</v>
      </c>
      <c r="B108" s="216">
        <v>902</v>
      </c>
      <c r="C108" s="214" t="s">
        <v>171</v>
      </c>
      <c r="D108" s="214" t="s">
        <v>193</v>
      </c>
      <c r="E108" s="214" t="s">
        <v>239</v>
      </c>
      <c r="F108" s="214"/>
      <c r="G108" s="27">
        <f>G114+G119+G125+G130</f>
        <v>3600.8999999999996</v>
      </c>
      <c r="H108" s="27">
        <f>H114+H119+H125+H130</f>
        <v>2512.4</v>
      </c>
      <c r="I108" s="27">
        <f t="shared" ref="I108:L108" si="107">I114+I119+I125+I130</f>
        <v>3600.8999999999996</v>
      </c>
      <c r="J108" s="27">
        <f t="shared" si="107"/>
        <v>3600.8999999999996</v>
      </c>
      <c r="K108" s="27">
        <f t="shared" si="107"/>
        <v>3600.8999999999996</v>
      </c>
      <c r="L108" s="27">
        <f t="shared" si="107"/>
        <v>3600.8999999999996</v>
      </c>
      <c r="M108" s="27">
        <f>M114+M119+M125+M130+M109</f>
        <v>3628.7</v>
      </c>
      <c r="N108" s="27">
        <f t="shared" ref="N108" si="108">N114+N119+N125+N130+N109</f>
        <v>347.6</v>
      </c>
      <c r="O108" s="27">
        <f t="shared" si="82"/>
        <v>9.5791881390029499</v>
      </c>
      <c r="P108" s="140"/>
    </row>
    <row r="109" spans="1:16" ht="47.25" customHeight="1">
      <c r="A109" s="26" t="s">
        <v>955</v>
      </c>
      <c r="B109" s="216">
        <v>902</v>
      </c>
      <c r="C109" s="214" t="s">
        <v>171</v>
      </c>
      <c r="D109" s="214" t="s">
        <v>193</v>
      </c>
      <c r="E109" s="214" t="s">
        <v>241</v>
      </c>
      <c r="F109" s="215"/>
      <c r="G109" s="27">
        <f t="shared" ref="G109:L109" si="109">G110+G112</f>
        <v>0</v>
      </c>
      <c r="H109" s="27">
        <f t="shared" si="109"/>
        <v>0</v>
      </c>
      <c r="I109" s="27">
        <f t="shared" si="109"/>
        <v>0</v>
      </c>
      <c r="J109" s="27">
        <f t="shared" si="109"/>
        <v>0</v>
      </c>
      <c r="K109" s="27">
        <f t="shared" si="109"/>
        <v>0</v>
      </c>
      <c r="L109" s="27">
        <f t="shared" si="109"/>
        <v>0</v>
      </c>
      <c r="M109" s="27">
        <f t="shared" ref="M109:N109" si="110">M110+M112</f>
        <v>96.2</v>
      </c>
      <c r="N109" s="27">
        <f t="shared" si="110"/>
        <v>0</v>
      </c>
      <c r="O109" s="27">
        <f t="shared" si="82"/>
        <v>0</v>
      </c>
    </row>
    <row r="110" spans="1:16" ht="94.5" customHeight="1">
      <c r="A110" s="26" t="s">
        <v>180</v>
      </c>
      <c r="B110" s="216">
        <v>902</v>
      </c>
      <c r="C110" s="214" t="s">
        <v>171</v>
      </c>
      <c r="D110" s="214" t="s">
        <v>193</v>
      </c>
      <c r="E110" s="214" t="s">
        <v>241</v>
      </c>
      <c r="F110" s="214" t="s">
        <v>181</v>
      </c>
      <c r="G110" s="27">
        <f>G111</f>
        <v>0</v>
      </c>
      <c r="H110" s="27">
        <f>H111</f>
        <v>0</v>
      </c>
      <c r="I110" s="27">
        <f t="shared" ref="I110:L110" si="111">I111</f>
        <v>0</v>
      </c>
      <c r="J110" s="27">
        <f t="shared" si="111"/>
        <v>0</v>
      </c>
      <c r="K110" s="27">
        <f t="shared" si="111"/>
        <v>0</v>
      </c>
      <c r="L110" s="27">
        <f t="shared" si="111"/>
        <v>0</v>
      </c>
      <c r="M110" s="27">
        <f t="shared" ref="M110:N110" si="112">M111</f>
        <v>96.2</v>
      </c>
      <c r="N110" s="27">
        <f t="shared" si="112"/>
        <v>0</v>
      </c>
      <c r="O110" s="27">
        <f t="shared" si="82"/>
        <v>0</v>
      </c>
    </row>
    <row r="111" spans="1:16" ht="31.5" customHeight="1">
      <c r="A111" s="26" t="s">
        <v>182</v>
      </c>
      <c r="B111" s="216">
        <v>902</v>
      </c>
      <c r="C111" s="214" t="s">
        <v>171</v>
      </c>
      <c r="D111" s="214" t="s">
        <v>193</v>
      </c>
      <c r="E111" s="214" t="s">
        <v>241</v>
      </c>
      <c r="F111" s="214" t="s">
        <v>183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f>'прил.№1 доходы'!I140</f>
        <v>96.2</v>
      </c>
      <c r="N111" s="27">
        <v>0</v>
      </c>
      <c r="O111" s="27">
        <f t="shared" si="82"/>
        <v>0</v>
      </c>
    </row>
    <row r="112" spans="1:16" ht="31.5" hidden="1" customHeight="1">
      <c r="A112" s="26" t="s">
        <v>184</v>
      </c>
      <c r="B112" s="216">
        <v>902</v>
      </c>
      <c r="C112" s="214" t="s">
        <v>171</v>
      </c>
      <c r="D112" s="214" t="s">
        <v>193</v>
      </c>
      <c r="E112" s="214" t="s">
        <v>241</v>
      </c>
      <c r="F112" s="214" t="s">
        <v>185</v>
      </c>
      <c r="G112" s="27">
        <f t="shared" ref="G112:L112" si="113">G113</f>
        <v>0</v>
      </c>
      <c r="H112" s="27">
        <f t="shared" si="113"/>
        <v>0</v>
      </c>
      <c r="I112" s="27">
        <f t="shared" si="113"/>
        <v>0</v>
      </c>
      <c r="J112" s="27">
        <f t="shared" si="113"/>
        <v>0</v>
      </c>
      <c r="K112" s="27">
        <f t="shared" si="113"/>
        <v>0</v>
      </c>
      <c r="L112" s="27">
        <f t="shared" si="113"/>
        <v>0</v>
      </c>
      <c r="M112" s="27">
        <f t="shared" ref="M112:N112" si="114">M113</f>
        <v>0</v>
      </c>
      <c r="N112" s="27">
        <f t="shared" si="114"/>
        <v>0</v>
      </c>
      <c r="O112" s="27" t="e">
        <f t="shared" si="82"/>
        <v>#DIV/0!</v>
      </c>
    </row>
    <row r="113" spans="1:15" ht="47.25" hidden="1" customHeight="1">
      <c r="A113" s="26" t="s">
        <v>186</v>
      </c>
      <c r="B113" s="216">
        <v>902</v>
      </c>
      <c r="C113" s="214" t="s">
        <v>171</v>
      </c>
      <c r="D113" s="214" t="s">
        <v>193</v>
      </c>
      <c r="E113" s="214" t="s">
        <v>241</v>
      </c>
      <c r="F113" s="214" t="s">
        <v>187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 t="e">
        <f t="shared" si="82"/>
        <v>#DIV/0!</v>
      </c>
    </row>
    <row r="114" spans="1:15" ht="47.25">
      <c r="A114" s="33" t="s">
        <v>242</v>
      </c>
      <c r="B114" s="216">
        <v>902</v>
      </c>
      <c r="C114" s="214" t="s">
        <v>171</v>
      </c>
      <c r="D114" s="214" t="s">
        <v>193</v>
      </c>
      <c r="E114" s="214" t="s">
        <v>243</v>
      </c>
      <c r="F114" s="214"/>
      <c r="G114" s="27">
        <f>G115</f>
        <v>701.8</v>
      </c>
      <c r="H114" s="27">
        <f>H115</f>
        <v>537.5</v>
      </c>
      <c r="I114" s="27">
        <f t="shared" ref="I114:L115" si="115">I115</f>
        <v>701.8</v>
      </c>
      <c r="J114" s="27">
        <f t="shared" si="115"/>
        <v>701.8</v>
      </c>
      <c r="K114" s="27">
        <f t="shared" si="115"/>
        <v>701.8</v>
      </c>
      <c r="L114" s="27">
        <f t="shared" si="115"/>
        <v>701.8</v>
      </c>
      <c r="M114" s="27">
        <f>M115+M117</f>
        <v>673.40000000000009</v>
      </c>
      <c r="N114" s="27">
        <f t="shared" ref="N114" si="116">N115+N117</f>
        <v>23.3</v>
      </c>
      <c r="O114" s="27">
        <f t="shared" si="82"/>
        <v>3.4600534600534596</v>
      </c>
    </row>
    <row r="115" spans="1:15" ht="94.5">
      <c r="A115" s="26" t="s">
        <v>180</v>
      </c>
      <c r="B115" s="216">
        <v>902</v>
      </c>
      <c r="C115" s="214" t="s">
        <v>171</v>
      </c>
      <c r="D115" s="214" t="s">
        <v>193</v>
      </c>
      <c r="E115" s="214" t="s">
        <v>243</v>
      </c>
      <c r="F115" s="214" t="s">
        <v>181</v>
      </c>
      <c r="G115" s="27">
        <f>G116</f>
        <v>701.8</v>
      </c>
      <c r="H115" s="27">
        <f>H116</f>
        <v>537.5</v>
      </c>
      <c r="I115" s="27">
        <f t="shared" si="115"/>
        <v>701.8</v>
      </c>
      <c r="J115" s="27">
        <f t="shared" si="115"/>
        <v>701.8</v>
      </c>
      <c r="K115" s="27">
        <f t="shared" si="115"/>
        <v>701.8</v>
      </c>
      <c r="L115" s="27">
        <f t="shared" si="115"/>
        <v>701.8</v>
      </c>
      <c r="M115" s="27">
        <f t="shared" ref="M115:N115" si="117">M116</f>
        <v>471.1</v>
      </c>
      <c r="N115" s="27">
        <f t="shared" si="117"/>
        <v>23.3</v>
      </c>
      <c r="O115" s="27">
        <f t="shared" si="82"/>
        <v>4.9458713648906816</v>
      </c>
    </row>
    <row r="116" spans="1:15" ht="31.5">
      <c r="A116" s="26" t="s">
        <v>182</v>
      </c>
      <c r="B116" s="216">
        <v>902</v>
      </c>
      <c r="C116" s="214" t="s">
        <v>171</v>
      </c>
      <c r="D116" s="214" t="s">
        <v>193</v>
      </c>
      <c r="E116" s="214" t="s">
        <v>243</v>
      </c>
      <c r="F116" s="214" t="s">
        <v>183</v>
      </c>
      <c r="G116" s="27">
        <v>701.8</v>
      </c>
      <c r="H116" s="27">
        <v>537.5</v>
      </c>
      <c r="I116" s="27">
        <v>701.8</v>
      </c>
      <c r="J116" s="27">
        <v>701.8</v>
      </c>
      <c r="K116" s="27">
        <v>701.8</v>
      </c>
      <c r="L116" s="27">
        <v>701.8</v>
      </c>
      <c r="M116" s="27">
        <f>471.1</f>
        <v>471.1</v>
      </c>
      <c r="N116" s="27">
        <v>23.3</v>
      </c>
      <c r="O116" s="27">
        <f t="shared" si="82"/>
        <v>4.9458713648906816</v>
      </c>
    </row>
    <row r="117" spans="1:15" ht="31.5">
      <c r="A117" s="26" t="s">
        <v>184</v>
      </c>
      <c r="B117" s="216">
        <v>902</v>
      </c>
      <c r="C117" s="214" t="s">
        <v>171</v>
      </c>
      <c r="D117" s="214" t="s">
        <v>193</v>
      </c>
      <c r="E117" s="214" t="s">
        <v>243</v>
      </c>
      <c r="F117" s="214" t="s">
        <v>185</v>
      </c>
      <c r="G117" s="27"/>
      <c r="H117" s="27"/>
      <c r="I117" s="27"/>
      <c r="J117" s="27"/>
      <c r="K117" s="27"/>
      <c r="L117" s="27"/>
      <c r="M117" s="27">
        <f>M118</f>
        <v>202.3</v>
      </c>
      <c r="N117" s="27">
        <f t="shared" ref="N117" si="118">N118</f>
        <v>0</v>
      </c>
      <c r="O117" s="27">
        <f t="shared" si="82"/>
        <v>0</v>
      </c>
    </row>
    <row r="118" spans="1:15" ht="47.25">
      <c r="A118" s="26" t="s">
        <v>186</v>
      </c>
      <c r="B118" s="216">
        <v>902</v>
      </c>
      <c r="C118" s="214" t="s">
        <v>171</v>
      </c>
      <c r="D118" s="214" t="s">
        <v>193</v>
      </c>
      <c r="E118" s="214" t="s">
        <v>243</v>
      </c>
      <c r="F118" s="214" t="s">
        <v>187</v>
      </c>
      <c r="G118" s="27"/>
      <c r="H118" s="27"/>
      <c r="I118" s="27"/>
      <c r="J118" s="27"/>
      <c r="K118" s="27"/>
      <c r="L118" s="27"/>
      <c r="M118" s="27">
        <f>223-20.7</f>
        <v>202.3</v>
      </c>
      <c r="N118" s="27">
        <v>0</v>
      </c>
      <c r="O118" s="27">
        <f t="shared" si="82"/>
        <v>0</v>
      </c>
    </row>
    <row r="119" spans="1:15" ht="47.25" hidden="1">
      <c r="A119" s="35" t="s">
        <v>244</v>
      </c>
      <c r="B119" s="216">
        <v>902</v>
      </c>
      <c r="C119" s="214" t="s">
        <v>171</v>
      </c>
      <c r="D119" s="214" t="s">
        <v>193</v>
      </c>
      <c r="E119" s="214" t="s">
        <v>245</v>
      </c>
      <c r="F119" s="214"/>
      <c r="G119" s="27">
        <f>G120</f>
        <v>40</v>
      </c>
      <c r="H119" s="27">
        <f>H120</f>
        <v>20</v>
      </c>
      <c r="I119" s="27">
        <f t="shared" ref="I119:L120" si="119">I120</f>
        <v>40</v>
      </c>
      <c r="J119" s="27">
        <f t="shared" si="119"/>
        <v>40</v>
      </c>
      <c r="K119" s="27">
        <f t="shared" si="119"/>
        <v>40</v>
      </c>
      <c r="L119" s="27">
        <f t="shared" si="119"/>
        <v>40</v>
      </c>
      <c r="M119" s="27">
        <f t="shared" ref="M119:N120" si="120">M120</f>
        <v>0</v>
      </c>
      <c r="N119" s="27">
        <f t="shared" si="120"/>
        <v>0</v>
      </c>
      <c r="O119" s="27" t="e">
        <f t="shared" si="82"/>
        <v>#DIV/0!</v>
      </c>
    </row>
    <row r="120" spans="1:15" ht="31.5" hidden="1">
      <c r="A120" s="26" t="s">
        <v>184</v>
      </c>
      <c r="B120" s="216">
        <v>902</v>
      </c>
      <c r="C120" s="214" t="s">
        <v>171</v>
      </c>
      <c r="D120" s="214" t="s">
        <v>193</v>
      </c>
      <c r="E120" s="214" t="s">
        <v>245</v>
      </c>
      <c r="F120" s="214" t="s">
        <v>185</v>
      </c>
      <c r="G120" s="27">
        <f>G121</f>
        <v>40</v>
      </c>
      <c r="H120" s="27">
        <f>H121</f>
        <v>20</v>
      </c>
      <c r="I120" s="27">
        <f t="shared" si="119"/>
        <v>40</v>
      </c>
      <c r="J120" s="27">
        <f t="shared" si="119"/>
        <v>40</v>
      </c>
      <c r="K120" s="27">
        <f t="shared" si="119"/>
        <v>40</v>
      </c>
      <c r="L120" s="27">
        <f t="shared" si="119"/>
        <v>40</v>
      </c>
      <c r="M120" s="27">
        <f t="shared" si="120"/>
        <v>0</v>
      </c>
      <c r="N120" s="27">
        <f t="shared" si="120"/>
        <v>0</v>
      </c>
      <c r="O120" s="27" t="e">
        <f t="shared" si="82"/>
        <v>#DIV/0!</v>
      </c>
    </row>
    <row r="121" spans="1:15" ht="47.25" hidden="1">
      <c r="A121" s="26" t="s">
        <v>186</v>
      </c>
      <c r="B121" s="216">
        <v>902</v>
      </c>
      <c r="C121" s="214" t="s">
        <v>171</v>
      </c>
      <c r="D121" s="214" t="s">
        <v>193</v>
      </c>
      <c r="E121" s="214" t="s">
        <v>245</v>
      </c>
      <c r="F121" s="214" t="s">
        <v>187</v>
      </c>
      <c r="G121" s="27">
        <f>36+4</f>
        <v>40</v>
      </c>
      <c r="H121" s="27">
        <v>20</v>
      </c>
      <c r="I121" s="27">
        <f t="shared" ref="I121:L121" si="121">36+4</f>
        <v>40</v>
      </c>
      <c r="J121" s="27">
        <f t="shared" si="121"/>
        <v>40</v>
      </c>
      <c r="K121" s="27">
        <f t="shared" si="121"/>
        <v>40</v>
      </c>
      <c r="L121" s="27">
        <f t="shared" si="121"/>
        <v>40</v>
      </c>
      <c r="M121" s="27">
        <f>36+4-40</f>
        <v>0</v>
      </c>
      <c r="N121" s="27">
        <f t="shared" ref="N121" si="122">36+4-40</f>
        <v>0</v>
      </c>
      <c r="O121" s="27" t="e">
        <f t="shared" si="82"/>
        <v>#DIV/0!</v>
      </c>
    </row>
    <row r="122" spans="1:15" ht="31.5" hidden="1" customHeight="1">
      <c r="A122" s="33" t="s">
        <v>246</v>
      </c>
      <c r="B122" s="216">
        <v>902</v>
      </c>
      <c r="C122" s="214" t="s">
        <v>171</v>
      </c>
      <c r="D122" s="214" t="s">
        <v>193</v>
      </c>
      <c r="E122" s="214" t="s">
        <v>245</v>
      </c>
      <c r="F122" s="214"/>
      <c r="G122" s="27">
        <f t="shared" ref="G122:L123" si="123">G123</f>
        <v>0</v>
      </c>
      <c r="H122" s="27">
        <f t="shared" si="123"/>
        <v>0</v>
      </c>
      <c r="I122" s="27">
        <f t="shared" si="123"/>
        <v>0</v>
      </c>
      <c r="J122" s="27">
        <f t="shared" si="123"/>
        <v>0</v>
      </c>
      <c r="K122" s="27">
        <f t="shared" si="123"/>
        <v>0</v>
      </c>
      <c r="L122" s="27">
        <f t="shared" si="123"/>
        <v>0</v>
      </c>
      <c r="M122" s="27">
        <f t="shared" ref="M122:N123" si="124">M123</f>
        <v>0</v>
      </c>
      <c r="N122" s="27">
        <f t="shared" si="124"/>
        <v>0</v>
      </c>
      <c r="O122" s="27" t="e">
        <f t="shared" si="82"/>
        <v>#DIV/0!</v>
      </c>
    </row>
    <row r="123" spans="1:15" ht="31.5" hidden="1" customHeight="1">
      <c r="A123" s="26" t="s">
        <v>184</v>
      </c>
      <c r="B123" s="216">
        <v>902</v>
      </c>
      <c r="C123" s="214" t="s">
        <v>171</v>
      </c>
      <c r="D123" s="214" t="s">
        <v>193</v>
      </c>
      <c r="E123" s="214" t="s">
        <v>245</v>
      </c>
      <c r="F123" s="214" t="s">
        <v>185</v>
      </c>
      <c r="G123" s="27">
        <f t="shared" si="123"/>
        <v>0</v>
      </c>
      <c r="H123" s="27">
        <f t="shared" si="123"/>
        <v>0</v>
      </c>
      <c r="I123" s="27">
        <f t="shared" si="123"/>
        <v>0</v>
      </c>
      <c r="J123" s="27">
        <f t="shared" si="123"/>
        <v>0</v>
      </c>
      <c r="K123" s="27">
        <f t="shared" si="123"/>
        <v>0</v>
      </c>
      <c r="L123" s="27">
        <f t="shared" si="123"/>
        <v>0</v>
      </c>
      <c r="M123" s="27">
        <f t="shared" si="124"/>
        <v>0</v>
      </c>
      <c r="N123" s="27">
        <f t="shared" si="124"/>
        <v>0</v>
      </c>
      <c r="O123" s="27" t="e">
        <f t="shared" si="82"/>
        <v>#DIV/0!</v>
      </c>
    </row>
    <row r="124" spans="1:15" ht="47.25" hidden="1" customHeight="1">
      <c r="A124" s="26" t="s">
        <v>186</v>
      </c>
      <c r="B124" s="216">
        <v>902</v>
      </c>
      <c r="C124" s="214" t="s">
        <v>171</v>
      </c>
      <c r="D124" s="214" t="s">
        <v>193</v>
      </c>
      <c r="E124" s="214" t="s">
        <v>245</v>
      </c>
      <c r="F124" s="214" t="s">
        <v>187</v>
      </c>
      <c r="G124" s="27"/>
      <c r="H124" s="27"/>
      <c r="I124" s="27"/>
      <c r="J124" s="27"/>
      <c r="K124" s="27"/>
      <c r="L124" s="27"/>
      <c r="M124" s="27"/>
      <c r="N124" s="27"/>
      <c r="O124" s="27" t="e">
        <f t="shared" si="82"/>
        <v>#DIV/0!</v>
      </c>
    </row>
    <row r="125" spans="1:15" ht="63">
      <c r="A125" s="33" t="s">
        <v>247</v>
      </c>
      <c r="B125" s="216">
        <v>902</v>
      </c>
      <c r="C125" s="214" t="s">
        <v>171</v>
      </c>
      <c r="D125" s="214" t="s">
        <v>193</v>
      </c>
      <c r="E125" s="214" t="s">
        <v>248</v>
      </c>
      <c r="F125" s="214"/>
      <c r="G125" s="27">
        <f>G126</f>
        <v>1752.9</v>
      </c>
      <c r="H125" s="27">
        <f>H126</f>
        <v>1279.5</v>
      </c>
      <c r="I125" s="27">
        <f t="shared" ref="I125:L126" si="125">I126</f>
        <v>1752.9</v>
      </c>
      <c r="J125" s="27">
        <f t="shared" si="125"/>
        <v>1752.9</v>
      </c>
      <c r="K125" s="27">
        <f t="shared" si="125"/>
        <v>1752.9</v>
      </c>
      <c r="L125" s="27">
        <f t="shared" si="125"/>
        <v>1752.9</v>
      </c>
      <c r="M125" s="27">
        <f>M126+M128</f>
        <v>1752.9</v>
      </c>
      <c r="N125" s="27">
        <f t="shared" ref="N125" si="126">N126+N128</f>
        <v>233</v>
      </c>
      <c r="O125" s="27">
        <f t="shared" si="82"/>
        <v>13.292258542985907</v>
      </c>
    </row>
    <row r="126" spans="1:15" ht="94.5">
      <c r="A126" s="26" t="s">
        <v>180</v>
      </c>
      <c r="B126" s="216">
        <v>902</v>
      </c>
      <c r="C126" s="214" t="s">
        <v>171</v>
      </c>
      <c r="D126" s="214" t="s">
        <v>193</v>
      </c>
      <c r="E126" s="214" t="s">
        <v>248</v>
      </c>
      <c r="F126" s="214" t="s">
        <v>181</v>
      </c>
      <c r="G126" s="27">
        <f>G127</f>
        <v>1752.9</v>
      </c>
      <c r="H126" s="27">
        <f>H127</f>
        <v>1279.5</v>
      </c>
      <c r="I126" s="27">
        <f t="shared" si="125"/>
        <v>1752.9</v>
      </c>
      <c r="J126" s="27">
        <f t="shared" si="125"/>
        <v>1752.9</v>
      </c>
      <c r="K126" s="27">
        <f t="shared" si="125"/>
        <v>1752.9</v>
      </c>
      <c r="L126" s="27">
        <f t="shared" si="125"/>
        <v>1752.9</v>
      </c>
      <c r="M126" s="27">
        <f t="shared" ref="M126:N126" si="127">M127</f>
        <v>1712.5</v>
      </c>
      <c r="N126" s="27">
        <f t="shared" si="127"/>
        <v>233</v>
      </c>
      <c r="O126" s="27">
        <f t="shared" si="82"/>
        <v>13.605839416058393</v>
      </c>
    </row>
    <row r="127" spans="1:15" ht="31.5">
      <c r="A127" s="26" t="s">
        <v>182</v>
      </c>
      <c r="B127" s="216">
        <v>902</v>
      </c>
      <c r="C127" s="214" t="s">
        <v>171</v>
      </c>
      <c r="D127" s="214" t="s">
        <v>193</v>
      </c>
      <c r="E127" s="214" t="s">
        <v>248</v>
      </c>
      <c r="F127" s="214" t="s">
        <v>183</v>
      </c>
      <c r="G127" s="27">
        <v>1752.9</v>
      </c>
      <c r="H127" s="27">
        <v>1279.5</v>
      </c>
      <c r="I127" s="27">
        <v>1752.9</v>
      </c>
      <c r="J127" s="27">
        <v>1752.9</v>
      </c>
      <c r="K127" s="27">
        <v>1752.9</v>
      </c>
      <c r="L127" s="27">
        <v>1752.9</v>
      </c>
      <c r="M127" s="27">
        <f>'прил.№1 доходы'!I128-156.9+116.5</f>
        <v>1712.5</v>
      </c>
      <c r="N127" s="27">
        <v>233</v>
      </c>
      <c r="O127" s="27">
        <f t="shared" si="82"/>
        <v>13.605839416058393</v>
      </c>
    </row>
    <row r="128" spans="1:15" ht="31.5">
      <c r="A128" s="26" t="s">
        <v>184</v>
      </c>
      <c r="B128" s="216">
        <v>902</v>
      </c>
      <c r="C128" s="214" t="s">
        <v>171</v>
      </c>
      <c r="D128" s="214" t="s">
        <v>193</v>
      </c>
      <c r="E128" s="214" t="s">
        <v>248</v>
      </c>
      <c r="F128" s="214" t="s">
        <v>185</v>
      </c>
      <c r="G128" s="27"/>
      <c r="H128" s="27"/>
      <c r="I128" s="27"/>
      <c r="J128" s="27"/>
      <c r="K128" s="27"/>
      <c r="L128" s="27"/>
      <c r="M128" s="27">
        <f>M129</f>
        <v>40.400000000000006</v>
      </c>
      <c r="N128" s="27">
        <f t="shared" ref="N128" si="128">N129</f>
        <v>0</v>
      </c>
      <c r="O128" s="27">
        <f t="shared" si="82"/>
        <v>0</v>
      </c>
    </row>
    <row r="129" spans="1:15" ht="47.25">
      <c r="A129" s="26" t="s">
        <v>186</v>
      </c>
      <c r="B129" s="216">
        <v>902</v>
      </c>
      <c r="C129" s="214" t="s">
        <v>171</v>
      </c>
      <c r="D129" s="214" t="s">
        <v>193</v>
      </c>
      <c r="E129" s="214" t="s">
        <v>248</v>
      </c>
      <c r="F129" s="214" t="s">
        <v>187</v>
      </c>
      <c r="G129" s="27"/>
      <c r="H129" s="27"/>
      <c r="I129" s="27"/>
      <c r="J129" s="27"/>
      <c r="K129" s="27"/>
      <c r="L129" s="27"/>
      <c r="M129" s="27">
        <f>156.9-116.5</f>
        <v>40.400000000000006</v>
      </c>
      <c r="N129" s="27">
        <v>0</v>
      </c>
      <c r="O129" s="27">
        <f t="shared" si="82"/>
        <v>0</v>
      </c>
    </row>
    <row r="130" spans="1:15" ht="47.25">
      <c r="A130" s="33" t="s">
        <v>249</v>
      </c>
      <c r="B130" s="216">
        <v>902</v>
      </c>
      <c r="C130" s="214" t="s">
        <v>171</v>
      </c>
      <c r="D130" s="214" t="s">
        <v>193</v>
      </c>
      <c r="E130" s="214" t="s">
        <v>250</v>
      </c>
      <c r="F130" s="214"/>
      <c r="G130" s="27">
        <f>G131+G133</f>
        <v>1106.1999999999998</v>
      </c>
      <c r="H130" s="27">
        <f>H131+H133</f>
        <v>675.40000000000009</v>
      </c>
      <c r="I130" s="27">
        <f t="shared" ref="I130:L130" si="129">I131+I133</f>
        <v>1106.1999999999998</v>
      </c>
      <c r="J130" s="27">
        <f t="shared" si="129"/>
        <v>1106.1999999999998</v>
      </c>
      <c r="K130" s="27">
        <f t="shared" si="129"/>
        <v>1106.1999999999998</v>
      </c>
      <c r="L130" s="27">
        <f t="shared" si="129"/>
        <v>1106.1999999999998</v>
      </c>
      <c r="M130" s="27">
        <f t="shared" ref="M130:N130" si="130">M131+M133</f>
        <v>1106.2</v>
      </c>
      <c r="N130" s="27">
        <f t="shared" si="130"/>
        <v>91.3</v>
      </c>
      <c r="O130" s="27">
        <f t="shared" si="82"/>
        <v>8.2534803832941588</v>
      </c>
    </row>
    <row r="131" spans="1:15" ht="94.5">
      <c r="A131" s="26" t="s">
        <v>180</v>
      </c>
      <c r="B131" s="216">
        <v>902</v>
      </c>
      <c r="C131" s="214" t="s">
        <v>171</v>
      </c>
      <c r="D131" s="214" t="s">
        <v>193</v>
      </c>
      <c r="E131" s="214" t="s">
        <v>250</v>
      </c>
      <c r="F131" s="214" t="s">
        <v>181</v>
      </c>
      <c r="G131" s="27">
        <f>G132</f>
        <v>1073.0999999999999</v>
      </c>
      <c r="H131" s="27">
        <f>H132</f>
        <v>667.2</v>
      </c>
      <c r="I131" s="27">
        <f t="shared" ref="I131:L131" si="131">I132</f>
        <v>1073.0999999999999</v>
      </c>
      <c r="J131" s="27">
        <f t="shared" si="131"/>
        <v>1073.0999999999999</v>
      </c>
      <c r="K131" s="27">
        <f t="shared" si="131"/>
        <v>1073.0999999999999</v>
      </c>
      <c r="L131" s="27">
        <f t="shared" si="131"/>
        <v>1073.0999999999999</v>
      </c>
      <c r="M131" s="27">
        <f t="shared" ref="M131:N131" si="132">M132</f>
        <v>1025.5</v>
      </c>
      <c r="N131" s="27">
        <f t="shared" si="132"/>
        <v>91.3</v>
      </c>
      <c r="O131" s="27">
        <f t="shared" si="82"/>
        <v>8.9029741589468561</v>
      </c>
    </row>
    <row r="132" spans="1:15" ht="31.5">
      <c r="A132" s="26" t="s">
        <v>182</v>
      </c>
      <c r="B132" s="216">
        <v>902</v>
      </c>
      <c r="C132" s="214" t="s">
        <v>171</v>
      </c>
      <c r="D132" s="214" t="s">
        <v>193</v>
      </c>
      <c r="E132" s="214" t="s">
        <v>250</v>
      </c>
      <c r="F132" s="214" t="s">
        <v>183</v>
      </c>
      <c r="G132" s="27">
        <f>1537-463.9</f>
        <v>1073.0999999999999</v>
      </c>
      <c r="H132" s="27">
        <v>667.2</v>
      </c>
      <c r="I132" s="27">
        <f t="shared" ref="I132:L132" si="133">1537-463.9</f>
        <v>1073.0999999999999</v>
      </c>
      <c r="J132" s="27">
        <f t="shared" si="133"/>
        <v>1073.0999999999999</v>
      </c>
      <c r="K132" s="27">
        <f t="shared" si="133"/>
        <v>1073.0999999999999</v>
      </c>
      <c r="L132" s="27">
        <f t="shared" si="133"/>
        <v>1073.0999999999999</v>
      </c>
      <c r="M132" s="27">
        <f>1537-463.9-47.6</f>
        <v>1025.5</v>
      </c>
      <c r="N132" s="27">
        <v>91.3</v>
      </c>
      <c r="O132" s="27">
        <f t="shared" si="82"/>
        <v>8.9029741589468561</v>
      </c>
    </row>
    <row r="133" spans="1:15" ht="47.25">
      <c r="A133" s="26" t="s">
        <v>251</v>
      </c>
      <c r="B133" s="216">
        <v>902</v>
      </c>
      <c r="C133" s="214" t="s">
        <v>171</v>
      </c>
      <c r="D133" s="214" t="s">
        <v>193</v>
      </c>
      <c r="E133" s="214" t="s">
        <v>250</v>
      </c>
      <c r="F133" s="214" t="s">
        <v>185</v>
      </c>
      <c r="G133" s="27">
        <f>G134</f>
        <v>33.1</v>
      </c>
      <c r="H133" s="27">
        <f>H134</f>
        <v>8.1999999999999993</v>
      </c>
      <c r="I133" s="27">
        <f t="shared" ref="I133:L133" si="134">I134</f>
        <v>33.1</v>
      </c>
      <c r="J133" s="27">
        <f t="shared" si="134"/>
        <v>33.1</v>
      </c>
      <c r="K133" s="27">
        <f t="shared" si="134"/>
        <v>33.1</v>
      </c>
      <c r="L133" s="27">
        <f t="shared" si="134"/>
        <v>33.1</v>
      </c>
      <c r="M133" s="27">
        <f t="shared" ref="M133:N133" si="135">M134</f>
        <v>80.7</v>
      </c>
      <c r="N133" s="27">
        <f t="shared" si="135"/>
        <v>0</v>
      </c>
      <c r="O133" s="27">
        <f t="shared" si="82"/>
        <v>0</v>
      </c>
    </row>
    <row r="134" spans="1:15" ht="47.25">
      <c r="A134" s="26" t="s">
        <v>186</v>
      </c>
      <c r="B134" s="216">
        <v>902</v>
      </c>
      <c r="C134" s="214" t="s">
        <v>171</v>
      </c>
      <c r="D134" s="214" t="s">
        <v>193</v>
      </c>
      <c r="E134" s="214" t="s">
        <v>250</v>
      </c>
      <c r="F134" s="214" t="s">
        <v>187</v>
      </c>
      <c r="G134" s="27">
        <v>33.1</v>
      </c>
      <c r="H134" s="27">
        <v>8.1999999999999993</v>
      </c>
      <c r="I134" s="27">
        <v>33.1</v>
      </c>
      <c r="J134" s="27">
        <v>33.1</v>
      </c>
      <c r="K134" s="27">
        <v>33.1</v>
      </c>
      <c r="L134" s="27">
        <v>33.1</v>
      </c>
      <c r="M134" s="27">
        <f>33.1+47.6</f>
        <v>80.7</v>
      </c>
      <c r="N134" s="27">
        <v>0</v>
      </c>
      <c r="O134" s="27">
        <f t="shared" si="82"/>
        <v>0</v>
      </c>
    </row>
    <row r="135" spans="1:15" ht="15.75">
      <c r="A135" s="26" t="s">
        <v>194</v>
      </c>
      <c r="B135" s="216">
        <v>902</v>
      </c>
      <c r="C135" s="214" t="s">
        <v>171</v>
      </c>
      <c r="D135" s="214" t="s">
        <v>193</v>
      </c>
      <c r="E135" s="214" t="s">
        <v>195</v>
      </c>
      <c r="F135" s="214"/>
      <c r="G135" s="27">
        <f>G148+G153+G158</f>
        <v>8739.4</v>
      </c>
      <c r="H135" s="27">
        <f>H148+H153+H158</f>
        <v>6007.9</v>
      </c>
      <c r="I135" s="27">
        <f t="shared" ref="I135:L135" si="136">I148+I153+I158</f>
        <v>8670.2999999999993</v>
      </c>
      <c r="J135" s="27">
        <f t="shared" si="136"/>
        <v>10065.799999999999</v>
      </c>
      <c r="K135" s="27">
        <f t="shared" si="136"/>
        <v>10211.700000000001</v>
      </c>
      <c r="L135" s="27">
        <f t="shared" si="136"/>
        <v>10338</v>
      </c>
      <c r="M135" s="27">
        <f t="shared" ref="M135:N135" si="137">M148+M153+M158</f>
        <v>6357.7</v>
      </c>
      <c r="N135" s="27">
        <f t="shared" si="137"/>
        <v>956.30000000000007</v>
      </c>
      <c r="O135" s="27">
        <f t="shared" si="82"/>
        <v>15.041603095459052</v>
      </c>
    </row>
    <row r="136" spans="1:15" ht="15.75" hidden="1" customHeight="1">
      <c r="A136" s="26" t="s">
        <v>252</v>
      </c>
      <c r="B136" s="216">
        <v>902</v>
      </c>
      <c r="C136" s="214" t="s">
        <v>171</v>
      </c>
      <c r="D136" s="214" t="s">
        <v>193</v>
      </c>
      <c r="E136" s="214" t="s">
        <v>253</v>
      </c>
      <c r="F136" s="214"/>
      <c r="G136" s="27">
        <f t="shared" ref="G136:L137" si="138">G137</f>
        <v>0</v>
      </c>
      <c r="H136" s="27">
        <f t="shared" si="138"/>
        <v>0</v>
      </c>
      <c r="I136" s="27">
        <f t="shared" si="138"/>
        <v>0</v>
      </c>
      <c r="J136" s="27">
        <f t="shared" si="138"/>
        <v>0</v>
      </c>
      <c r="K136" s="27">
        <f t="shared" si="138"/>
        <v>0</v>
      </c>
      <c r="L136" s="27">
        <f t="shared" si="138"/>
        <v>0</v>
      </c>
      <c r="M136" s="27">
        <f t="shared" ref="M136:N137" si="139">M137</f>
        <v>0</v>
      </c>
      <c r="N136" s="27">
        <f t="shared" si="139"/>
        <v>0</v>
      </c>
      <c r="O136" s="27" t="e">
        <f t="shared" si="82"/>
        <v>#DIV/0!</v>
      </c>
    </row>
    <row r="137" spans="1:15" ht="33" hidden="1" customHeight="1">
      <c r="A137" s="26" t="s">
        <v>251</v>
      </c>
      <c r="B137" s="216">
        <v>902</v>
      </c>
      <c r="C137" s="214" t="s">
        <v>171</v>
      </c>
      <c r="D137" s="214" t="s">
        <v>193</v>
      </c>
      <c r="E137" s="214" t="s">
        <v>253</v>
      </c>
      <c r="F137" s="214" t="s">
        <v>185</v>
      </c>
      <c r="G137" s="27">
        <f t="shared" si="138"/>
        <v>0</v>
      </c>
      <c r="H137" s="27">
        <f t="shared" si="138"/>
        <v>0</v>
      </c>
      <c r="I137" s="27">
        <f t="shared" si="138"/>
        <v>0</v>
      </c>
      <c r="J137" s="27">
        <f t="shared" si="138"/>
        <v>0</v>
      </c>
      <c r="K137" s="27">
        <f t="shared" si="138"/>
        <v>0</v>
      </c>
      <c r="L137" s="27">
        <f t="shared" si="138"/>
        <v>0</v>
      </c>
      <c r="M137" s="27">
        <f t="shared" si="139"/>
        <v>0</v>
      </c>
      <c r="N137" s="27">
        <f t="shared" si="139"/>
        <v>0</v>
      </c>
      <c r="O137" s="27" t="e">
        <f t="shared" si="82"/>
        <v>#DIV/0!</v>
      </c>
    </row>
    <row r="138" spans="1:15" ht="47.25" hidden="1" customHeight="1">
      <c r="A138" s="26" t="s">
        <v>186</v>
      </c>
      <c r="B138" s="216">
        <v>902</v>
      </c>
      <c r="C138" s="214" t="s">
        <v>171</v>
      </c>
      <c r="D138" s="214" t="s">
        <v>193</v>
      </c>
      <c r="E138" s="214" t="s">
        <v>253</v>
      </c>
      <c r="F138" s="214" t="s">
        <v>187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 t="e">
        <f t="shared" si="82"/>
        <v>#DIV/0!</v>
      </c>
    </row>
    <row r="139" spans="1:15" ht="15.75" hidden="1" customHeight="1">
      <c r="A139" s="26" t="s">
        <v>254</v>
      </c>
      <c r="B139" s="216">
        <v>902</v>
      </c>
      <c r="C139" s="214" t="s">
        <v>171</v>
      </c>
      <c r="D139" s="214" t="s">
        <v>193</v>
      </c>
      <c r="E139" s="214" t="s">
        <v>255</v>
      </c>
      <c r="F139" s="215"/>
      <c r="G139" s="27">
        <f t="shared" ref="G139:L140" si="140">G140</f>
        <v>0</v>
      </c>
      <c r="H139" s="27">
        <f t="shared" si="140"/>
        <v>0</v>
      </c>
      <c r="I139" s="27">
        <f t="shared" si="140"/>
        <v>0</v>
      </c>
      <c r="J139" s="27">
        <f t="shared" si="140"/>
        <v>0</v>
      </c>
      <c r="K139" s="27">
        <f t="shared" si="140"/>
        <v>0</v>
      </c>
      <c r="L139" s="27">
        <f t="shared" si="140"/>
        <v>0</v>
      </c>
      <c r="M139" s="27">
        <f t="shared" ref="M139:N140" si="141">M140</f>
        <v>0</v>
      </c>
      <c r="N139" s="27">
        <f t="shared" si="141"/>
        <v>0</v>
      </c>
      <c r="O139" s="27" t="e">
        <f t="shared" si="82"/>
        <v>#DIV/0!</v>
      </c>
    </row>
    <row r="140" spans="1:15" ht="47.25" hidden="1" customHeight="1">
      <c r="A140" s="26" t="s">
        <v>251</v>
      </c>
      <c r="B140" s="216">
        <v>902</v>
      </c>
      <c r="C140" s="214" t="s">
        <v>171</v>
      </c>
      <c r="D140" s="214" t="s">
        <v>193</v>
      </c>
      <c r="E140" s="214" t="s">
        <v>255</v>
      </c>
      <c r="F140" s="214" t="s">
        <v>185</v>
      </c>
      <c r="G140" s="27">
        <f t="shared" si="140"/>
        <v>0</v>
      </c>
      <c r="H140" s="27">
        <f t="shared" si="140"/>
        <v>0</v>
      </c>
      <c r="I140" s="27">
        <f t="shared" si="140"/>
        <v>0</v>
      </c>
      <c r="J140" s="27">
        <f t="shared" si="140"/>
        <v>0</v>
      </c>
      <c r="K140" s="27">
        <f t="shared" si="140"/>
        <v>0</v>
      </c>
      <c r="L140" s="27">
        <f t="shared" si="140"/>
        <v>0</v>
      </c>
      <c r="M140" s="27">
        <f t="shared" si="141"/>
        <v>0</v>
      </c>
      <c r="N140" s="27">
        <f t="shared" si="141"/>
        <v>0</v>
      </c>
      <c r="O140" s="27" t="e">
        <f t="shared" si="82"/>
        <v>#DIV/0!</v>
      </c>
    </row>
    <row r="141" spans="1:15" ht="47.25" hidden="1" customHeight="1">
      <c r="A141" s="26" t="s">
        <v>186</v>
      </c>
      <c r="B141" s="216">
        <v>902</v>
      </c>
      <c r="C141" s="214" t="s">
        <v>171</v>
      </c>
      <c r="D141" s="214" t="s">
        <v>193</v>
      </c>
      <c r="E141" s="214" t="s">
        <v>255</v>
      </c>
      <c r="F141" s="214" t="s">
        <v>187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 t="e">
        <f t="shared" ref="O141:O204" si="142">N141/M141*100</f>
        <v>#DIV/0!</v>
      </c>
    </row>
    <row r="142" spans="1:15" ht="31.5" hidden="1" customHeight="1">
      <c r="A142" s="26" t="s">
        <v>256</v>
      </c>
      <c r="B142" s="216">
        <v>902</v>
      </c>
      <c r="C142" s="214" t="s">
        <v>171</v>
      </c>
      <c r="D142" s="214" t="s">
        <v>193</v>
      </c>
      <c r="E142" s="214" t="s">
        <v>257</v>
      </c>
      <c r="F142" s="214"/>
      <c r="G142" s="27">
        <f t="shared" ref="G142:L143" si="143">G143</f>
        <v>0</v>
      </c>
      <c r="H142" s="27">
        <f t="shared" si="143"/>
        <v>0</v>
      </c>
      <c r="I142" s="27">
        <f t="shared" si="143"/>
        <v>0</v>
      </c>
      <c r="J142" s="27">
        <f t="shared" si="143"/>
        <v>0</v>
      </c>
      <c r="K142" s="27">
        <f t="shared" si="143"/>
        <v>0</v>
      </c>
      <c r="L142" s="27">
        <f t="shared" si="143"/>
        <v>0</v>
      </c>
      <c r="M142" s="27">
        <f t="shared" ref="M142:N143" si="144">M143</f>
        <v>0</v>
      </c>
      <c r="N142" s="27">
        <f t="shared" si="144"/>
        <v>0</v>
      </c>
      <c r="O142" s="27" t="e">
        <f t="shared" si="142"/>
        <v>#DIV/0!</v>
      </c>
    </row>
    <row r="143" spans="1:15" ht="47.25" hidden="1" customHeight="1">
      <c r="A143" s="26" t="s">
        <v>251</v>
      </c>
      <c r="B143" s="216">
        <v>902</v>
      </c>
      <c r="C143" s="214" t="s">
        <v>171</v>
      </c>
      <c r="D143" s="214" t="s">
        <v>193</v>
      </c>
      <c r="E143" s="214" t="s">
        <v>257</v>
      </c>
      <c r="F143" s="214" t="s">
        <v>185</v>
      </c>
      <c r="G143" s="27">
        <f t="shared" si="143"/>
        <v>0</v>
      </c>
      <c r="H143" s="27">
        <f t="shared" si="143"/>
        <v>0</v>
      </c>
      <c r="I143" s="27">
        <f t="shared" si="143"/>
        <v>0</v>
      </c>
      <c r="J143" s="27">
        <f t="shared" si="143"/>
        <v>0</v>
      </c>
      <c r="K143" s="27">
        <f t="shared" si="143"/>
        <v>0</v>
      </c>
      <c r="L143" s="27">
        <f t="shared" si="143"/>
        <v>0</v>
      </c>
      <c r="M143" s="27">
        <f t="shared" si="144"/>
        <v>0</v>
      </c>
      <c r="N143" s="27">
        <f t="shared" si="144"/>
        <v>0</v>
      </c>
      <c r="O143" s="27" t="e">
        <f t="shared" si="142"/>
        <v>#DIV/0!</v>
      </c>
    </row>
    <row r="144" spans="1:15" ht="47.25" hidden="1" customHeight="1">
      <c r="A144" s="26" t="s">
        <v>186</v>
      </c>
      <c r="B144" s="216">
        <v>902</v>
      </c>
      <c r="C144" s="214" t="s">
        <v>171</v>
      </c>
      <c r="D144" s="214" t="s">
        <v>193</v>
      </c>
      <c r="E144" s="214" t="s">
        <v>257</v>
      </c>
      <c r="F144" s="214" t="s">
        <v>187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 t="e">
        <f t="shared" si="142"/>
        <v>#DIV/0!</v>
      </c>
    </row>
    <row r="145" spans="1:15" ht="15.75" hidden="1" customHeight="1">
      <c r="A145" s="26" t="s">
        <v>232</v>
      </c>
      <c r="B145" s="216">
        <v>902</v>
      </c>
      <c r="C145" s="214" t="s">
        <v>171</v>
      </c>
      <c r="D145" s="214" t="s">
        <v>193</v>
      </c>
      <c r="E145" s="214" t="s">
        <v>258</v>
      </c>
      <c r="F145" s="214"/>
      <c r="G145" s="27">
        <f t="shared" ref="G145:L146" si="145">G146</f>
        <v>0</v>
      </c>
      <c r="H145" s="27">
        <f t="shared" si="145"/>
        <v>0</v>
      </c>
      <c r="I145" s="27">
        <f t="shared" si="145"/>
        <v>0</v>
      </c>
      <c r="J145" s="27">
        <f t="shared" si="145"/>
        <v>0</v>
      </c>
      <c r="K145" s="27">
        <f t="shared" si="145"/>
        <v>0</v>
      </c>
      <c r="L145" s="27">
        <f t="shared" si="145"/>
        <v>0</v>
      </c>
      <c r="M145" s="27">
        <f t="shared" ref="M145:N146" si="146">M146</f>
        <v>0</v>
      </c>
      <c r="N145" s="27">
        <f t="shared" si="146"/>
        <v>0</v>
      </c>
      <c r="O145" s="27" t="e">
        <f t="shared" si="142"/>
        <v>#DIV/0!</v>
      </c>
    </row>
    <row r="146" spans="1:15" ht="47.25" hidden="1" customHeight="1">
      <c r="A146" s="26" t="s">
        <v>251</v>
      </c>
      <c r="B146" s="216">
        <v>902</v>
      </c>
      <c r="C146" s="214" t="s">
        <v>171</v>
      </c>
      <c r="D146" s="214" t="s">
        <v>193</v>
      </c>
      <c r="E146" s="214" t="s">
        <v>258</v>
      </c>
      <c r="F146" s="214" t="s">
        <v>185</v>
      </c>
      <c r="G146" s="27">
        <f t="shared" si="145"/>
        <v>0</v>
      </c>
      <c r="H146" s="27">
        <f t="shared" si="145"/>
        <v>0</v>
      </c>
      <c r="I146" s="27">
        <f t="shared" si="145"/>
        <v>0</v>
      </c>
      <c r="J146" s="27">
        <f t="shared" si="145"/>
        <v>0</v>
      </c>
      <c r="K146" s="27">
        <f t="shared" si="145"/>
        <v>0</v>
      </c>
      <c r="L146" s="27">
        <f t="shared" si="145"/>
        <v>0</v>
      </c>
      <c r="M146" s="27">
        <f t="shared" si="146"/>
        <v>0</v>
      </c>
      <c r="N146" s="27">
        <f t="shared" si="146"/>
        <v>0</v>
      </c>
      <c r="O146" s="27" t="e">
        <f t="shared" si="142"/>
        <v>#DIV/0!</v>
      </c>
    </row>
    <row r="147" spans="1:15" ht="47.25" hidden="1" customHeight="1">
      <c r="A147" s="26" t="s">
        <v>186</v>
      </c>
      <c r="B147" s="216">
        <v>902</v>
      </c>
      <c r="C147" s="214" t="s">
        <v>171</v>
      </c>
      <c r="D147" s="214" t="s">
        <v>193</v>
      </c>
      <c r="E147" s="214" t="s">
        <v>258</v>
      </c>
      <c r="F147" s="214" t="s">
        <v>187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 t="e">
        <f t="shared" si="142"/>
        <v>#DIV/0!</v>
      </c>
    </row>
    <row r="148" spans="1:15" ht="31.5">
      <c r="A148" s="26" t="s">
        <v>259</v>
      </c>
      <c r="B148" s="216">
        <v>902</v>
      </c>
      <c r="C148" s="214" t="s">
        <v>171</v>
      </c>
      <c r="D148" s="214" t="s">
        <v>193</v>
      </c>
      <c r="E148" s="214" t="s">
        <v>260</v>
      </c>
      <c r="F148" s="214"/>
      <c r="G148" s="27">
        <f>G149+G151</f>
        <v>6126.7</v>
      </c>
      <c r="H148" s="27">
        <f>H149+H151</f>
        <v>4041.9</v>
      </c>
      <c r="I148" s="27">
        <f t="shared" ref="I148:L148" si="147">I149+I151</f>
        <v>6085.5</v>
      </c>
      <c r="J148" s="27">
        <f t="shared" si="147"/>
        <v>7619.5</v>
      </c>
      <c r="K148" s="27">
        <f t="shared" si="147"/>
        <v>7734.4</v>
      </c>
      <c r="L148" s="27">
        <f t="shared" si="147"/>
        <v>7839.7</v>
      </c>
      <c r="M148" s="27">
        <f t="shared" ref="M148:N148" si="148">M149+M151</f>
        <v>6357.7</v>
      </c>
      <c r="N148" s="27">
        <f t="shared" si="148"/>
        <v>956.30000000000007</v>
      </c>
      <c r="O148" s="27">
        <f t="shared" si="142"/>
        <v>15.041603095459052</v>
      </c>
    </row>
    <row r="149" spans="1:15" ht="94.5">
      <c r="A149" s="26" t="s">
        <v>180</v>
      </c>
      <c r="B149" s="216">
        <v>902</v>
      </c>
      <c r="C149" s="214" t="s">
        <v>171</v>
      </c>
      <c r="D149" s="214" t="s">
        <v>193</v>
      </c>
      <c r="E149" s="214" t="s">
        <v>260</v>
      </c>
      <c r="F149" s="214" t="s">
        <v>181</v>
      </c>
      <c r="G149" s="27">
        <f>G150</f>
        <v>4952</v>
      </c>
      <c r="H149" s="27">
        <f>H150</f>
        <v>3433.8</v>
      </c>
      <c r="I149" s="27">
        <f t="shared" ref="I149:L149" si="149">I150</f>
        <v>4952</v>
      </c>
      <c r="J149" s="27">
        <f t="shared" si="149"/>
        <v>6094.8</v>
      </c>
      <c r="K149" s="27">
        <f t="shared" si="149"/>
        <v>6155.8</v>
      </c>
      <c r="L149" s="27">
        <f t="shared" si="149"/>
        <v>6217.4</v>
      </c>
      <c r="M149" s="27">
        <f t="shared" ref="M149:N149" si="150">M150</f>
        <v>5183</v>
      </c>
      <c r="N149" s="27">
        <f t="shared" si="150"/>
        <v>938.2</v>
      </c>
      <c r="O149" s="27">
        <f t="shared" si="142"/>
        <v>18.101485626085278</v>
      </c>
    </row>
    <row r="150" spans="1:15" ht="31.5">
      <c r="A150" s="26" t="s">
        <v>261</v>
      </c>
      <c r="B150" s="216">
        <v>902</v>
      </c>
      <c r="C150" s="214" t="s">
        <v>171</v>
      </c>
      <c r="D150" s="214" t="s">
        <v>193</v>
      </c>
      <c r="E150" s="214" t="s">
        <v>260</v>
      </c>
      <c r="F150" s="214" t="s">
        <v>262</v>
      </c>
      <c r="G150" s="28">
        <f>5174.7-222.7</f>
        <v>4952</v>
      </c>
      <c r="H150" s="28">
        <v>3433.8</v>
      </c>
      <c r="I150" s="28">
        <f t="shared" ref="I150" si="151">5174.7-222.7</f>
        <v>4952</v>
      </c>
      <c r="J150" s="28">
        <v>6094.8</v>
      </c>
      <c r="K150" s="28">
        <v>6155.8</v>
      </c>
      <c r="L150" s="28">
        <v>6217.4</v>
      </c>
      <c r="M150" s="28">
        <f>5174.7-222.7+231</f>
        <v>5183</v>
      </c>
      <c r="N150" s="28">
        <v>938.2</v>
      </c>
      <c r="O150" s="27">
        <f t="shared" si="142"/>
        <v>18.101485626085278</v>
      </c>
    </row>
    <row r="151" spans="1:15" ht="47.25">
      <c r="A151" s="26" t="s">
        <v>251</v>
      </c>
      <c r="B151" s="216">
        <v>902</v>
      </c>
      <c r="C151" s="214" t="s">
        <v>171</v>
      </c>
      <c r="D151" s="214" t="s">
        <v>193</v>
      </c>
      <c r="E151" s="214" t="s">
        <v>260</v>
      </c>
      <c r="F151" s="214" t="s">
        <v>185</v>
      </c>
      <c r="G151" s="27">
        <f>G152</f>
        <v>1174.7</v>
      </c>
      <c r="H151" s="27">
        <f>H152</f>
        <v>608.1</v>
      </c>
      <c r="I151" s="27">
        <f t="shared" ref="I151:L151" si="152">I152</f>
        <v>1133.5</v>
      </c>
      <c r="J151" s="27">
        <f t="shared" si="152"/>
        <v>1524.7</v>
      </c>
      <c r="K151" s="27">
        <f t="shared" si="152"/>
        <v>1578.6</v>
      </c>
      <c r="L151" s="27">
        <f t="shared" si="152"/>
        <v>1622.3</v>
      </c>
      <c r="M151" s="27">
        <f t="shared" ref="M151:N151" si="153">M152</f>
        <v>1174.7</v>
      </c>
      <c r="N151" s="27">
        <f t="shared" si="153"/>
        <v>18.100000000000001</v>
      </c>
      <c r="O151" s="27">
        <f t="shared" si="142"/>
        <v>1.5408189324934027</v>
      </c>
    </row>
    <row r="152" spans="1:15" ht="47.25">
      <c r="A152" s="26" t="s">
        <v>186</v>
      </c>
      <c r="B152" s="216">
        <v>902</v>
      </c>
      <c r="C152" s="214" t="s">
        <v>171</v>
      </c>
      <c r="D152" s="214" t="s">
        <v>193</v>
      </c>
      <c r="E152" s="214" t="s">
        <v>260</v>
      </c>
      <c r="F152" s="214" t="s">
        <v>187</v>
      </c>
      <c r="G152" s="28">
        <f>724.7+450</f>
        <v>1174.7</v>
      </c>
      <c r="H152" s="28">
        <v>608.1</v>
      </c>
      <c r="I152" s="28">
        <v>1133.5</v>
      </c>
      <c r="J152" s="28">
        <v>1524.7</v>
      </c>
      <c r="K152" s="28">
        <v>1578.6</v>
      </c>
      <c r="L152" s="28">
        <v>1622.3</v>
      </c>
      <c r="M152" s="28">
        <f t="shared" ref="M152" si="154">724.7+450</f>
        <v>1174.7</v>
      </c>
      <c r="N152" s="28">
        <v>18.100000000000001</v>
      </c>
      <c r="O152" s="27">
        <f t="shared" si="142"/>
        <v>1.5408189324934027</v>
      </c>
    </row>
    <row r="153" spans="1:15" ht="47.25" hidden="1">
      <c r="A153" s="26" t="s">
        <v>263</v>
      </c>
      <c r="B153" s="216">
        <v>902</v>
      </c>
      <c r="C153" s="214" t="s">
        <v>171</v>
      </c>
      <c r="D153" s="214" t="s">
        <v>193</v>
      </c>
      <c r="E153" s="214" t="s">
        <v>264</v>
      </c>
      <c r="F153" s="214"/>
      <c r="G153" s="27">
        <f>G154+G156</f>
        <v>2520.4</v>
      </c>
      <c r="H153" s="27">
        <f>H154+H156</f>
        <v>1873.8</v>
      </c>
      <c r="I153" s="27">
        <f t="shared" ref="I153:L153" si="155">I154+I156</f>
        <v>2492.5</v>
      </c>
      <c r="J153" s="27">
        <f t="shared" si="155"/>
        <v>2446.3000000000002</v>
      </c>
      <c r="K153" s="27">
        <f t="shared" si="155"/>
        <v>2477.3000000000002</v>
      </c>
      <c r="L153" s="27">
        <f t="shared" si="155"/>
        <v>2498.3000000000002</v>
      </c>
      <c r="M153" s="27">
        <f t="shared" ref="M153:N153" si="156">M154+M156</f>
        <v>0</v>
      </c>
      <c r="N153" s="27">
        <f t="shared" si="156"/>
        <v>0</v>
      </c>
      <c r="O153" s="22" t="e">
        <f t="shared" si="142"/>
        <v>#DIV/0!</v>
      </c>
    </row>
    <row r="154" spans="1:15" ht="94.5" hidden="1">
      <c r="A154" s="26" t="s">
        <v>180</v>
      </c>
      <c r="B154" s="216">
        <v>902</v>
      </c>
      <c r="C154" s="214" t="s">
        <v>171</v>
      </c>
      <c r="D154" s="214" t="s">
        <v>193</v>
      </c>
      <c r="E154" s="214" t="s">
        <v>264</v>
      </c>
      <c r="F154" s="214" t="s">
        <v>181</v>
      </c>
      <c r="G154" s="27">
        <f>G155</f>
        <v>1895</v>
      </c>
      <c r="H154" s="27">
        <f>H155</f>
        <v>1551.3</v>
      </c>
      <c r="I154" s="27">
        <f t="shared" ref="I154:L154" si="157">I155</f>
        <v>1895</v>
      </c>
      <c r="J154" s="27">
        <f t="shared" si="157"/>
        <v>1777</v>
      </c>
      <c r="K154" s="27">
        <f t="shared" si="157"/>
        <v>1777</v>
      </c>
      <c r="L154" s="27">
        <f t="shared" si="157"/>
        <v>1777</v>
      </c>
      <c r="M154" s="27">
        <f t="shared" ref="M154:N154" si="158">M155</f>
        <v>0</v>
      </c>
      <c r="N154" s="27">
        <f t="shared" si="158"/>
        <v>0</v>
      </c>
      <c r="O154" s="22" t="e">
        <f t="shared" si="142"/>
        <v>#DIV/0!</v>
      </c>
    </row>
    <row r="155" spans="1:15" ht="31.5" hidden="1">
      <c r="A155" s="26" t="s">
        <v>182</v>
      </c>
      <c r="B155" s="216">
        <v>902</v>
      </c>
      <c r="C155" s="214" t="s">
        <v>171</v>
      </c>
      <c r="D155" s="214" t="s">
        <v>193</v>
      </c>
      <c r="E155" s="214" t="s">
        <v>264</v>
      </c>
      <c r="F155" s="214" t="s">
        <v>183</v>
      </c>
      <c r="G155" s="28">
        <f>1952.2-57.2</f>
        <v>1895</v>
      </c>
      <c r="H155" s="28">
        <v>1551.3</v>
      </c>
      <c r="I155" s="28">
        <f t="shared" ref="I155" si="159">1952.2-57.2</f>
        <v>1895</v>
      </c>
      <c r="J155" s="28">
        <v>1777</v>
      </c>
      <c r="K155" s="28">
        <v>1777</v>
      </c>
      <c r="L155" s="28">
        <v>1777</v>
      </c>
      <c r="M155" s="28"/>
      <c r="N155" s="28"/>
      <c r="O155" s="22" t="e">
        <f t="shared" si="142"/>
        <v>#DIV/0!</v>
      </c>
    </row>
    <row r="156" spans="1:15" ht="47.25" hidden="1">
      <c r="A156" s="26" t="s">
        <v>251</v>
      </c>
      <c r="B156" s="216">
        <v>902</v>
      </c>
      <c r="C156" s="214" t="s">
        <v>171</v>
      </c>
      <c r="D156" s="214" t="s">
        <v>193</v>
      </c>
      <c r="E156" s="214" t="s">
        <v>264</v>
      </c>
      <c r="F156" s="214" t="s">
        <v>185</v>
      </c>
      <c r="G156" s="27">
        <f>G157</f>
        <v>625.4</v>
      </c>
      <c r="H156" s="27">
        <f>H157</f>
        <v>322.5</v>
      </c>
      <c r="I156" s="27">
        <f t="shared" ref="I156:L156" si="160">I157</f>
        <v>597.5</v>
      </c>
      <c r="J156" s="27">
        <f t="shared" si="160"/>
        <v>669.3</v>
      </c>
      <c r="K156" s="27">
        <f t="shared" si="160"/>
        <v>700.3</v>
      </c>
      <c r="L156" s="27">
        <f t="shared" si="160"/>
        <v>721.3</v>
      </c>
      <c r="M156" s="27">
        <f t="shared" ref="M156:N156" si="161">M157</f>
        <v>0</v>
      </c>
      <c r="N156" s="27">
        <f t="shared" si="161"/>
        <v>0</v>
      </c>
      <c r="O156" s="22" t="e">
        <f t="shared" si="142"/>
        <v>#DIV/0!</v>
      </c>
    </row>
    <row r="157" spans="1:15" ht="47.25" hidden="1">
      <c r="A157" s="26" t="s">
        <v>186</v>
      </c>
      <c r="B157" s="216">
        <v>902</v>
      </c>
      <c r="C157" s="214" t="s">
        <v>171</v>
      </c>
      <c r="D157" s="214" t="s">
        <v>193</v>
      </c>
      <c r="E157" s="214" t="s">
        <v>264</v>
      </c>
      <c r="F157" s="214" t="s">
        <v>187</v>
      </c>
      <c r="G157" s="27">
        <f>821.9-196.5</f>
        <v>625.4</v>
      </c>
      <c r="H157" s="27">
        <v>322.5</v>
      </c>
      <c r="I157" s="27">
        <v>597.5</v>
      </c>
      <c r="J157" s="27">
        <v>669.3</v>
      </c>
      <c r="K157" s="27">
        <v>700.3</v>
      </c>
      <c r="L157" s="27">
        <v>721.3</v>
      </c>
      <c r="M157" s="27"/>
      <c r="N157" s="27"/>
      <c r="O157" s="22" t="e">
        <f t="shared" si="142"/>
        <v>#DIV/0!</v>
      </c>
    </row>
    <row r="158" spans="1:15" ht="15.75" hidden="1">
      <c r="A158" s="47" t="s">
        <v>196</v>
      </c>
      <c r="B158" s="216">
        <v>902</v>
      </c>
      <c r="C158" s="214" t="s">
        <v>171</v>
      </c>
      <c r="D158" s="214" t="s">
        <v>193</v>
      </c>
      <c r="E158" s="214" t="s">
        <v>197</v>
      </c>
      <c r="F158" s="214"/>
      <c r="G158" s="27">
        <f>G159</f>
        <v>92.3</v>
      </c>
      <c r="H158" s="27">
        <f>H159</f>
        <v>92.2</v>
      </c>
      <c r="I158" s="27">
        <f t="shared" ref="I158:L159" si="162">I159</f>
        <v>92.3</v>
      </c>
      <c r="J158" s="27">
        <f t="shared" si="162"/>
        <v>0</v>
      </c>
      <c r="K158" s="27">
        <f t="shared" si="162"/>
        <v>0</v>
      </c>
      <c r="L158" s="27">
        <f t="shared" si="162"/>
        <v>0</v>
      </c>
      <c r="M158" s="27">
        <f t="shared" ref="M158:N159" si="163">M159</f>
        <v>0</v>
      </c>
      <c r="N158" s="27">
        <f t="shared" si="163"/>
        <v>0</v>
      </c>
      <c r="O158" s="22" t="e">
        <f t="shared" si="142"/>
        <v>#DIV/0!</v>
      </c>
    </row>
    <row r="159" spans="1:15" ht="15.75" hidden="1">
      <c r="A159" s="26" t="s">
        <v>188</v>
      </c>
      <c r="B159" s="216">
        <v>902</v>
      </c>
      <c r="C159" s="214" t="s">
        <v>171</v>
      </c>
      <c r="D159" s="214" t="s">
        <v>193</v>
      </c>
      <c r="E159" s="214" t="s">
        <v>197</v>
      </c>
      <c r="F159" s="214" t="s">
        <v>198</v>
      </c>
      <c r="G159" s="27">
        <f>G160</f>
        <v>92.3</v>
      </c>
      <c r="H159" s="27">
        <f>H160</f>
        <v>92.2</v>
      </c>
      <c r="I159" s="27">
        <f t="shared" si="162"/>
        <v>92.3</v>
      </c>
      <c r="J159" s="27">
        <f t="shared" si="162"/>
        <v>0</v>
      </c>
      <c r="K159" s="27">
        <f t="shared" si="162"/>
        <v>0</v>
      </c>
      <c r="L159" s="27">
        <f t="shared" si="162"/>
        <v>0</v>
      </c>
      <c r="M159" s="27">
        <f t="shared" si="163"/>
        <v>0</v>
      </c>
      <c r="N159" s="27">
        <f t="shared" si="163"/>
        <v>0</v>
      </c>
      <c r="O159" s="22" t="e">
        <f t="shared" si="142"/>
        <v>#DIV/0!</v>
      </c>
    </row>
    <row r="160" spans="1:15" ht="15.75" hidden="1">
      <c r="A160" s="26" t="s">
        <v>199</v>
      </c>
      <c r="B160" s="216">
        <v>902</v>
      </c>
      <c r="C160" s="214" t="s">
        <v>171</v>
      </c>
      <c r="D160" s="214" t="s">
        <v>193</v>
      </c>
      <c r="E160" s="214" t="s">
        <v>197</v>
      </c>
      <c r="F160" s="214" t="s">
        <v>200</v>
      </c>
      <c r="G160" s="27">
        <v>92.3</v>
      </c>
      <c r="H160" s="27">
        <v>92.2</v>
      </c>
      <c r="I160" s="27">
        <v>92.3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2" t="e">
        <f t="shared" si="142"/>
        <v>#DIV/0!</v>
      </c>
    </row>
    <row r="161" spans="1:15" ht="15.75" hidden="1" customHeight="1">
      <c r="A161" s="24" t="s">
        <v>265</v>
      </c>
      <c r="B161" s="213">
        <v>902</v>
      </c>
      <c r="C161" s="215" t="s">
        <v>266</v>
      </c>
      <c r="D161" s="215"/>
      <c r="E161" s="215"/>
      <c r="F161" s="215"/>
      <c r="G161" s="22">
        <f>G162</f>
        <v>0</v>
      </c>
      <c r="H161" s="22">
        <f t="shared" ref="H161:N161" si="164">H162</f>
        <v>0</v>
      </c>
      <c r="I161" s="22">
        <f t="shared" si="164"/>
        <v>0</v>
      </c>
      <c r="J161" s="22">
        <f t="shared" si="164"/>
        <v>322.89999999999998</v>
      </c>
      <c r="K161" s="22">
        <f t="shared" si="164"/>
        <v>22.3</v>
      </c>
      <c r="L161" s="22">
        <f t="shared" si="164"/>
        <v>22.3</v>
      </c>
      <c r="M161" s="22">
        <f t="shared" si="164"/>
        <v>0</v>
      </c>
      <c r="N161" s="22">
        <f t="shared" si="164"/>
        <v>0</v>
      </c>
      <c r="O161" s="22" t="e">
        <f t="shared" si="142"/>
        <v>#DIV/0!</v>
      </c>
    </row>
    <row r="162" spans="1:15" ht="31.5" hidden="1" customHeight="1">
      <c r="A162" s="24" t="s">
        <v>271</v>
      </c>
      <c r="B162" s="213">
        <v>902</v>
      </c>
      <c r="C162" s="215" t="s">
        <v>266</v>
      </c>
      <c r="D162" s="215" t="s">
        <v>272</v>
      </c>
      <c r="E162" s="215"/>
      <c r="F162" s="215"/>
      <c r="G162" s="22">
        <f t="shared" ref="G162:L166" si="165">G163</f>
        <v>0</v>
      </c>
      <c r="H162" s="22">
        <f t="shared" si="165"/>
        <v>0</v>
      </c>
      <c r="I162" s="22">
        <f t="shared" si="165"/>
        <v>0</v>
      </c>
      <c r="J162" s="22">
        <f t="shared" si="165"/>
        <v>322.89999999999998</v>
      </c>
      <c r="K162" s="22">
        <f t="shared" si="165"/>
        <v>22.3</v>
      </c>
      <c r="L162" s="22">
        <f t="shared" si="165"/>
        <v>22.3</v>
      </c>
      <c r="M162" s="22">
        <f t="shared" ref="M162:N166" si="166">M163</f>
        <v>0</v>
      </c>
      <c r="N162" s="22">
        <f t="shared" si="166"/>
        <v>0</v>
      </c>
      <c r="O162" s="22" t="e">
        <f t="shared" si="142"/>
        <v>#DIV/0!</v>
      </c>
    </row>
    <row r="163" spans="1:15" ht="15.75" hidden="1" customHeight="1">
      <c r="A163" s="26" t="s">
        <v>174</v>
      </c>
      <c r="B163" s="216">
        <v>902</v>
      </c>
      <c r="C163" s="214" t="s">
        <v>266</v>
      </c>
      <c r="D163" s="214" t="s">
        <v>272</v>
      </c>
      <c r="E163" s="214" t="s">
        <v>175</v>
      </c>
      <c r="F163" s="214"/>
      <c r="G163" s="27">
        <f t="shared" si="165"/>
        <v>0</v>
      </c>
      <c r="H163" s="27">
        <f t="shared" si="165"/>
        <v>0</v>
      </c>
      <c r="I163" s="27">
        <f t="shared" si="165"/>
        <v>0</v>
      </c>
      <c r="J163" s="27">
        <f t="shared" si="165"/>
        <v>322.89999999999998</v>
      </c>
      <c r="K163" s="27">
        <f t="shared" si="165"/>
        <v>22.3</v>
      </c>
      <c r="L163" s="27">
        <f t="shared" si="165"/>
        <v>22.3</v>
      </c>
      <c r="M163" s="27">
        <f t="shared" si="166"/>
        <v>0</v>
      </c>
      <c r="N163" s="27">
        <f t="shared" si="166"/>
        <v>0</v>
      </c>
      <c r="O163" s="22" t="e">
        <f t="shared" si="142"/>
        <v>#DIV/0!</v>
      </c>
    </row>
    <row r="164" spans="1:15" ht="21.75" hidden="1" customHeight="1">
      <c r="A164" s="26" t="s">
        <v>194</v>
      </c>
      <c r="B164" s="216">
        <v>902</v>
      </c>
      <c r="C164" s="214" t="s">
        <v>266</v>
      </c>
      <c r="D164" s="214" t="s">
        <v>268</v>
      </c>
      <c r="E164" s="214" t="s">
        <v>195</v>
      </c>
      <c r="F164" s="214"/>
      <c r="G164" s="27">
        <f t="shared" si="165"/>
        <v>0</v>
      </c>
      <c r="H164" s="27">
        <f t="shared" si="165"/>
        <v>0</v>
      </c>
      <c r="I164" s="27">
        <f t="shared" si="165"/>
        <v>0</v>
      </c>
      <c r="J164" s="27">
        <f t="shared" si="165"/>
        <v>322.89999999999998</v>
      </c>
      <c r="K164" s="27">
        <f t="shared" si="165"/>
        <v>22.3</v>
      </c>
      <c r="L164" s="27">
        <f t="shared" si="165"/>
        <v>22.3</v>
      </c>
      <c r="M164" s="27">
        <f t="shared" si="166"/>
        <v>0</v>
      </c>
      <c r="N164" s="27">
        <f t="shared" si="166"/>
        <v>0</v>
      </c>
      <c r="O164" s="22" t="e">
        <f t="shared" si="142"/>
        <v>#DIV/0!</v>
      </c>
    </row>
    <row r="165" spans="1:15" ht="15.75" hidden="1" customHeight="1">
      <c r="A165" s="26" t="s">
        <v>273</v>
      </c>
      <c r="B165" s="216">
        <v>902</v>
      </c>
      <c r="C165" s="214" t="s">
        <v>266</v>
      </c>
      <c r="D165" s="214" t="s">
        <v>272</v>
      </c>
      <c r="E165" s="214" t="s">
        <v>274</v>
      </c>
      <c r="F165" s="214"/>
      <c r="G165" s="27">
        <f t="shared" si="165"/>
        <v>0</v>
      </c>
      <c r="H165" s="27">
        <f t="shared" si="165"/>
        <v>0</v>
      </c>
      <c r="I165" s="27">
        <f t="shared" si="165"/>
        <v>0</v>
      </c>
      <c r="J165" s="27">
        <f t="shared" si="165"/>
        <v>322.89999999999998</v>
      </c>
      <c r="K165" s="27">
        <f t="shared" si="165"/>
        <v>22.3</v>
      </c>
      <c r="L165" s="27">
        <f t="shared" si="165"/>
        <v>22.3</v>
      </c>
      <c r="M165" s="27">
        <f t="shared" si="166"/>
        <v>0</v>
      </c>
      <c r="N165" s="27">
        <f t="shared" si="166"/>
        <v>0</v>
      </c>
      <c r="O165" s="22" t="e">
        <f t="shared" si="142"/>
        <v>#DIV/0!</v>
      </c>
    </row>
    <row r="166" spans="1:15" ht="33.75" hidden="1" customHeight="1">
      <c r="A166" s="26" t="s">
        <v>251</v>
      </c>
      <c r="B166" s="216">
        <v>902</v>
      </c>
      <c r="C166" s="214" t="s">
        <v>266</v>
      </c>
      <c r="D166" s="214" t="s">
        <v>272</v>
      </c>
      <c r="E166" s="214" t="s">
        <v>274</v>
      </c>
      <c r="F166" s="214" t="s">
        <v>185</v>
      </c>
      <c r="G166" s="27">
        <f t="shared" si="165"/>
        <v>0</v>
      </c>
      <c r="H166" s="27">
        <f t="shared" si="165"/>
        <v>0</v>
      </c>
      <c r="I166" s="27">
        <f t="shared" si="165"/>
        <v>0</v>
      </c>
      <c r="J166" s="27">
        <f t="shared" si="165"/>
        <v>322.89999999999998</v>
      </c>
      <c r="K166" s="27">
        <f t="shared" si="165"/>
        <v>22.3</v>
      </c>
      <c r="L166" s="27">
        <f t="shared" si="165"/>
        <v>22.3</v>
      </c>
      <c r="M166" s="27">
        <f t="shared" si="166"/>
        <v>0</v>
      </c>
      <c r="N166" s="27">
        <f t="shared" si="166"/>
        <v>0</v>
      </c>
      <c r="O166" s="22" t="e">
        <f t="shared" si="142"/>
        <v>#DIV/0!</v>
      </c>
    </row>
    <row r="167" spans="1:15" ht="59.25" hidden="1" customHeight="1">
      <c r="A167" s="26" t="s">
        <v>186</v>
      </c>
      <c r="B167" s="216">
        <v>902</v>
      </c>
      <c r="C167" s="214" t="s">
        <v>266</v>
      </c>
      <c r="D167" s="214" t="s">
        <v>272</v>
      </c>
      <c r="E167" s="214" t="s">
        <v>274</v>
      </c>
      <c r="F167" s="214" t="s">
        <v>187</v>
      </c>
      <c r="G167" s="28">
        <v>0</v>
      </c>
      <c r="H167" s="28">
        <v>0</v>
      </c>
      <c r="I167" s="28">
        <v>0</v>
      </c>
      <c r="J167" s="28">
        <v>322.89999999999998</v>
      </c>
      <c r="K167" s="28">
        <v>22.3</v>
      </c>
      <c r="L167" s="28">
        <v>22.3</v>
      </c>
      <c r="M167" s="28">
        <v>0</v>
      </c>
      <c r="N167" s="28">
        <v>0</v>
      </c>
      <c r="O167" s="22" t="e">
        <f t="shared" si="142"/>
        <v>#DIV/0!</v>
      </c>
    </row>
    <row r="168" spans="1:15" ht="31.5">
      <c r="A168" s="24" t="s">
        <v>275</v>
      </c>
      <c r="B168" s="213">
        <v>902</v>
      </c>
      <c r="C168" s="215" t="s">
        <v>268</v>
      </c>
      <c r="D168" s="215"/>
      <c r="E168" s="215"/>
      <c r="F168" s="215"/>
      <c r="G168" s="22">
        <f>G169</f>
        <v>7159.4000000000005</v>
      </c>
      <c r="H168" s="22">
        <f t="shared" ref="H168:L170" si="167">H169</f>
        <v>3838.7000000000003</v>
      </c>
      <c r="I168" s="22">
        <f t="shared" si="167"/>
        <v>5540.3666666666668</v>
      </c>
      <c r="J168" s="22">
        <f t="shared" si="167"/>
        <v>10330.9</v>
      </c>
      <c r="K168" s="22">
        <f t="shared" si="167"/>
        <v>8923.6</v>
      </c>
      <c r="L168" s="22">
        <f t="shared" si="167"/>
        <v>8970.1</v>
      </c>
      <c r="M168" s="22">
        <f t="shared" ref="M168:N170" si="168">M169</f>
        <v>9234.4</v>
      </c>
      <c r="N168" s="22">
        <f t="shared" si="168"/>
        <v>1148.0999999999999</v>
      </c>
      <c r="O168" s="22">
        <f t="shared" si="142"/>
        <v>12.432859741834877</v>
      </c>
    </row>
    <row r="169" spans="1:15" ht="63">
      <c r="A169" s="24" t="s">
        <v>276</v>
      </c>
      <c r="B169" s="213">
        <v>902</v>
      </c>
      <c r="C169" s="215" t="s">
        <v>268</v>
      </c>
      <c r="D169" s="215" t="s">
        <v>272</v>
      </c>
      <c r="E169" s="214"/>
      <c r="F169" s="214"/>
      <c r="G169" s="22">
        <f>G170</f>
        <v>7159.4000000000005</v>
      </c>
      <c r="H169" s="22">
        <f t="shared" si="167"/>
        <v>3838.7000000000003</v>
      </c>
      <c r="I169" s="22">
        <f t="shared" si="167"/>
        <v>5540.3666666666668</v>
      </c>
      <c r="J169" s="22">
        <f t="shared" si="167"/>
        <v>10330.9</v>
      </c>
      <c r="K169" s="22">
        <f t="shared" si="167"/>
        <v>8923.6</v>
      </c>
      <c r="L169" s="22">
        <f t="shared" si="167"/>
        <v>8970.1</v>
      </c>
      <c r="M169" s="22">
        <f t="shared" si="168"/>
        <v>9234.4</v>
      </c>
      <c r="N169" s="22">
        <f t="shared" si="168"/>
        <v>1148.0999999999999</v>
      </c>
      <c r="O169" s="22">
        <f t="shared" si="142"/>
        <v>12.432859741834877</v>
      </c>
    </row>
    <row r="170" spans="1:15" ht="15.75">
      <c r="A170" s="26" t="s">
        <v>174</v>
      </c>
      <c r="B170" s="216">
        <v>902</v>
      </c>
      <c r="C170" s="214" t="s">
        <v>268</v>
      </c>
      <c r="D170" s="214" t="s">
        <v>272</v>
      </c>
      <c r="E170" s="214" t="s">
        <v>175</v>
      </c>
      <c r="F170" s="214"/>
      <c r="G170" s="27">
        <f>G171</f>
        <v>7159.4000000000005</v>
      </c>
      <c r="H170" s="27">
        <f t="shared" ref="H170" si="169">H171</f>
        <v>3838.7000000000003</v>
      </c>
      <c r="I170" s="27">
        <f t="shared" si="167"/>
        <v>5540.3666666666668</v>
      </c>
      <c r="J170" s="27">
        <f t="shared" si="167"/>
        <v>10330.9</v>
      </c>
      <c r="K170" s="27">
        <f t="shared" si="167"/>
        <v>8923.6</v>
      </c>
      <c r="L170" s="27">
        <f t="shared" si="167"/>
        <v>8970.1</v>
      </c>
      <c r="M170" s="27">
        <f t="shared" si="168"/>
        <v>9234.4</v>
      </c>
      <c r="N170" s="27">
        <f t="shared" si="168"/>
        <v>1148.0999999999999</v>
      </c>
      <c r="O170" s="27">
        <f t="shared" si="142"/>
        <v>12.432859741834877</v>
      </c>
    </row>
    <row r="171" spans="1:15" ht="15.75">
      <c r="A171" s="26" t="s">
        <v>194</v>
      </c>
      <c r="B171" s="216">
        <v>902</v>
      </c>
      <c r="C171" s="214" t="s">
        <v>268</v>
      </c>
      <c r="D171" s="214" t="s">
        <v>272</v>
      </c>
      <c r="E171" s="214" t="s">
        <v>195</v>
      </c>
      <c r="F171" s="214"/>
      <c r="G171" s="27">
        <f>G172+G178+G183+G175</f>
        <v>7159.4000000000005</v>
      </c>
      <c r="H171" s="27">
        <f>H172+H178+H183</f>
        <v>3838.7000000000003</v>
      </c>
      <c r="I171" s="27">
        <f t="shared" ref="I171:L171" si="170">I172+I178+I183+I175</f>
        <v>5540.3666666666668</v>
      </c>
      <c r="J171" s="27">
        <f t="shared" si="170"/>
        <v>10330.9</v>
      </c>
      <c r="K171" s="27">
        <f t="shared" si="170"/>
        <v>8923.6</v>
      </c>
      <c r="L171" s="27">
        <f t="shared" si="170"/>
        <v>8970.1</v>
      </c>
      <c r="M171" s="27">
        <f>M172+M178+M183+M175</f>
        <v>9234.4</v>
      </c>
      <c r="N171" s="27">
        <f t="shared" ref="N171" si="171">N172+N178+N183+N175</f>
        <v>1148.0999999999999</v>
      </c>
      <c r="O171" s="27">
        <f t="shared" si="142"/>
        <v>12.432859741834877</v>
      </c>
    </row>
    <row r="172" spans="1:15" ht="47.25">
      <c r="A172" s="26" t="s">
        <v>277</v>
      </c>
      <c r="B172" s="216">
        <v>902</v>
      </c>
      <c r="C172" s="214" t="s">
        <v>268</v>
      </c>
      <c r="D172" s="214" t="s">
        <v>272</v>
      </c>
      <c r="E172" s="214" t="s">
        <v>278</v>
      </c>
      <c r="F172" s="214"/>
      <c r="G172" s="27">
        <f>G173</f>
        <v>2064.1</v>
      </c>
      <c r="H172" s="27">
        <f>H173</f>
        <v>333.8</v>
      </c>
      <c r="I172" s="27">
        <f t="shared" ref="I172:L173" si="172">I173</f>
        <v>445.06666666666666</v>
      </c>
      <c r="J172" s="27">
        <f t="shared" si="172"/>
        <v>3881.9</v>
      </c>
      <c r="K172" s="27">
        <f t="shared" si="172"/>
        <v>3042.9</v>
      </c>
      <c r="L172" s="27">
        <f t="shared" si="172"/>
        <v>3042.9</v>
      </c>
      <c r="M172" s="27">
        <f t="shared" ref="M172:N173" si="173">M173</f>
        <v>650</v>
      </c>
      <c r="N172" s="27">
        <f t="shared" si="173"/>
        <v>34.5</v>
      </c>
      <c r="O172" s="27">
        <f t="shared" si="142"/>
        <v>5.3076923076923075</v>
      </c>
    </row>
    <row r="173" spans="1:15" ht="47.25">
      <c r="A173" s="26" t="s">
        <v>251</v>
      </c>
      <c r="B173" s="216">
        <v>902</v>
      </c>
      <c r="C173" s="214" t="s">
        <v>268</v>
      </c>
      <c r="D173" s="214" t="s">
        <v>272</v>
      </c>
      <c r="E173" s="214" t="s">
        <v>278</v>
      </c>
      <c r="F173" s="214" t="s">
        <v>185</v>
      </c>
      <c r="G173" s="27">
        <f>G174</f>
        <v>2064.1</v>
      </c>
      <c r="H173" s="27">
        <f>H174</f>
        <v>333.8</v>
      </c>
      <c r="I173" s="27">
        <f t="shared" si="172"/>
        <v>445.06666666666666</v>
      </c>
      <c r="J173" s="27">
        <f t="shared" si="172"/>
        <v>3881.9</v>
      </c>
      <c r="K173" s="27">
        <f t="shared" si="172"/>
        <v>3042.9</v>
      </c>
      <c r="L173" s="27">
        <f t="shared" si="172"/>
        <v>3042.9</v>
      </c>
      <c r="M173" s="27">
        <f t="shared" si="173"/>
        <v>650</v>
      </c>
      <c r="N173" s="27">
        <f t="shared" si="173"/>
        <v>34.5</v>
      </c>
      <c r="O173" s="27">
        <f t="shared" si="142"/>
        <v>5.3076923076923075</v>
      </c>
    </row>
    <row r="174" spans="1:15" ht="47.25">
      <c r="A174" s="26" t="s">
        <v>186</v>
      </c>
      <c r="B174" s="216">
        <v>902</v>
      </c>
      <c r="C174" s="214" t="s">
        <v>268</v>
      </c>
      <c r="D174" s="214" t="s">
        <v>272</v>
      </c>
      <c r="E174" s="214" t="s">
        <v>278</v>
      </c>
      <c r="F174" s="214" t="s">
        <v>187</v>
      </c>
      <c r="G174" s="208">
        <f>1908.4+354-98.3-100</f>
        <v>2064.1</v>
      </c>
      <c r="H174" s="208">
        <v>333.8</v>
      </c>
      <c r="I174" s="208">
        <f>H174/9*12</f>
        <v>445.06666666666666</v>
      </c>
      <c r="J174" s="208">
        <f>3881.9</f>
        <v>3881.9</v>
      </c>
      <c r="K174" s="208">
        <f>3042.9</f>
        <v>3042.9</v>
      </c>
      <c r="L174" s="208">
        <f>K174</f>
        <v>3042.9</v>
      </c>
      <c r="M174" s="208">
        <f>500+150</f>
        <v>650</v>
      </c>
      <c r="N174" s="208">
        <v>34.5</v>
      </c>
      <c r="O174" s="27">
        <f t="shared" si="142"/>
        <v>5.3076923076923075</v>
      </c>
    </row>
    <row r="175" spans="1:15" ht="15.75" customHeight="1">
      <c r="A175" s="26" t="s">
        <v>279</v>
      </c>
      <c r="B175" s="216">
        <v>902</v>
      </c>
      <c r="C175" s="214" t="s">
        <v>268</v>
      </c>
      <c r="D175" s="214" t="s">
        <v>272</v>
      </c>
      <c r="E175" s="214" t="s">
        <v>280</v>
      </c>
      <c r="F175" s="214"/>
      <c r="G175" s="27">
        <f>G176</f>
        <v>0</v>
      </c>
      <c r="H175" s="27">
        <f>H176</f>
        <v>0</v>
      </c>
      <c r="I175" s="27">
        <f t="shared" ref="I175:L176" si="174">I176</f>
        <v>0</v>
      </c>
      <c r="J175" s="27">
        <f t="shared" si="174"/>
        <v>764.4</v>
      </c>
      <c r="K175" s="27">
        <f t="shared" si="174"/>
        <v>150</v>
      </c>
      <c r="L175" s="27">
        <f t="shared" si="174"/>
        <v>150</v>
      </c>
      <c r="M175" s="27">
        <f t="shared" ref="M175:N176" si="175">M176</f>
        <v>764.4</v>
      </c>
      <c r="N175" s="27">
        <f t="shared" si="175"/>
        <v>0</v>
      </c>
      <c r="O175" s="27">
        <f t="shared" si="142"/>
        <v>0</v>
      </c>
    </row>
    <row r="176" spans="1:15" ht="47.25" customHeight="1">
      <c r="A176" s="26" t="s">
        <v>251</v>
      </c>
      <c r="B176" s="216">
        <v>902</v>
      </c>
      <c r="C176" s="214" t="s">
        <v>268</v>
      </c>
      <c r="D176" s="214" t="s">
        <v>272</v>
      </c>
      <c r="E176" s="214" t="s">
        <v>280</v>
      </c>
      <c r="F176" s="214" t="s">
        <v>185</v>
      </c>
      <c r="G176" s="27">
        <f>G177</f>
        <v>0</v>
      </c>
      <c r="H176" s="27">
        <f>H177</f>
        <v>0</v>
      </c>
      <c r="I176" s="27">
        <f t="shared" si="174"/>
        <v>0</v>
      </c>
      <c r="J176" s="27">
        <f t="shared" si="174"/>
        <v>764.4</v>
      </c>
      <c r="K176" s="27">
        <f t="shared" si="174"/>
        <v>150</v>
      </c>
      <c r="L176" s="27">
        <f t="shared" si="174"/>
        <v>150</v>
      </c>
      <c r="M176" s="27">
        <f t="shared" si="175"/>
        <v>764.4</v>
      </c>
      <c r="N176" s="27">
        <f t="shared" si="175"/>
        <v>0</v>
      </c>
      <c r="O176" s="27">
        <f t="shared" si="142"/>
        <v>0</v>
      </c>
    </row>
    <row r="177" spans="1:15" ht="47.25" customHeight="1">
      <c r="A177" s="26" t="s">
        <v>186</v>
      </c>
      <c r="B177" s="216">
        <v>902</v>
      </c>
      <c r="C177" s="214" t="s">
        <v>268</v>
      </c>
      <c r="D177" s="214" t="s">
        <v>272</v>
      </c>
      <c r="E177" s="214" t="s">
        <v>280</v>
      </c>
      <c r="F177" s="214" t="s">
        <v>187</v>
      </c>
      <c r="G177" s="27">
        <v>0</v>
      </c>
      <c r="H177" s="27">
        <v>0</v>
      </c>
      <c r="I177" s="27">
        <v>0</v>
      </c>
      <c r="J177" s="27">
        <v>764.4</v>
      </c>
      <c r="K177" s="27">
        <v>150</v>
      </c>
      <c r="L177" s="27">
        <v>150</v>
      </c>
      <c r="M177" s="27">
        <v>764.4</v>
      </c>
      <c r="N177" s="27">
        <v>0</v>
      </c>
      <c r="O177" s="27">
        <f t="shared" si="142"/>
        <v>0</v>
      </c>
    </row>
    <row r="178" spans="1:15" ht="31.5">
      <c r="A178" s="26" t="s">
        <v>281</v>
      </c>
      <c r="B178" s="216">
        <v>902</v>
      </c>
      <c r="C178" s="214" t="s">
        <v>268</v>
      </c>
      <c r="D178" s="214" t="s">
        <v>272</v>
      </c>
      <c r="E178" s="214" t="s">
        <v>282</v>
      </c>
      <c r="F178" s="214"/>
      <c r="G178" s="27">
        <f>G179+G181</f>
        <v>4997</v>
      </c>
      <c r="H178" s="27">
        <f>H179+H181</f>
        <v>3504.9</v>
      </c>
      <c r="I178" s="27">
        <f t="shared" ref="I178:L178" si="176">I179+I181</f>
        <v>4997</v>
      </c>
      <c r="J178" s="27">
        <f t="shared" si="176"/>
        <v>5074.2</v>
      </c>
      <c r="K178" s="27">
        <f t="shared" si="176"/>
        <v>5120.3</v>
      </c>
      <c r="L178" s="27">
        <f t="shared" si="176"/>
        <v>5166.8</v>
      </c>
      <c r="M178" s="27">
        <f t="shared" ref="M178:N178" si="177">M179+M181</f>
        <v>7770</v>
      </c>
      <c r="N178" s="27">
        <f t="shared" si="177"/>
        <v>1113.5999999999999</v>
      </c>
      <c r="O178" s="27">
        <f t="shared" si="142"/>
        <v>14.33204633204633</v>
      </c>
    </row>
    <row r="179" spans="1:15" ht="94.5">
      <c r="A179" s="26" t="s">
        <v>180</v>
      </c>
      <c r="B179" s="216">
        <v>902</v>
      </c>
      <c r="C179" s="214" t="s">
        <v>268</v>
      </c>
      <c r="D179" s="214" t="s">
        <v>272</v>
      </c>
      <c r="E179" s="214" t="s">
        <v>282</v>
      </c>
      <c r="F179" s="214" t="s">
        <v>181</v>
      </c>
      <c r="G179" s="27">
        <f>G180</f>
        <v>4692.3</v>
      </c>
      <c r="H179" s="27">
        <f>H180</f>
        <v>3314.4</v>
      </c>
      <c r="I179" s="27">
        <f t="shared" ref="I179:L179" si="178">I180</f>
        <v>4692.3</v>
      </c>
      <c r="J179" s="27">
        <f t="shared" si="178"/>
        <v>4606</v>
      </c>
      <c r="K179" s="27">
        <f t="shared" si="178"/>
        <v>4652.1000000000004</v>
      </c>
      <c r="L179" s="27">
        <f t="shared" si="178"/>
        <v>4698.6000000000004</v>
      </c>
      <c r="M179" s="27">
        <f t="shared" ref="M179:N179" si="179">M180</f>
        <v>4620</v>
      </c>
      <c r="N179" s="27">
        <f t="shared" si="179"/>
        <v>1064.8</v>
      </c>
      <c r="O179" s="27">
        <f t="shared" si="142"/>
        <v>23.047619047619047</v>
      </c>
    </row>
    <row r="180" spans="1:15" ht="31.5">
      <c r="A180" s="26" t="s">
        <v>261</v>
      </c>
      <c r="B180" s="216">
        <v>902</v>
      </c>
      <c r="C180" s="214" t="s">
        <v>268</v>
      </c>
      <c r="D180" s="214" t="s">
        <v>272</v>
      </c>
      <c r="E180" s="214" t="s">
        <v>282</v>
      </c>
      <c r="F180" s="214" t="s">
        <v>262</v>
      </c>
      <c r="G180" s="28">
        <f>4586.3+106</f>
        <v>4692.3</v>
      </c>
      <c r="H180" s="28">
        <v>3314.4</v>
      </c>
      <c r="I180" s="28">
        <f t="shared" ref="I180" si="180">4586.3+106</f>
        <v>4692.3</v>
      </c>
      <c r="J180" s="28">
        <v>4606</v>
      </c>
      <c r="K180" s="28">
        <v>4652.1000000000004</v>
      </c>
      <c r="L180" s="28">
        <v>4698.6000000000004</v>
      </c>
      <c r="M180" s="28">
        <f>4656.5-36.5</f>
        <v>4620</v>
      </c>
      <c r="N180" s="28">
        <v>1064.8</v>
      </c>
      <c r="O180" s="27">
        <f t="shared" si="142"/>
        <v>23.047619047619047</v>
      </c>
    </row>
    <row r="181" spans="1:15" ht="47.25">
      <c r="A181" s="26" t="s">
        <v>251</v>
      </c>
      <c r="B181" s="216">
        <v>902</v>
      </c>
      <c r="C181" s="214" t="s">
        <v>268</v>
      </c>
      <c r="D181" s="214" t="s">
        <v>272</v>
      </c>
      <c r="E181" s="214" t="s">
        <v>282</v>
      </c>
      <c r="F181" s="214" t="s">
        <v>185</v>
      </c>
      <c r="G181" s="27">
        <f>G182</f>
        <v>304.7</v>
      </c>
      <c r="H181" s="27">
        <f>H182</f>
        <v>190.5</v>
      </c>
      <c r="I181" s="27">
        <f t="shared" ref="I181:L181" si="181">I182</f>
        <v>304.7</v>
      </c>
      <c r="J181" s="27">
        <f t="shared" si="181"/>
        <v>468.2</v>
      </c>
      <c r="K181" s="27">
        <f t="shared" si="181"/>
        <v>468.2</v>
      </c>
      <c r="L181" s="27">
        <f t="shared" si="181"/>
        <v>468.2</v>
      </c>
      <c r="M181" s="27">
        <f t="shared" ref="M181:N181" si="182">M182</f>
        <v>3150</v>
      </c>
      <c r="N181" s="27">
        <f t="shared" si="182"/>
        <v>48.8</v>
      </c>
      <c r="O181" s="27">
        <f t="shared" si="142"/>
        <v>1.549206349206349</v>
      </c>
    </row>
    <row r="182" spans="1:15" ht="47.25">
      <c r="A182" s="26" t="s">
        <v>186</v>
      </c>
      <c r="B182" s="216">
        <v>902</v>
      </c>
      <c r="C182" s="214" t="s">
        <v>268</v>
      </c>
      <c r="D182" s="214" t="s">
        <v>272</v>
      </c>
      <c r="E182" s="214" t="s">
        <v>282</v>
      </c>
      <c r="F182" s="214" t="s">
        <v>187</v>
      </c>
      <c r="G182" s="28">
        <f>204.7+100</f>
        <v>304.7</v>
      </c>
      <c r="H182" s="28">
        <v>190.5</v>
      </c>
      <c r="I182" s="28">
        <f t="shared" ref="I182" si="183">204.7+100</f>
        <v>304.7</v>
      </c>
      <c r="J182" s="28">
        <v>468.2</v>
      </c>
      <c r="K182" s="28">
        <f>J182</f>
        <v>468.2</v>
      </c>
      <c r="L182" s="28">
        <f>K182</f>
        <v>468.2</v>
      </c>
      <c r="M182" s="28">
        <f>300+3000-150</f>
        <v>3150</v>
      </c>
      <c r="N182" s="28">
        <v>48.8</v>
      </c>
      <c r="O182" s="27">
        <f t="shared" si="142"/>
        <v>1.549206349206349</v>
      </c>
    </row>
    <row r="183" spans="1:15" ht="15.75">
      <c r="A183" s="26" t="s">
        <v>283</v>
      </c>
      <c r="B183" s="216">
        <v>902</v>
      </c>
      <c r="C183" s="214" t="s">
        <v>268</v>
      </c>
      <c r="D183" s="214" t="s">
        <v>272</v>
      </c>
      <c r="E183" s="214" t="s">
        <v>284</v>
      </c>
      <c r="F183" s="214"/>
      <c r="G183" s="28">
        <f t="shared" ref="G183:L184" si="184">G184</f>
        <v>98.3</v>
      </c>
      <c r="H183" s="28">
        <f>H184</f>
        <v>0</v>
      </c>
      <c r="I183" s="28">
        <f t="shared" si="184"/>
        <v>98.3</v>
      </c>
      <c r="J183" s="28">
        <f t="shared" si="184"/>
        <v>610.4</v>
      </c>
      <c r="K183" s="28">
        <f t="shared" si="184"/>
        <v>610.4</v>
      </c>
      <c r="L183" s="28">
        <f t="shared" si="184"/>
        <v>610.4</v>
      </c>
      <c r="M183" s="28">
        <f t="shared" ref="M183:N184" si="185">M184</f>
        <v>50</v>
      </c>
      <c r="N183" s="28">
        <f t="shared" si="185"/>
        <v>0</v>
      </c>
      <c r="O183" s="27">
        <f t="shared" si="142"/>
        <v>0</v>
      </c>
    </row>
    <row r="184" spans="1:15" ht="47.25">
      <c r="A184" s="26" t="s">
        <v>251</v>
      </c>
      <c r="B184" s="216">
        <v>902</v>
      </c>
      <c r="C184" s="214" t="s">
        <v>268</v>
      </c>
      <c r="D184" s="214" t="s">
        <v>272</v>
      </c>
      <c r="E184" s="214" t="s">
        <v>284</v>
      </c>
      <c r="F184" s="214" t="s">
        <v>185</v>
      </c>
      <c r="G184" s="28">
        <f t="shared" si="184"/>
        <v>98.3</v>
      </c>
      <c r="H184" s="28">
        <f>H185</f>
        <v>0</v>
      </c>
      <c r="I184" s="28">
        <f t="shared" si="184"/>
        <v>98.3</v>
      </c>
      <c r="J184" s="28">
        <f t="shared" si="184"/>
        <v>610.4</v>
      </c>
      <c r="K184" s="28">
        <f t="shared" si="184"/>
        <v>610.4</v>
      </c>
      <c r="L184" s="28">
        <f t="shared" si="184"/>
        <v>610.4</v>
      </c>
      <c r="M184" s="28">
        <f t="shared" si="185"/>
        <v>50</v>
      </c>
      <c r="N184" s="28">
        <f t="shared" si="185"/>
        <v>0</v>
      </c>
      <c r="O184" s="27">
        <f t="shared" si="142"/>
        <v>0</v>
      </c>
    </row>
    <row r="185" spans="1:15" ht="47.25">
      <c r="A185" s="26" t="s">
        <v>186</v>
      </c>
      <c r="B185" s="216">
        <v>902</v>
      </c>
      <c r="C185" s="214" t="s">
        <v>268</v>
      </c>
      <c r="D185" s="214" t="s">
        <v>272</v>
      </c>
      <c r="E185" s="214" t="s">
        <v>284</v>
      </c>
      <c r="F185" s="214" t="s">
        <v>187</v>
      </c>
      <c r="G185" s="28">
        <v>98.3</v>
      </c>
      <c r="H185" s="28">
        <v>0</v>
      </c>
      <c r="I185" s="28">
        <v>98.3</v>
      </c>
      <c r="J185" s="28">
        <v>610.4</v>
      </c>
      <c r="K185" s="28">
        <f>J185</f>
        <v>610.4</v>
      </c>
      <c r="L185" s="28">
        <f>K185</f>
        <v>610.4</v>
      </c>
      <c r="M185" s="28">
        <v>50</v>
      </c>
      <c r="N185" s="28">
        <v>0</v>
      </c>
      <c r="O185" s="27">
        <f t="shared" si="142"/>
        <v>0</v>
      </c>
    </row>
    <row r="186" spans="1:15" ht="15.75">
      <c r="A186" s="24" t="s">
        <v>285</v>
      </c>
      <c r="B186" s="213">
        <v>902</v>
      </c>
      <c r="C186" s="215" t="s">
        <v>203</v>
      </c>
      <c r="D186" s="215"/>
      <c r="E186" s="215"/>
      <c r="F186" s="214"/>
      <c r="G186" s="22">
        <f t="shared" ref="G186:M186" si="186">G203+G187</f>
        <v>1821.3999999999999</v>
      </c>
      <c r="H186" s="22">
        <f t="shared" si="186"/>
        <v>1043.1999999999998</v>
      </c>
      <c r="I186" s="22">
        <f t="shared" si="186"/>
        <v>1821.3999999999999</v>
      </c>
      <c r="J186" s="22">
        <f t="shared" si="186"/>
        <v>2461.3999999999996</v>
      </c>
      <c r="K186" s="22">
        <f t="shared" si="186"/>
        <v>2461.3999999999996</v>
      </c>
      <c r="L186" s="22">
        <f t="shared" si="186"/>
        <v>2461.3999999999996</v>
      </c>
      <c r="M186" s="22">
        <f t="shared" si="186"/>
        <v>2070.9</v>
      </c>
      <c r="N186" s="22">
        <f t="shared" ref="N186" si="187">N203+N187</f>
        <v>253.2</v>
      </c>
      <c r="O186" s="22">
        <f t="shared" si="142"/>
        <v>12.226568158771547</v>
      </c>
    </row>
    <row r="187" spans="1:15" ht="15.75">
      <c r="A187" s="24" t="s">
        <v>286</v>
      </c>
      <c r="B187" s="213">
        <v>902</v>
      </c>
      <c r="C187" s="215" t="s">
        <v>203</v>
      </c>
      <c r="D187" s="215" t="s">
        <v>287</v>
      </c>
      <c r="E187" s="215"/>
      <c r="F187" s="214"/>
      <c r="G187" s="22">
        <f>G195+G188</f>
        <v>450</v>
      </c>
      <c r="H187" s="22">
        <f t="shared" ref="H187:M187" si="188">H195+H188</f>
        <v>280</v>
      </c>
      <c r="I187" s="22">
        <f t="shared" si="188"/>
        <v>450</v>
      </c>
      <c r="J187" s="22">
        <f t="shared" si="188"/>
        <v>550</v>
      </c>
      <c r="K187" s="22">
        <f t="shared" si="188"/>
        <v>550</v>
      </c>
      <c r="L187" s="22">
        <f t="shared" si="188"/>
        <v>550</v>
      </c>
      <c r="M187" s="22">
        <f t="shared" si="188"/>
        <v>919.6</v>
      </c>
      <c r="N187" s="22">
        <f t="shared" ref="N187" si="189">N195+N188</f>
        <v>175</v>
      </c>
      <c r="O187" s="22">
        <f t="shared" si="142"/>
        <v>19.030013049151805</v>
      </c>
    </row>
    <row r="188" spans="1:15" ht="47.25">
      <c r="A188" s="33" t="s">
        <v>234</v>
      </c>
      <c r="B188" s="216">
        <v>902</v>
      </c>
      <c r="C188" s="214" t="s">
        <v>203</v>
      </c>
      <c r="D188" s="214" t="s">
        <v>287</v>
      </c>
      <c r="E188" s="220" t="s">
        <v>235</v>
      </c>
      <c r="F188" s="221"/>
      <c r="G188" s="27">
        <f>G189</f>
        <v>0</v>
      </c>
      <c r="H188" s="27">
        <f t="shared" ref="H188:N190" si="190">H189</f>
        <v>0</v>
      </c>
      <c r="I188" s="27">
        <f t="shared" si="190"/>
        <v>0</v>
      </c>
      <c r="J188" s="27">
        <f t="shared" si="190"/>
        <v>100</v>
      </c>
      <c r="K188" s="27">
        <f t="shared" si="190"/>
        <v>100</v>
      </c>
      <c r="L188" s="27">
        <f t="shared" si="190"/>
        <v>100</v>
      </c>
      <c r="M188" s="27">
        <f>M189+M192</f>
        <v>120</v>
      </c>
      <c r="N188" s="27">
        <f t="shared" ref="N188" si="191">N189+N192</f>
        <v>5</v>
      </c>
      <c r="O188" s="27">
        <f t="shared" si="142"/>
        <v>4.1666666666666661</v>
      </c>
    </row>
    <row r="189" spans="1:15" ht="31.5">
      <c r="A189" s="26" t="s">
        <v>210</v>
      </c>
      <c r="B189" s="216">
        <v>902</v>
      </c>
      <c r="C189" s="214" t="s">
        <v>203</v>
      </c>
      <c r="D189" s="214" t="s">
        <v>287</v>
      </c>
      <c r="E189" s="214" t="s">
        <v>236</v>
      </c>
      <c r="F189" s="221"/>
      <c r="G189" s="27">
        <f>G190</f>
        <v>0</v>
      </c>
      <c r="H189" s="27">
        <f t="shared" si="190"/>
        <v>0</v>
      </c>
      <c r="I189" s="27">
        <f t="shared" si="190"/>
        <v>0</v>
      </c>
      <c r="J189" s="27">
        <f t="shared" si="190"/>
        <v>100</v>
      </c>
      <c r="K189" s="27">
        <f t="shared" si="190"/>
        <v>100</v>
      </c>
      <c r="L189" s="27">
        <f t="shared" si="190"/>
        <v>100</v>
      </c>
      <c r="M189" s="27">
        <f t="shared" si="190"/>
        <v>119</v>
      </c>
      <c r="N189" s="27">
        <f t="shared" si="190"/>
        <v>5</v>
      </c>
      <c r="O189" s="27">
        <f t="shared" si="142"/>
        <v>4.2016806722689077</v>
      </c>
    </row>
    <row r="190" spans="1:15" ht="15.75">
      <c r="A190" s="31" t="s">
        <v>188</v>
      </c>
      <c r="B190" s="216">
        <v>902</v>
      </c>
      <c r="C190" s="214" t="s">
        <v>203</v>
      </c>
      <c r="D190" s="214" t="s">
        <v>287</v>
      </c>
      <c r="E190" s="214" t="s">
        <v>236</v>
      </c>
      <c r="F190" s="221" t="s">
        <v>198</v>
      </c>
      <c r="G190" s="27">
        <f>G191</f>
        <v>0</v>
      </c>
      <c r="H190" s="27">
        <f t="shared" si="190"/>
        <v>0</v>
      </c>
      <c r="I190" s="27">
        <f>I191</f>
        <v>0</v>
      </c>
      <c r="J190" s="27">
        <f t="shared" si="190"/>
        <v>100</v>
      </c>
      <c r="K190" s="27">
        <f t="shared" si="190"/>
        <v>100</v>
      </c>
      <c r="L190" s="27">
        <f t="shared" si="190"/>
        <v>100</v>
      </c>
      <c r="M190" s="27">
        <f t="shared" si="190"/>
        <v>119</v>
      </c>
      <c r="N190" s="27">
        <f t="shared" si="190"/>
        <v>5</v>
      </c>
      <c r="O190" s="27">
        <f t="shared" si="142"/>
        <v>4.2016806722689077</v>
      </c>
    </row>
    <row r="191" spans="1:15" ht="63">
      <c r="A191" s="31" t="s">
        <v>237</v>
      </c>
      <c r="B191" s="216">
        <v>902</v>
      </c>
      <c r="C191" s="214" t="s">
        <v>203</v>
      </c>
      <c r="D191" s="214" t="s">
        <v>287</v>
      </c>
      <c r="E191" s="214" t="s">
        <v>236</v>
      </c>
      <c r="F191" s="221" t="s">
        <v>213</v>
      </c>
      <c r="G191" s="27">
        <v>0</v>
      </c>
      <c r="H191" s="27">
        <v>0</v>
      </c>
      <c r="I191" s="27">
        <v>0</v>
      </c>
      <c r="J191" s="27">
        <v>100</v>
      </c>
      <c r="K191" s="27">
        <v>100</v>
      </c>
      <c r="L191" s="27">
        <v>100</v>
      </c>
      <c r="M191" s="27">
        <f>100+20-1</f>
        <v>119</v>
      </c>
      <c r="N191" s="27">
        <v>5</v>
      </c>
      <c r="O191" s="27">
        <f t="shared" si="142"/>
        <v>4.2016806722689077</v>
      </c>
    </row>
    <row r="192" spans="1:15" ht="31.5">
      <c r="A192" s="26" t="s">
        <v>987</v>
      </c>
      <c r="B192" s="216">
        <v>902</v>
      </c>
      <c r="C192" s="214" t="s">
        <v>203</v>
      </c>
      <c r="D192" s="214" t="s">
        <v>287</v>
      </c>
      <c r="E192" s="214" t="s">
        <v>989</v>
      </c>
      <c r="F192" s="221"/>
      <c r="G192" s="27"/>
      <c r="H192" s="27"/>
      <c r="I192" s="27"/>
      <c r="J192" s="27"/>
      <c r="K192" s="27"/>
      <c r="L192" s="27"/>
      <c r="M192" s="27">
        <f>M193</f>
        <v>1</v>
      </c>
      <c r="N192" s="27">
        <f t="shared" ref="N192:N193" si="192">N193</f>
        <v>0</v>
      </c>
      <c r="O192" s="27">
        <f t="shared" si="142"/>
        <v>0</v>
      </c>
    </row>
    <row r="193" spans="1:15" ht="15.75">
      <c r="A193" s="31" t="s">
        <v>188</v>
      </c>
      <c r="B193" s="216">
        <v>902</v>
      </c>
      <c r="C193" s="214" t="s">
        <v>203</v>
      </c>
      <c r="D193" s="214" t="s">
        <v>287</v>
      </c>
      <c r="E193" s="214" t="s">
        <v>989</v>
      </c>
      <c r="F193" s="221" t="s">
        <v>198</v>
      </c>
      <c r="G193" s="27"/>
      <c r="H193" s="27"/>
      <c r="I193" s="27"/>
      <c r="J193" s="27"/>
      <c r="K193" s="27"/>
      <c r="L193" s="27"/>
      <c r="M193" s="27">
        <f>M194</f>
        <v>1</v>
      </c>
      <c r="N193" s="27">
        <f t="shared" si="192"/>
        <v>0</v>
      </c>
      <c r="O193" s="27">
        <f t="shared" si="142"/>
        <v>0</v>
      </c>
    </row>
    <row r="194" spans="1:15" ht="63">
      <c r="A194" s="31" t="s">
        <v>237</v>
      </c>
      <c r="B194" s="216">
        <v>902</v>
      </c>
      <c r="C194" s="214" t="s">
        <v>203</v>
      </c>
      <c r="D194" s="214" t="s">
        <v>287</v>
      </c>
      <c r="E194" s="214" t="s">
        <v>989</v>
      </c>
      <c r="F194" s="221" t="s">
        <v>213</v>
      </c>
      <c r="G194" s="27"/>
      <c r="H194" s="27"/>
      <c r="I194" s="27"/>
      <c r="J194" s="27"/>
      <c r="K194" s="27"/>
      <c r="L194" s="27"/>
      <c r="M194" s="27">
        <v>1</v>
      </c>
      <c r="N194" s="27">
        <v>0</v>
      </c>
      <c r="O194" s="27">
        <f t="shared" si="142"/>
        <v>0</v>
      </c>
    </row>
    <row r="195" spans="1:15" ht="15.75">
      <c r="A195" s="26" t="s">
        <v>174</v>
      </c>
      <c r="B195" s="216">
        <v>902</v>
      </c>
      <c r="C195" s="214" t="s">
        <v>203</v>
      </c>
      <c r="D195" s="214" t="s">
        <v>287</v>
      </c>
      <c r="E195" s="214" t="s">
        <v>175</v>
      </c>
      <c r="F195" s="214"/>
      <c r="G195" s="27">
        <f t="shared" ref="G195:L201" si="193">G196</f>
        <v>450</v>
      </c>
      <c r="H195" s="27">
        <f t="shared" ref="H195:H200" si="194">H196</f>
        <v>280</v>
      </c>
      <c r="I195" s="27">
        <f t="shared" si="193"/>
        <v>450</v>
      </c>
      <c r="J195" s="27">
        <f t="shared" si="193"/>
        <v>450</v>
      </c>
      <c r="K195" s="27">
        <f t="shared" si="193"/>
        <v>450</v>
      </c>
      <c r="L195" s="27">
        <f t="shared" si="193"/>
        <v>450</v>
      </c>
      <c r="M195" s="27">
        <f>M196</f>
        <v>799.6</v>
      </c>
      <c r="N195" s="27">
        <f t="shared" ref="N195" si="195">N196</f>
        <v>170</v>
      </c>
      <c r="O195" s="27">
        <f t="shared" si="142"/>
        <v>21.260630315157577</v>
      </c>
    </row>
    <row r="196" spans="1:15" ht="31.5">
      <c r="A196" s="26" t="s">
        <v>238</v>
      </c>
      <c r="B196" s="216">
        <v>902</v>
      </c>
      <c r="C196" s="214" t="s">
        <v>203</v>
      </c>
      <c r="D196" s="214" t="s">
        <v>287</v>
      </c>
      <c r="E196" s="214" t="s">
        <v>239</v>
      </c>
      <c r="F196" s="214"/>
      <c r="G196" s="27">
        <f t="shared" ref="G196:L196" si="196">G200</f>
        <v>450</v>
      </c>
      <c r="H196" s="27">
        <f t="shared" si="196"/>
        <v>280</v>
      </c>
      <c r="I196" s="27">
        <f t="shared" si="196"/>
        <v>450</v>
      </c>
      <c r="J196" s="27">
        <f t="shared" si="196"/>
        <v>450</v>
      </c>
      <c r="K196" s="27">
        <f t="shared" si="196"/>
        <v>450</v>
      </c>
      <c r="L196" s="27">
        <f t="shared" si="196"/>
        <v>450</v>
      </c>
      <c r="M196" s="27">
        <f>M200+M197</f>
        <v>799.6</v>
      </c>
      <c r="N196" s="27">
        <f t="shared" ref="N196" si="197">N200+N197</f>
        <v>170</v>
      </c>
      <c r="O196" s="27">
        <f t="shared" si="142"/>
        <v>21.260630315157577</v>
      </c>
    </row>
    <row r="197" spans="1:15" ht="31.5">
      <c r="A197" s="26" t="s">
        <v>987</v>
      </c>
      <c r="B197" s="216">
        <v>902</v>
      </c>
      <c r="C197" s="214" t="s">
        <v>203</v>
      </c>
      <c r="D197" s="214" t="s">
        <v>287</v>
      </c>
      <c r="E197" s="214" t="s">
        <v>988</v>
      </c>
      <c r="F197" s="214"/>
      <c r="G197" s="27"/>
      <c r="H197" s="27"/>
      <c r="I197" s="27"/>
      <c r="J197" s="27"/>
      <c r="K197" s="27"/>
      <c r="L197" s="27"/>
      <c r="M197" s="27">
        <f>M198</f>
        <v>289.60000000000002</v>
      </c>
      <c r="N197" s="27">
        <f t="shared" ref="N197:N198" si="198">N198</f>
        <v>0</v>
      </c>
      <c r="O197" s="27">
        <f t="shared" si="142"/>
        <v>0</v>
      </c>
    </row>
    <row r="198" spans="1:15" ht="15.75">
      <c r="A198" s="31" t="s">
        <v>188</v>
      </c>
      <c r="B198" s="216">
        <v>902</v>
      </c>
      <c r="C198" s="214" t="s">
        <v>203</v>
      </c>
      <c r="D198" s="214" t="s">
        <v>287</v>
      </c>
      <c r="E198" s="214" t="s">
        <v>988</v>
      </c>
      <c r="F198" s="214" t="s">
        <v>198</v>
      </c>
      <c r="G198" s="27"/>
      <c r="H198" s="27"/>
      <c r="I198" s="27"/>
      <c r="J198" s="27"/>
      <c r="K198" s="27"/>
      <c r="L198" s="27"/>
      <c r="M198" s="27">
        <f>M199</f>
        <v>289.60000000000002</v>
      </c>
      <c r="N198" s="27">
        <f t="shared" si="198"/>
        <v>0</v>
      </c>
      <c r="O198" s="27">
        <f t="shared" si="142"/>
        <v>0</v>
      </c>
    </row>
    <row r="199" spans="1:15" ht="63">
      <c r="A199" s="31" t="s">
        <v>237</v>
      </c>
      <c r="B199" s="216">
        <v>902</v>
      </c>
      <c r="C199" s="214" t="s">
        <v>203</v>
      </c>
      <c r="D199" s="214" t="s">
        <v>287</v>
      </c>
      <c r="E199" s="214" t="s">
        <v>988</v>
      </c>
      <c r="F199" s="214" t="s">
        <v>213</v>
      </c>
      <c r="G199" s="27"/>
      <c r="H199" s="27"/>
      <c r="I199" s="27"/>
      <c r="J199" s="27"/>
      <c r="K199" s="27"/>
      <c r="L199" s="27"/>
      <c r="M199" s="27">
        <v>289.60000000000002</v>
      </c>
      <c r="N199" s="27">
        <v>0</v>
      </c>
      <c r="O199" s="27">
        <f t="shared" si="142"/>
        <v>0</v>
      </c>
    </row>
    <row r="200" spans="1:15" ht="31.5">
      <c r="A200" s="26" t="s">
        <v>288</v>
      </c>
      <c r="B200" s="216">
        <v>902</v>
      </c>
      <c r="C200" s="214" t="s">
        <v>203</v>
      </c>
      <c r="D200" s="214" t="s">
        <v>287</v>
      </c>
      <c r="E200" s="214" t="s">
        <v>289</v>
      </c>
      <c r="F200" s="214"/>
      <c r="G200" s="27">
        <f t="shared" si="193"/>
        <v>450</v>
      </c>
      <c r="H200" s="27">
        <f t="shared" si="194"/>
        <v>280</v>
      </c>
      <c r="I200" s="27">
        <f t="shared" si="193"/>
        <v>450</v>
      </c>
      <c r="J200" s="27">
        <f t="shared" si="193"/>
        <v>450</v>
      </c>
      <c r="K200" s="27">
        <f t="shared" si="193"/>
        <v>450</v>
      </c>
      <c r="L200" s="27">
        <f t="shared" si="193"/>
        <v>450</v>
      </c>
      <c r="M200" s="27">
        <f t="shared" ref="M200:N201" si="199">M201</f>
        <v>510</v>
      </c>
      <c r="N200" s="27">
        <f t="shared" si="199"/>
        <v>170</v>
      </c>
      <c r="O200" s="27">
        <f t="shared" si="142"/>
        <v>33.333333333333329</v>
      </c>
    </row>
    <row r="201" spans="1:15" ht="15.75">
      <c r="A201" s="26" t="s">
        <v>188</v>
      </c>
      <c r="B201" s="216">
        <v>902</v>
      </c>
      <c r="C201" s="214" t="s">
        <v>203</v>
      </c>
      <c r="D201" s="214" t="s">
        <v>287</v>
      </c>
      <c r="E201" s="214" t="s">
        <v>289</v>
      </c>
      <c r="F201" s="214" t="s">
        <v>198</v>
      </c>
      <c r="G201" s="27">
        <f>G202</f>
        <v>450</v>
      </c>
      <c r="H201" s="27">
        <f>H202</f>
        <v>280</v>
      </c>
      <c r="I201" s="27">
        <f t="shared" si="193"/>
        <v>450</v>
      </c>
      <c r="J201" s="27">
        <f t="shared" si="193"/>
        <v>450</v>
      </c>
      <c r="K201" s="27">
        <f t="shared" si="193"/>
        <v>450</v>
      </c>
      <c r="L201" s="27">
        <f t="shared" si="193"/>
        <v>450</v>
      </c>
      <c r="M201" s="27">
        <f t="shared" si="199"/>
        <v>510</v>
      </c>
      <c r="N201" s="27">
        <f t="shared" si="199"/>
        <v>170</v>
      </c>
      <c r="O201" s="27">
        <f t="shared" si="142"/>
        <v>33.333333333333329</v>
      </c>
    </row>
    <row r="202" spans="1:15" ht="50.25" customHeight="1">
      <c r="A202" s="26" t="s">
        <v>237</v>
      </c>
      <c r="B202" s="216">
        <v>902</v>
      </c>
      <c r="C202" s="214" t="s">
        <v>203</v>
      </c>
      <c r="D202" s="214" t="s">
        <v>287</v>
      </c>
      <c r="E202" s="214" t="s">
        <v>289</v>
      </c>
      <c r="F202" s="214" t="s">
        <v>213</v>
      </c>
      <c r="G202" s="27">
        <f>310+140</f>
        <v>450</v>
      </c>
      <c r="H202" s="27">
        <v>280</v>
      </c>
      <c r="I202" s="27">
        <f t="shared" ref="I202:L202" si="200">310+140</f>
        <v>450</v>
      </c>
      <c r="J202" s="27">
        <f t="shared" si="200"/>
        <v>450</v>
      </c>
      <c r="K202" s="27">
        <f t="shared" si="200"/>
        <v>450</v>
      </c>
      <c r="L202" s="27">
        <f t="shared" si="200"/>
        <v>450</v>
      </c>
      <c r="M202" s="27">
        <f>'прил.№1 доходы'!I113</f>
        <v>510</v>
      </c>
      <c r="N202" s="27">
        <v>170</v>
      </c>
      <c r="O202" s="27">
        <f t="shared" si="142"/>
        <v>33.333333333333329</v>
      </c>
    </row>
    <row r="203" spans="1:15" ht="31.5">
      <c r="A203" s="24" t="s">
        <v>290</v>
      </c>
      <c r="B203" s="213">
        <v>902</v>
      </c>
      <c r="C203" s="215" t="s">
        <v>203</v>
      </c>
      <c r="D203" s="215" t="s">
        <v>291</v>
      </c>
      <c r="E203" s="215"/>
      <c r="F203" s="215"/>
      <c r="G203" s="22">
        <f>G208+G204</f>
        <v>1371.3999999999999</v>
      </c>
      <c r="H203" s="22">
        <f t="shared" ref="H203:L203" si="201">H208+H204</f>
        <v>763.19999999999993</v>
      </c>
      <c r="I203" s="22">
        <f t="shared" si="201"/>
        <v>1371.3999999999999</v>
      </c>
      <c r="J203" s="22">
        <f t="shared" si="201"/>
        <v>1911.3999999999999</v>
      </c>
      <c r="K203" s="22">
        <f t="shared" si="201"/>
        <v>1911.3999999999999</v>
      </c>
      <c r="L203" s="22">
        <f t="shared" si="201"/>
        <v>1911.3999999999999</v>
      </c>
      <c r="M203" s="22">
        <f>M208+M204</f>
        <v>1151.3</v>
      </c>
      <c r="N203" s="22">
        <f t="shared" ref="N203" si="202">N208+N204</f>
        <v>78.2</v>
      </c>
      <c r="O203" s="22">
        <f t="shared" si="142"/>
        <v>6.7923217232693487</v>
      </c>
    </row>
    <row r="204" spans="1:15" ht="63">
      <c r="A204" s="26" t="s">
        <v>208</v>
      </c>
      <c r="B204" s="216">
        <v>902</v>
      </c>
      <c r="C204" s="214" t="s">
        <v>203</v>
      </c>
      <c r="D204" s="214" t="s">
        <v>291</v>
      </c>
      <c r="E204" s="214" t="s">
        <v>209</v>
      </c>
      <c r="F204" s="214"/>
      <c r="G204" s="27">
        <f>G205</f>
        <v>0</v>
      </c>
      <c r="H204" s="27">
        <f t="shared" ref="H204:N206" si="203">H205</f>
        <v>0</v>
      </c>
      <c r="I204" s="27">
        <f t="shared" si="203"/>
        <v>0</v>
      </c>
      <c r="J204" s="27">
        <f t="shared" si="203"/>
        <v>540</v>
      </c>
      <c r="K204" s="27">
        <f t="shared" si="203"/>
        <v>540</v>
      </c>
      <c r="L204" s="27">
        <f t="shared" si="203"/>
        <v>540</v>
      </c>
      <c r="M204" s="27">
        <f t="shared" si="203"/>
        <v>250</v>
      </c>
      <c r="N204" s="27">
        <f t="shared" si="203"/>
        <v>0</v>
      </c>
      <c r="O204" s="27">
        <f t="shared" si="142"/>
        <v>0</v>
      </c>
    </row>
    <row r="205" spans="1:15" ht="31.5">
      <c r="A205" s="26" t="s">
        <v>210</v>
      </c>
      <c r="B205" s="216">
        <v>902</v>
      </c>
      <c r="C205" s="214" t="s">
        <v>203</v>
      </c>
      <c r="D205" s="214" t="s">
        <v>291</v>
      </c>
      <c r="E205" s="214" t="s">
        <v>211</v>
      </c>
      <c r="F205" s="214"/>
      <c r="G205" s="27">
        <f>G206</f>
        <v>0</v>
      </c>
      <c r="H205" s="27">
        <f t="shared" si="203"/>
        <v>0</v>
      </c>
      <c r="I205" s="27">
        <f t="shared" si="203"/>
        <v>0</v>
      </c>
      <c r="J205" s="27">
        <f t="shared" si="203"/>
        <v>540</v>
      </c>
      <c r="K205" s="27">
        <f t="shared" si="203"/>
        <v>540</v>
      </c>
      <c r="L205" s="27">
        <f t="shared" si="203"/>
        <v>540</v>
      </c>
      <c r="M205" s="27">
        <f t="shared" si="203"/>
        <v>250</v>
      </c>
      <c r="N205" s="27">
        <f t="shared" si="203"/>
        <v>0</v>
      </c>
      <c r="O205" s="27">
        <f t="shared" ref="O205:O268" si="204">N205/M205*100</f>
        <v>0</v>
      </c>
    </row>
    <row r="206" spans="1:15" ht="15.75">
      <c r="A206" s="26" t="s">
        <v>188</v>
      </c>
      <c r="B206" s="216">
        <v>902</v>
      </c>
      <c r="C206" s="214" t="s">
        <v>203</v>
      </c>
      <c r="D206" s="214" t="s">
        <v>291</v>
      </c>
      <c r="E206" s="214" t="s">
        <v>211</v>
      </c>
      <c r="F206" s="214" t="s">
        <v>198</v>
      </c>
      <c r="G206" s="27">
        <f>G207</f>
        <v>0</v>
      </c>
      <c r="H206" s="27">
        <f t="shared" si="203"/>
        <v>0</v>
      </c>
      <c r="I206" s="27">
        <f t="shared" si="203"/>
        <v>0</v>
      </c>
      <c r="J206" s="27">
        <f t="shared" si="203"/>
        <v>540</v>
      </c>
      <c r="K206" s="27">
        <f t="shared" si="203"/>
        <v>540</v>
      </c>
      <c r="L206" s="27">
        <f t="shared" si="203"/>
        <v>540</v>
      </c>
      <c r="M206" s="27">
        <f t="shared" si="203"/>
        <v>250</v>
      </c>
      <c r="N206" s="27">
        <f t="shared" si="203"/>
        <v>0</v>
      </c>
      <c r="O206" s="27">
        <f t="shared" si="204"/>
        <v>0</v>
      </c>
    </row>
    <row r="207" spans="1:15" ht="78.75">
      <c r="A207" s="26" t="s">
        <v>212</v>
      </c>
      <c r="B207" s="216">
        <v>902</v>
      </c>
      <c r="C207" s="214" t="s">
        <v>203</v>
      </c>
      <c r="D207" s="214" t="s">
        <v>291</v>
      </c>
      <c r="E207" s="214" t="s">
        <v>211</v>
      </c>
      <c r="F207" s="214" t="s">
        <v>213</v>
      </c>
      <c r="G207" s="27">
        <v>0</v>
      </c>
      <c r="H207" s="27">
        <v>0</v>
      </c>
      <c r="I207" s="27">
        <v>0</v>
      </c>
      <c r="J207" s="27">
        <v>540</v>
      </c>
      <c r="K207" s="27">
        <v>540</v>
      </c>
      <c r="L207" s="27">
        <v>540</v>
      </c>
      <c r="M207" s="27">
        <f t="shared" ref="M207" si="205">100+150</f>
        <v>250</v>
      </c>
      <c r="N207" s="27">
        <v>0</v>
      </c>
      <c r="O207" s="27">
        <f t="shared" si="204"/>
        <v>0</v>
      </c>
    </row>
    <row r="208" spans="1:15" ht="15.75">
      <c r="A208" s="26" t="s">
        <v>174</v>
      </c>
      <c r="B208" s="216">
        <v>902</v>
      </c>
      <c r="C208" s="214" t="s">
        <v>203</v>
      </c>
      <c r="D208" s="214" t="s">
        <v>291</v>
      </c>
      <c r="E208" s="214" t="s">
        <v>175</v>
      </c>
      <c r="F208" s="215"/>
      <c r="G208" s="27">
        <f>G209</f>
        <v>1371.3999999999999</v>
      </c>
      <c r="H208" s="27">
        <f>H209</f>
        <v>763.19999999999993</v>
      </c>
      <c r="I208" s="27">
        <f t="shared" ref="I208:L208" si="206">I209</f>
        <v>1371.3999999999999</v>
      </c>
      <c r="J208" s="27">
        <f t="shared" si="206"/>
        <v>1371.3999999999999</v>
      </c>
      <c r="K208" s="27">
        <f t="shared" si="206"/>
        <v>1371.3999999999999</v>
      </c>
      <c r="L208" s="27">
        <f t="shared" si="206"/>
        <v>1371.3999999999999</v>
      </c>
      <c r="M208" s="27">
        <f t="shared" ref="M208:N208" si="207">M209</f>
        <v>901.3</v>
      </c>
      <c r="N208" s="27">
        <f t="shared" si="207"/>
        <v>78.2</v>
      </c>
      <c r="O208" s="27">
        <f t="shared" si="204"/>
        <v>8.6763563741262626</v>
      </c>
    </row>
    <row r="209" spans="1:15" ht="31.5">
      <c r="A209" s="26" t="s">
        <v>238</v>
      </c>
      <c r="B209" s="216">
        <v>902</v>
      </c>
      <c r="C209" s="214" t="s">
        <v>203</v>
      </c>
      <c r="D209" s="214" t="s">
        <v>291</v>
      </c>
      <c r="E209" s="214" t="s">
        <v>239</v>
      </c>
      <c r="F209" s="215"/>
      <c r="G209" s="27">
        <f>G213+G210</f>
        <v>1371.3999999999999</v>
      </c>
      <c r="H209" s="27">
        <f>H213+H210</f>
        <v>763.19999999999993</v>
      </c>
      <c r="I209" s="27">
        <f t="shared" ref="I209:L209" si="208">I213+I210</f>
        <v>1371.3999999999999</v>
      </c>
      <c r="J209" s="27">
        <f t="shared" si="208"/>
        <v>1371.3999999999999</v>
      </c>
      <c r="K209" s="27">
        <f t="shared" si="208"/>
        <v>1371.3999999999999</v>
      </c>
      <c r="L209" s="27">
        <f t="shared" si="208"/>
        <v>1371.3999999999999</v>
      </c>
      <c r="M209" s="27">
        <f>M213+M210</f>
        <v>901.3</v>
      </c>
      <c r="N209" s="27">
        <f t="shared" ref="N209" si="209">N213+N210</f>
        <v>78.2</v>
      </c>
      <c r="O209" s="27">
        <f t="shared" si="204"/>
        <v>8.6763563741262626</v>
      </c>
    </row>
    <row r="210" spans="1:15" ht="31.5" hidden="1">
      <c r="A210" s="26" t="s">
        <v>292</v>
      </c>
      <c r="B210" s="216">
        <v>902</v>
      </c>
      <c r="C210" s="214" t="s">
        <v>203</v>
      </c>
      <c r="D210" s="214" t="s">
        <v>291</v>
      </c>
      <c r="E210" s="214" t="s">
        <v>293</v>
      </c>
      <c r="F210" s="215"/>
      <c r="G210" s="27">
        <f t="shared" ref="G210:L211" si="210">G211</f>
        <v>90</v>
      </c>
      <c r="H210" s="27">
        <f t="shared" ref="H210:H211" si="211">H211</f>
        <v>0</v>
      </c>
      <c r="I210" s="27">
        <f t="shared" si="210"/>
        <v>90</v>
      </c>
      <c r="J210" s="27">
        <f t="shared" si="210"/>
        <v>90</v>
      </c>
      <c r="K210" s="27">
        <f t="shared" si="210"/>
        <v>90</v>
      </c>
      <c r="L210" s="27">
        <f t="shared" si="210"/>
        <v>90</v>
      </c>
      <c r="M210" s="27">
        <f t="shared" ref="M210:N211" si="212">M211</f>
        <v>0</v>
      </c>
      <c r="N210" s="27">
        <f t="shared" si="212"/>
        <v>0</v>
      </c>
      <c r="O210" s="27" t="e">
        <f t="shared" si="204"/>
        <v>#DIV/0!</v>
      </c>
    </row>
    <row r="211" spans="1:15" ht="15.75" hidden="1">
      <c r="A211" s="26" t="s">
        <v>188</v>
      </c>
      <c r="B211" s="216">
        <v>902</v>
      </c>
      <c r="C211" s="214" t="s">
        <v>203</v>
      </c>
      <c r="D211" s="214" t="s">
        <v>291</v>
      </c>
      <c r="E211" s="214" t="s">
        <v>293</v>
      </c>
      <c r="F211" s="214" t="s">
        <v>198</v>
      </c>
      <c r="G211" s="27">
        <f t="shared" si="210"/>
        <v>90</v>
      </c>
      <c r="H211" s="27">
        <f t="shared" si="211"/>
        <v>0</v>
      </c>
      <c r="I211" s="27">
        <f t="shared" si="210"/>
        <v>90</v>
      </c>
      <c r="J211" s="27">
        <f t="shared" si="210"/>
        <v>90</v>
      </c>
      <c r="K211" s="27">
        <f t="shared" si="210"/>
        <v>90</v>
      </c>
      <c r="L211" s="27">
        <f t="shared" si="210"/>
        <v>90</v>
      </c>
      <c r="M211" s="27">
        <f t="shared" si="212"/>
        <v>0</v>
      </c>
      <c r="N211" s="27">
        <f t="shared" si="212"/>
        <v>0</v>
      </c>
      <c r="O211" s="27" t="e">
        <f t="shared" si="204"/>
        <v>#DIV/0!</v>
      </c>
    </row>
    <row r="212" spans="1:15" ht="63" hidden="1">
      <c r="A212" s="26" t="s">
        <v>237</v>
      </c>
      <c r="B212" s="216">
        <v>902</v>
      </c>
      <c r="C212" s="214" t="s">
        <v>203</v>
      </c>
      <c r="D212" s="214" t="s">
        <v>291</v>
      </c>
      <c r="E212" s="214" t="s">
        <v>293</v>
      </c>
      <c r="F212" s="214" t="s">
        <v>213</v>
      </c>
      <c r="G212" s="27">
        <v>90</v>
      </c>
      <c r="H212" s="27">
        <v>0</v>
      </c>
      <c r="I212" s="27">
        <v>90</v>
      </c>
      <c r="J212" s="27">
        <v>90</v>
      </c>
      <c r="K212" s="27">
        <v>90</v>
      </c>
      <c r="L212" s="27">
        <v>90</v>
      </c>
      <c r="M212" s="27">
        <v>0</v>
      </c>
      <c r="N212" s="27">
        <v>0</v>
      </c>
      <c r="O212" s="27" t="e">
        <f t="shared" si="204"/>
        <v>#DIV/0!</v>
      </c>
    </row>
    <row r="213" spans="1:15" ht="63">
      <c r="A213" s="33" t="s">
        <v>294</v>
      </c>
      <c r="B213" s="216">
        <v>902</v>
      </c>
      <c r="C213" s="214" t="s">
        <v>203</v>
      </c>
      <c r="D213" s="214" t="s">
        <v>291</v>
      </c>
      <c r="E213" s="214" t="s">
        <v>295</v>
      </c>
      <c r="F213" s="214"/>
      <c r="G213" s="27">
        <f>G214+G216</f>
        <v>1281.3999999999999</v>
      </c>
      <c r="H213" s="27">
        <f>H214+H216</f>
        <v>763.19999999999993</v>
      </c>
      <c r="I213" s="27">
        <f t="shared" ref="I213:L213" si="213">I214+I216</f>
        <v>1281.3999999999999</v>
      </c>
      <c r="J213" s="27">
        <f t="shared" si="213"/>
        <v>1281.3999999999999</v>
      </c>
      <c r="K213" s="27">
        <f t="shared" si="213"/>
        <v>1281.3999999999999</v>
      </c>
      <c r="L213" s="27">
        <f t="shared" si="213"/>
        <v>1281.3999999999999</v>
      </c>
      <c r="M213" s="27">
        <f t="shared" ref="M213:N213" si="214">M214+M216</f>
        <v>901.3</v>
      </c>
      <c r="N213" s="27">
        <f t="shared" si="214"/>
        <v>78.2</v>
      </c>
      <c r="O213" s="27">
        <f t="shared" si="204"/>
        <v>8.6763563741262626</v>
      </c>
    </row>
    <row r="214" spans="1:15" ht="94.5">
      <c r="A214" s="26" t="s">
        <v>180</v>
      </c>
      <c r="B214" s="216">
        <v>902</v>
      </c>
      <c r="C214" s="214" t="s">
        <v>203</v>
      </c>
      <c r="D214" s="214" t="s">
        <v>291</v>
      </c>
      <c r="E214" s="214" t="s">
        <v>295</v>
      </c>
      <c r="F214" s="214" t="s">
        <v>181</v>
      </c>
      <c r="G214" s="27">
        <f>G215</f>
        <v>1116.3999999999999</v>
      </c>
      <c r="H214" s="27">
        <f>H215</f>
        <v>716.3</v>
      </c>
      <c r="I214" s="27">
        <f t="shared" ref="I214:L214" si="215">I215</f>
        <v>1116.3999999999999</v>
      </c>
      <c r="J214" s="27">
        <f t="shared" si="215"/>
        <v>1116.3999999999999</v>
      </c>
      <c r="K214" s="27">
        <f t="shared" si="215"/>
        <v>1116.3999999999999</v>
      </c>
      <c r="L214" s="27">
        <f t="shared" si="215"/>
        <v>1116.3999999999999</v>
      </c>
      <c r="M214" s="27">
        <f t="shared" ref="M214:N214" si="216">M215</f>
        <v>779.69999999999993</v>
      </c>
      <c r="N214" s="27">
        <f t="shared" si="216"/>
        <v>74.7</v>
      </c>
      <c r="O214" s="27">
        <f t="shared" si="204"/>
        <v>9.5806079261254347</v>
      </c>
    </row>
    <row r="215" spans="1:15" ht="31.5">
      <c r="A215" s="26" t="s">
        <v>182</v>
      </c>
      <c r="B215" s="216">
        <v>902</v>
      </c>
      <c r="C215" s="214" t="s">
        <v>203</v>
      </c>
      <c r="D215" s="214" t="s">
        <v>291</v>
      </c>
      <c r="E215" s="214" t="s">
        <v>295</v>
      </c>
      <c r="F215" s="214" t="s">
        <v>183</v>
      </c>
      <c r="G215" s="27">
        <f>1302-123.4-62.2</f>
        <v>1116.3999999999999</v>
      </c>
      <c r="H215" s="27">
        <v>716.3</v>
      </c>
      <c r="I215" s="27">
        <f t="shared" ref="I215:L215" si="217">1302-123.4-62.2</f>
        <v>1116.3999999999999</v>
      </c>
      <c r="J215" s="27">
        <f t="shared" si="217"/>
        <v>1116.3999999999999</v>
      </c>
      <c r="K215" s="27">
        <f t="shared" si="217"/>
        <v>1116.3999999999999</v>
      </c>
      <c r="L215" s="27">
        <f t="shared" si="217"/>
        <v>1116.3999999999999</v>
      </c>
      <c r="M215" s="27">
        <f>901.3-361.1+239.5</f>
        <v>779.69999999999993</v>
      </c>
      <c r="N215" s="27">
        <v>74.7</v>
      </c>
      <c r="O215" s="27">
        <f t="shared" si="204"/>
        <v>9.5806079261254347</v>
      </c>
    </row>
    <row r="216" spans="1:15" ht="31.5">
      <c r="A216" s="26" t="s">
        <v>184</v>
      </c>
      <c r="B216" s="216">
        <v>902</v>
      </c>
      <c r="C216" s="214" t="s">
        <v>203</v>
      </c>
      <c r="D216" s="214" t="s">
        <v>291</v>
      </c>
      <c r="E216" s="214" t="s">
        <v>295</v>
      </c>
      <c r="F216" s="214" t="s">
        <v>185</v>
      </c>
      <c r="G216" s="27">
        <f>G217</f>
        <v>165</v>
      </c>
      <c r="H216" s="27">
        <f>H217</f>
        <v>46.9</v>
      </c>
      <c r="I216" s="27">
        <f t="shared" ref="I216:L216" si="218">I217</f>
        <v>165</v>
      </c>
      <c r="J216" s="27">
        <f t="shared" si="218"/>
        <v>165</v>
      </c>
      <c r="K216" s="27">
        <f t="shared" si="218"/>
        <v>165</v>
      </c>
      <c r="L216" s="27">
        <f t="shared" si="218"/>
        <v>165</v>
      </c>
      <c r="M216" s="27">
        <f t="shared" ref="M216:N216" si="219">M217</f>
        <v>121.60000000000002</v>
      </c>
      <c r="N216" s="27">
        <f t="shared" si="219"/>
        <v>3.5</v>
      </c>
      <c r="O216" s="27">
        <f t="shared" si="204"/>
        <v>2.8782894736842102</v>
      </c>
    </row>
    <row r="217" spans="1:15" ht="47.25">
      <c r="A217" s="26" t="s">
        <v>186</v>
      </c>
      <c r="B217" s="216">
        <v>902</v>
      </c>
      <c r="C217" s="214" t="s">
        <v>203</v>
      </c>
      <c r="D217" s="214" t="s">
        <v>291</v>
      </c>
      <c r="E217" s="214" t="s">
        <v>295</v>
      </c>
      <c r="F217" s="214" t="s">
        <v>187</v>
      </c>
      <c r="G217" s="27">
        <f>102.8+62.2</f>
        <v>165</v>
      </c>
      <c r="H217" s="27">
        <v>46.9</v>
      </c>
      <c r="I217" s="27">
        <f t="shared" ref="I217:L217" si="220">102.8+62.2</f>
        <v>165</v>
      </c>
      <c r="J217" s="27">
        <f t="shared" si="220"/>
        <v>165</v>
      </c>
      <c r="K217" s="27">
        <f t="shared" si="220"/>
        <v>165</v>
      </c>
      <c r="L217" s="27">
        <f t="shared" si="220"/>
        <v>165</v>
      </c>
      <c r="M217" s="27">
        <f>361.1-239.5</f>
        <v>121.60000000000002</v>
      </c>
      <c r="N217" s="27">
        <v>3.5</v>
      </c>
      <c r="O217" s="27">
        <f t="shared" si="204"/>
        <v>2.8782894736842102</v>
      </c>
    </row>
    <row r="218" spans="1:15" ht="16.5" customHeight="1">
      <c r="A218" s="24" t="s">
        <v>296</v>
      </c>
      <c r="B218" s="213">
        <v>902</v>
      </c>
      <c r="C218" s="215" t="s">
        <v>297</v>
      </c>
      <c r="D218" s="215"/>
      <c r="E218" s="215"/>
      <c r="F218" s="215"/>
      <c r="G218" s="22">
        <f>G219+G225+G235</f>
        <v>12224.9</v>
      </c>
      <c r="H218" s="22">
        <f t="shared" ref="H218" si="221">H219+H225+H235</f>
        <v>8816</v>
      </c>
      <c r="I218" s="22">
        <f t="shared" ref="I218:L218" si="222">I219+I225+I235</f>
        <v>12214.9</v>
      </c>
      <c r="J218" s="22">
        <f t="shared" si="222"/>
        <v>12225</v>
      </c>
      <c r="K218" s="22">
        <f t="shared" si="222"/>
        <v>12225</v>
      </c>
      <c r="L218" s="22">
        <f t="shared" si="222"/>
        <v>12225</v>
      </c>
      <c r="M218" s="22">
        <f t="shared" ref="M218:N218" si="223">M219+M225+M235</f>
        <v>12225.1</v>
      </c>
      <c r="N218" s="22">
        <f t="shared" si="223"/>
        <v>2757.6</v>
      </c>
      <c r="O218" s="22">
        <f t="shared" si="204"/>
        <v>22.556870700444168</v>
      </c>
    </row>
    <row r="219" spans="1:15" ht="15.75">
      <c r="A219" s="24" t="s">
        <v>298</v>
      </c>
      <c r="B219" s="213">
        <v>902</v>
      </c>
      <c r="C219" s="215" t="s">
        <v>297</v>
      </c>
      <c r="D219" s="215" t="s">
        <v>171</v>
      </c>
      <c r="E219" s="215"/>
      <c r="F219" s="215"/>
      <c r="G219" s="22">
        <f>G220</f>
        <v>9066.4</v>
      </c>
      <c r="H219" s="22">
        <f t="shared" ref="H219:L219" si="224">H220</f>
        <v>6799.8</v>
      </c>
      <c r="I219" s="22">
        <f t="shared" si="224"/>
        <v>9066.4</v>
      </c>
      <c r="J219" s="22">
        <f t="shared" si="224"/>
        <v>9066.5</v>
      </c>
      <c r="K219" s="22">
        <f t="shared" si="224"/>
        <v>9066.5</v>
      </c>
      <c r="L219" s="22">
        <f t="shared" si="224"/>
        <v>9066.5</v>
      </c>
      <c r="M219" s="22">
        <f t="shared" ref="M219:N223" si="225">M220</f>
        <v>9066.4</v>
      </c>
      <c r="N219" s="22">
        <f t="shared" si="225"/>
        <v>2266.6</v>
      </c>
      <c r="O219" s="22">
        <f t="shared" si="204"/>
        <v>25</v>
      </c>
    </row>
    <row r="220" spans="1:15" ht="15.75">
      <c r="A220" s="26" t="s">
        <v>174</v>
      </c>
      <c r="B220" s="216">
        <v>902</v>
      </c>
      <c r="C220" s="214" t="s">
        <v>297</v>
      </c>
      <c r="D220" s="214" t="s">
        <v>171</v>
      </c>
      <c r="E220" s="214" t="s">
        <v>175</v>
      </c>
      <c r="F220" s="214"/>
      <c r="G220" s="27">
        <f t="shared" ref="G220:L223" si="226">G221</f>
        <v>9066.4</v>
      </c>
      <c r="H220" s="27">
        <f t="shared" ref="H220:H222" si="227">H221</f>
        <v>6799.8</v>
      </c>
      <c r="I220" s="27">
        <f t="shared" si="226"/>
        <v>9066.4</v>
      </c>
      <c r="J220" s="27">
        <f t="shared" si="226"/>
        <v>9066.5</v>
      </c>
      <c r="K220" s="27">
        <f t="shared" si="226"/>
        <v>9066.5</v>
      </c>
      <c r="L220" s="27">
        <f t="shared" si="226"/>
        <v>9066.5</v>
      </c>
      <c r="M220" s="27">
        <f t="shared" si="225"/>
        <v>9066.4</v>
      </c>
      <c r="N220" s="27">
        <f t="shared" si="225"/>
        <v>2266.6</v>
      </c>
      <c r="O220" s="27">
        <f t="shared" si="204"/>
        <v>25</v>
      </c>
    </row>
    <row r="221" spans="1:15" ht="15.75">
      <c r="A221" s="26" t="s">
        <v>194</v>
      </c>
      <c r="B221" s="216">
        <v>902</v>
      </c>
      <c r="C221" s="214" t="s">
        <v>297</v>
      </c>
      <c r="D221" s="214" t="s">
        <v>171</v>
      </c>
      <c r="E221" s="214" t="s">
        <v>195</v>
      </c>
      <c r="F221" s="214"/>
      <c r="G221" s="27">
        <f>G222</f>
        <v>9066.4</v>
      </c>
      <c r="H221" s="27">
        <f>H222</f>
        <v>6799.8</v>
      </c>
      <c r="I221" s="27">
        <f t="shared" si="226"/>
        <v>9066.4</v>
      </c>
      <c r="J221" s="27">
        <f t="shared" si="226"/>
        <v>9066.5</v>
      </c>
      <c r="K221" s="27">
        <f t="shared" si="226"/>
        <v>9066.5</v>
      </c>
      <c r="L221" s="27">
        <f t="shared" si="226"/>
        <v>9066.5</v>
      </c>
      <c r="M221" s="27">
        <f t="shared" si="225"/>
        <v>9066.4</v>
      </c>
      <c r="N221" s="27">
        <f t="shared" si="225"/>
        <v>2266.6</v>
      </c>
      <c r="O221" s="27">
        <f t="shared" si="204"/>
        <v>25</v>
      </c>
    </row>
    <row r="222" spans="1:15" ht="15.75">
      <c r="A222" s="26" t="s">
        <v>299</v>
      </c>
      <c r="B222" s="216">
        <v>902</v>
      </c>
      <c r="C222" s="214" t="s">
        <v>297</v>
      </c>
      <c r="D222" s="214" t="s">
        <v>171</v>
      </c>
      <c r="E222" s="214" t="s">
        <v>300</v>
      </c>
      <c r="F222" s="214"/>
      <c r="G222" s="27">
        <f t="shared" si="226"/>
        <v>9066.4</v>
      </c>
      <c r="H222" s="27">
        <f t="shared" si="227"/>
        <v>6799.8</v>
      </c>
      <c r="I222" s="27">
        <f t="shared" si="226"/>
        <v>9066.4</v>
      </c>
      <c r="J222" s="27">
        <f t="shared" si="226"/>
        <v>9066.5</v>
      </c>
      <c r="K222" s="27">
        <f t="shared" si="226"/>
        <v>9066.5</v>
      </c>
      <c r="L222" s="27">
        <f t="shared" si="226"/>
        <v>9066.5</v>
      </c>
      <c r="M222" s="27">
        <f t="shared" si="225"/>
        <v>9066.4</v>
      </c>
      <c r="N222" s="27">
        <f t="shared" si="225"/>
        <v>2266.6</v>
      </c>
      <c r="O222" s="27">
        <f t="shared" si="204"/>
        <v>25</v>
      </c>
    </row>
    <row r="223" spans="1:15" ht="31.5">
      <c r="A223" s="26" t="s">
        <v>301</v>
      </c>
      <c r="B223" s="216">
        <v>902</v>
      </c>
      <c r="C223" s="214" t="s">
        <v>297</v>
      </c>
      <c r="D223" s="214" t="s">
        <v>171</v>
      </c>
      <c r="E223" s="214" t="s">
        <v>300</v>
      </c>
      <c r="F223" s="214" t="s">
        <v>302</v>
      </c>
      <c r="G223" s="27">
        <f>G224</f>
        <v>9066.4</v>
      </c>
      <c r="H223" s="27">
        <f>H224</f>
        <v>6799.8</v>
      </c>
      <c r="I223" s="27">
        <f t="shared" si="226"/>
        <v>9066.4</v>
      </c>
      <c r="J223" s="27">
        <f t="shared" si="226"/>
        <v>9066.5</v>
      </c>
      <c r="K223" s="27">
        <f t="shared" si="226"/>
        <v>9066.5</v>
      </c>
      <c r="L223" s="27">
        <f t="shared" si="226"/>
        <v>9066.5</v>
      </c>
      <c r="M223" s="27">
        <f t="shared" si="225"/>
        <v>9066.4</v>
      </c>
      <c r="N223" s="27">
        <f t="shared" si="225"/>
        <v>2266.6</v>
      </c>
      <c r="O223" s="27">
        <f t="shared" si="204"/>
        <v>25</v>
      </c>
    </row>
    <row r="224" spans="1:15" ht="31.5">
      <c r="A224" s="26" t="s">
        <v>303</v>
      </c>
      <c r="B224" s="216">
        <v>902</v>
      </c>
      <c r="C224" s="214" t="s">
        <v>297</v>
      </c>
      <c r="D224" s="214" t="s">
        <v>171</v>
      </c>
      <c r="E224" s="214" t="s">
        <v>300</v>
      </c>
      <c r="F224" s="214" t="s">
        <v>304</v>
      </c>
      <c r="G224" s="28">
        <v>9066.4</v>
      </c>
      <c r="H224" s="28">
        <v>6799.8</v>
      </c>
      <c r="I224" s="28">
        <v>9066.4</v>
      </c>
      <c r="J224" s="28">
        <v>9066.5</v>
      </c>
      <c r="K224" s="28">
        <f>J224</f>
        <v>9066.5</v>
      </c>
      <c r="L224" s="28">
        <f>K224</f>
        <v>9066.5</v>
      </c>
      <c r="M224" s="28">
        <v>9066.4</v>
      </c>
      <c r="N224" s="28">
        <v>2266.6</v>
      </c>
      <c r="O224" s="27">
        <f t="shared" si="204"/>
        <v>25</v>
      </c>
    </row>
    <row r="225" spans="1:15" ht="15.75">
      <c r="A225" s="24" t="s">
        <v>305</v>
      </c>
      <c r="B225" s="213">
        <v>902</v>
      </c>
      <c r="C225" s="215" t="s">
        <v>297</v>
      </c>
      <c r="D225" s="215" t="s">
        <v>268</v>
      </c>
      <c r="E225" s="214"/>
      <c r="F225" s="214"/>
      <c r="G225" s="22">
        <f>G226+G230</f>
        <v>10</v>
      </c>
      <c r="H225" s="22">
        <f t="shared" ref="H225:L225" si="228">H226+H230</f>
        <v>0</v>
      </c>
      <c r="I225" s="22">
        <f t="shared" si="228"/>
        <v>0</v>
      </c>
      <c r="J225" s="22">
        <f t="shared" si="228"/>
        <v>10</v>
      </c>
      <c r="K225" s="22">
        <f t="shared" si="228"/>
        <v>10</v>
      </c>
      <c r="L225" s="22">
        <f t="shared" si="228"/>
        <v>10</v>
      </c>
      <c r="M225" s="22">
        <f t="shared" ref="M225:N225" si="229">M226+M230</f>
        <v>10</v>
      </c>
      <c r="N225" s="22">
        <f t="shared" si="229"/>
        <v>0</v>
      </c>
      <c r="O225" s="22">
        <f t="shared" si="204"/>
        <v>0</v>
      </c>
    </row>
    <row r="226" spans="1:15" ht="78.75">
      <c r="A226" s="26" t="s">
        <v>306</v>
      </c>
      <c r="B226" s="216">
        <v>902</v>
      </c>
      <c r="C226" s="214" t="s">
        <v>297</v>
      </c>
      <c r="D226" s="214" t="s">
        <v>268</v>
      </c>
      <c r="E226" s="214" t="s">
        <v>307</v>
      </c>
      <c r="F226" s="214"/>
      <c r="G226" s="27">
        <f>G227</f>
        <v>10</v>
      </c>
      <c r="H226" s="27">
        <f t="shared" ref="H226:H228" si="230">H227</f>
        <v>0</v>
      </c>
      <c r="I226" s="27">
        <f t="shared" ref="I226:L228" si="231">I227</f>
        <v>0</v>
      </c>
      <c r="J226" s="27">
        <f t="shared" si="231"/>
        <v>10</v>
      </c>
      <c r="K226" s="27">
        <f t="shared" si="231"/>
        <v>10</v>
      </c>
      <c r="L226" s="27">
        <f t="shared" si="231"/>
        <v>10</v>
      </c>
      <c r="M226" s="27">
        <f t="shared" ref="M226:N228" si="232">M227</f>
        <v>10</v>
      </c>
      <c r="N226" s="27">
        <f t="shared" si="232"/>
        <v>0</v>
      </c>
      <c r="O226" s="27">
        <f t="shared" si="204"/>
        <v>0</v>
      </c>
    </row>
    <row r="227" spans="1:15" ht="31.5">
      <c r="A227" s="26" t="s">
        <v>210</v>
      </c>
      <c r="B227" s="216">
        <v>902</v>
      </c>
      <c r="C227" s="214" t="s">
        <v>297</v>
      </c>
      <c r="D227" s="214" t="s">
        <v>268</v>
      </c>
      <c r="E227" s="214" t="s">
        <v>308</v>
      </c>
      <c r="F227" s="214"/>
      <c r="G227" s="27">
        <f>G228</f>
        <v>10</v>
      </c>
      <c r="H227" s="27">
        <f t="shared" si="230"/>
        <v>0</v>
      </c>
      <c r="I227" s="27">
        <f t="shared" si="231"/>
        <v>0</v>
      </c>
      <c r="J227" s="27">
        <f t="shared" si="231"/>
        <v>10</v>
      </c>
      <c r="K227" s="27">
        <f t="shared" si="231"/>
        <v>10</v>
      </c>
      <c r="L227" s="27">
        <f t="shared" si="231"/>
        <v>10</v>
      </c>
      <c r="M227" s="27">
        <f t="shared" si="232"/>
        <v>10</v>
      </c>
      <c r="N227" s="27">
        <f t="shared" si="232"/>
        <v>0</v>
      </c>
      <c r="O227" s="27">
        <f t="shared" si="204"/>
        <v>0</v>
      </c>
    </row>
    <row r="228" spans="1:15" ht="31.5">
      <c r="A228" s="26" t="s">
        <v>301</v>
      </c>
      <c r="B228" s="216">
        <v>902</v>
      </c>
      <c r="C228" s="214" t="s">
        <v>297</v>
      </c>
      <c r="D228" s="214" t="s">
        <v>268</v>
      </c>
      <c r="E228" s="214" t="s">
        <v>308</v>
      </c>
      <c r="F228" s="214" t="s">
        <v>302</v>
      </c>
      <c r="G228" s="27">
        <f>G229</f>
        <v>10</v>
      </c>
      <c r="H228" s="27">
        <f t="shared" si="230"/>
        <v>0</v>
      </c>
      <c r="I228" s="27">
        <f t="shared" si="231"/>
        <v>0</v>
      </c>
      <c r="J228" s="27">
        <f t="shared" si="231"/>
        <v>10</v>
      </c>
      <c r="K228" s="27">
        <f t="shared" si="231"/>
        <v>10</v>
      </c>
      <c r="L228" s="27">
        <f t="shared" si="231"/>
        <v>10</v>
      </c>
      <c r="M228" s="27">
        <f t="shared" si="232"/>
        <v>10</v>
      </c>
      <c r="N228" s="27">
        <f t="shared" si="232"/>
        <v>0</v>
      </c>
      <c r="O228" s="27">
        <f t="shared" si="204"/>
        <v>0</v>
      </c>
    </row>
    <row r="229" spans="1:15" ht="31.5">
      <c r="A229" s="26" t="s">
        <v>303</v>
      </c>
      <c r="B229" s="216">
        <v>902</v>
      </c>
      <c r="C229" s="214" t="s">
        <v>297</v>
      </c>
      <c r="D229" s="214" t="s">
        <v>268</v>
      </c>
      <c r="E229" s="214" t="s">
        <v>308</v>
      </c>
      <c r="F229" s="214" t="s">
        <v>304</v>
      </c>
      <c r="G229" s="27">
        <v>10</v>
      </c>
      <c r="H229" s="27">
        <v>0</v>
      </c>
      <c r="I229" s="27">
        <v>0</v>
      </c>
      <c r="J229" s="27">
        <v>10</v>
      </c>
      <c r="K229" s="27">
        <v>10</v>
      </c>
      <c r="L229" s="27">
        <v>10</v>
      </c>
      <c r="M229" s="27">
        <v>10</v>
      </c>
      <c r="N229" s="27">
        <v>0</v>
      </c>
      <c r="O229" s="27">
        <f t="shared" si="204"/>
        <v>0</v>
      </c>
    </row>
    <row r="230" spans="1:15" ht="15.75" hidden="1" customHeight="1">
      <c r="A230" s="26" t="s">
        <v>174</v>
      </c>
      <c r="B230" s="216">
        <v>902</v>
      </c>
      <c r="C230" s="214" t="s">
        <v>297</v>
      </c>
      <c r="D230" s="214" t="s">
        <v>268</v>
      </c>
      <c r="E230" s="214" t="s">
        <v>175</v>
      </c>
      <c r="F230" s="214"/>
      <c r="G230" s="27">
        <f>G231</f>
        <v>0</v>
      </c>
      <c r="H230" s="27">
        <f t="shared" ref="H230:H233" si="233">H231</f>
        <v>0</v>
      </c>
      <c r="I230" s="27">
        <f t="shared" ref="I230:L233" si="234">I231</f>
        <v>0</v>
      </c>
      <c r="J230" s="27">
        <f t="shared" si="234"/>
        <v>0</v>
      </c>
      <c r="K230" s="27">
        <f t="shared" si="234"/>
        <v>0</v>
      </c>
      <c r="L230" s="27">
        <f t="shared" si="234"/>
        <v>0</v>
      </c>
      <c r="M230" s="27">
        <f t="shared" ref="M230:N233" si="235">M231</f>
        <v>0</v>
      </c>
      <c r="N230" s="27">
        <f t="shared" si="235"/>
        <v>0</v>
      </c>
      <c r="O230" s="22" t="e">
        <f t="shared" si="204"/>
        <v>#DIV/0!</v>
      </c>
    </row>
    <row r="231" spans="1:15" ht="31.5" hidden="1" customHeight="1">
      <c r="A231" s="26" t="s">
        <v>238</v>
      </c>
      <c r="B231" s="216">
        <v>902</v>
      </c>
      <c r="C231" s="214" t="s">
        <v>297</v>
      </c>
      <c r="D231" s="214" t="s">
        <v>268</v>
      </c>
      <c r="E231" s="214" t="s">
        <v>239</v>
      </c>
      <c r="F231" s="214"/>
      <c r="G231" s="27">
        <f>G232</f>
        <v>0</v>
      </c>
      <c r="H231" s="27">
        <f t="shared" si="233"/>
        <v>0</v>
      </c>
      <c r="I231" s="27">
        <f t="shared" si="234"/>
        <v>0</v>
      </c>
      <c r="J231" s="27">
        <f t="shared" si="234"/>
        <v>0</v>
      </c>
      <c r="K231" s="27">
        <f t="shared" si="234"/>
        <v>0</v>
      </c>
      <c r="L231" s="27">
        <f t="shared" si="234"/>
        <v>0</v>
      </c>
      <c r="M231" s="27">
        <f t="shared" si="235"/>
        <v>0</v>
      </c>
      <c r="N231" s="27">
        <f t="shared" si="235"/>
        <v>0</v>
      </c>
      <c r="O231" s="22" t="e">
        <f t="shared" si="204"/>
        <v>#DIV/0!</v>
      </c>
    </row>
    <row r="232" spans="1:15" ht="47.25" hidden="1" customHeight="1">
      <c r="A232" s="33" t="s">
        <v>309</v>
      </c>
      <c r="B232" s="216">
        <v>902</v>
      </c>
      <c r="C232" s="214" t="s">
        <v>297</v>
      </c>
      <c r="D232" s="214" t="s">
        <v>268</v>
      </c>
      <c r="E232" s="214" t="s">
        <v>310</v>
      </c>
      <c r="F232" s="214"/>
      <c r="G232" s="27">
        <f>G233</f>
        <v>0</v>
      </c>
      <c r="H232" s="27">
        <f t="shared" si="233"/>
        <v>0</v>
      </c>
      <c r="I232" s="27">
        <f t="shared" si="234"/>
        <v>0</v>
      </c>
      <c r="J232" s="27">
        <f t="shared" si="234"/>
        <v>0</v>
      </c>
      <c r="K232" s="27">
        <f t="shared" si="234"/>
        <v>0</v>
      </c>
      <c r="L232" s="27">
        <f t="shared" si="234"/>
        <v>0</v>
      </c>
      <c r="M232" s="27">
        <f t="shared" si="235"/>
        <v>0</v>
      </c>
      <c r="N232" s="27">
        <f t="shared" si="235"/>
        <v>0</v>
      </c>
      <c r="O232" s="22" t="e">
        <f t="shared" si="204"/>
        <v>#DIV/0!</v>
      </c>
    </row>
    <row r="233" spans="1:15" ht="31.5" hidden="1" customHeight="1">
      <c r="A233" s="26" t="s">
        <v>301</v>
      </c>
      <c r="B233" s="216">
        <v>902</v>
      </c>
      <c r="C233" s="214" t="s">
        <v>297</v>
      </c>
      <c r="D233" s="214" t="s">
        <v>268</v>
      </c>
      <c r="E233" s="214" t="s">
        <v>310</v>
      </c>
      <c r="F233" s="214" t="s">
        <v>302</v>
      </c>
      <c r="G233" s="27">
        <f>G234</f>
        <v>0</v>
      </c>
      <c r="H233" s="27">
        <f t="shared" si="233"/>
        <v>0</v>
      </c>
      <c r="I233" s="27">
        <f t="shared" si="234"/>
        <v>0</v>
      </c>
      <c r="J233" s="27">
        <f t="shared" si="234"/>
        <v>0</v>
      </c>
      <c r="K233" s="27">
        <f t="shared" si="234"/>
        <v>0</v>
      </c>
      <c r="L233" s="27">
        <f t="shared" si="234"/>
        <v>0</v>
      </c>
      <c r="M233" s="27">
        <f t="shared" si="235"/>
        <v>0</v>
      </c>
      <c r="N233" s="27">
        <f t="shared" si="235"/>
        <v>0</v>
      </c>
      <c r="O233" s="22" t="e">
        <f t="shared" si="204"/>
        <v>#DIV/0!</v>
      </c>
    </row>
    <row r="234" spans="1:15" ht="31.5" hidden="1" customHeight="1">
      <c r="A234" s="26" t="s">
        <v>303</v>
      </c>
      <c r="B234" s="216">
        <v>902</v>
      </c>
      <c r="C234" s="214" t="s">
        <v>297</v>
      </c>
      <c r="D234" s="214" t="s">
        <v>268</v>
      </c>
      <c r="E234" s="214" t="s">
        <v>310</v>
      </c>
      <c r="F234" s="214" t="s">
        <v>304</v>
      </c>
      <c r="G234" s="27">
        <f>6250-6250</f>
        <v>0</v>
      </c>
      <c r="H234" s="27">
        <f>6250-6250</f>
        <v>0</v>
      </c>
      <c r="I234" s="27">
        <f t="shared" ref="I234:L234" si="236">6250-6250</f>
        <v>0</v>
      </c>
      <c r="J234" s="27">
        <f t="shared" si="236"/>
        <v>0</v>
      </c>
      <c r="K234" s="27">
        <f t="shared" si="236"/>
        <v>0</v>
      </c>
      <c r="L234" s="27">
        <f t="shared" si="236"/>
        <v>0</v>
      </c>
      <c r="M234" s="27">
        <f t="shared" ref="M234:N234" si="237">6250-6250</f>
        <v>0</v>
      </c>
      <c r="N234" s="27">
        <f t="shared" si="237"/>
        <v>0</v>
      </c>
      <c r="O234" s="22" t="e">
        <f t="shared" si="204"/>
        <v>#DIV/0!</v>
      </c>
    </row>
    <row r="235" spans="1:15" ht="31.5">
      <c r="A235" s="24" t="s">
        <v>311</v>
      </c>
      <c r="B235" s="213">
        <v>902</v>
      </c>
      <c r="C235" s="215" t="s">
        <v>297</v>
      </c>
      <c r="D235" s="215" t="s">
        <v>173</v>
      </c>
      <c r="E235" s="215"/>
      <c r="F235" s="215"/>
      <c r="G235" s="22">
        <f>G236</f>
        <v>3148.5000000000005</v>
      </c>
      <c r="H235" s="22">
        <f t="shared" ref="H235:L237" si="238">H236</f>
        <v>2016.2</v>
      </c>
      <c r="I235" s="22">
        <f t="shared" si="238"/>
        <v>3148.5000000000005</v>
      </c>
      <c r="J235" s="22">
        <f t="shared" si="238"/>
        <v>3148.5000000000005</v>
      </c>
      <c r="K235" s="22">
        <f t="shared" si="238"/>
        <v>3148.5000000000005</v>
      </c>
      <c r="L235" s="22">
        <f t="shared" si="238"/>
        <v>3148.5000000000005</v>
      </c>
      <c r="M235" s="22">
        <f t="shared" ref="M235:N237" si="239">M236</f>
        <v>3148.7000000000003</v>
      </c>
      <c r="N235" s="22">
        <f t="shared" si="239"/>
        <v>491</v>
      </c>
      <c r="O235" s="22">
        <f t="shared" si="204"/>
        <v>15.593737097849905</v>
      </c>
    </row>
    <row r="236" spans="1:15" ht="15.75">
      <c r="A236" s="26" t="s">
        <v>174</v>
      </c>
      <c r="B236" s="216">
        <v>902</v>
      </c>
      <c r="C236" s="214" t="s">
        <v>297</v>
      </c>
      <c r="D236" s="214" t="s">
        <v>173</v>
      </c>
      <c r="E236" s="214" t="s">
        <v>175</v>
      </c>
      <c r="F236" s="215"/>
      <c r="G236" s="27">
        <f>G237</f>
        <v>3148.5000000000005</v>
      </c>
      <c r="H236" s="27">
        <f t="shared" ref="H236:H237" si="240">H237</f>
        <v>2016.2</v>
      </c>
      <c r="I236" s="27">
        <f t="shared" si="238"/>
        <v>3148.5000000000005</v>
      </c>
      <c r="J236" s="27">
        <f t="shared" si="238"/>
        <v>3148.5000000000005</v>
      </c>
      <c r="K236" s="27">
        <f t="shared" si="238"/>
        <v>3148.5000000000005</v>
      </c>
      <c r="L236" s="27">
        <f t="shared" si="238"/>
        <v>3148.5000000000005</v>
      </c>
      <c r="M236" s="27">
        <f t="shared" si="239"/>
        <v>3148.7000000000003</v>
      </c>
      <c r="N236" s="27">
        <f t="shared" si="239"/>
        <v>491</v>
      </c>
      <c r="O236" s="27">
        <f t="shared" si="204"/>
        <v>15.593737097849905</v>
      </c>
    </row>
    <row r="237" spans="1:15" ht="31.5">
      <c r="A237" s="26" t="s">
        <v>238</v>
      </c>
      <c r="B237" s="216">
        <v>902</v>
      </c>
      <c r="C237" s="214" t="s">
        <v>297</v>
      </c>
      <c r="D237" s="214" t="s">
        <v>173</v>
      </c>
      <c r="E237" s="214" t="s">
        <v>239</v>
      </c>
      <c r="F237" s="214"/>
      <c r="G237" s="27">
        <f>G238</f>
        <v>3148.5000000000005</v>
      </c>
      <c r="H237" s="27">
        <f t="shared" si="240"/>
        <v>2016.2</v>
      </c>
      <c r="I237" s="27">
        <f t="shared" si="238"/>
        <v>3148.5000000000005</v>
      </c>
      <c r="J237" s="27">
        <f t="shared" si="238"/>
        <v>3148.5000000000005</v>
      </c>
      <c r="K237" s="27">
        <f t="shared" si="238"/>
        <v>3148.5000000000005</v>
      </c>
      <c r="L237" s="27">
        <f t="shared" si="238"/>
        <v>3148.5000000000005</v>
      </c>
      <c r="M237" s="27">
        <f t="shared" si="239"/>
        <v>3148.7000000000003</v>
      </c>
      <c r="N237" s="27">
        <f t="shared" si="239"/>
        <v>491</v>
      </c>
      <c r="O237" s="27">
        <f t="shared" si="204"/>
        <v>15.593737097849905</v>
      </c>
    </row>
    <row r="238" spans="1:15" ht="47.25">
      <c r="A238" s="33" t="s">
        <v>312</v>
      </c>
      <c r="B238" s="216">
        <v>902</v>
      </c>
      <c r="C238" s="214" t="s">
        <v>297</v>
      </c>
      <c r="D238" s="214" t="s">
        <v>173</v>
      </c>
      <c r="E238" s="214" t="s">
        <v>313</v>
      </c>
      <c r="F238" s="214"/>
      <c r="G238" s="27">
        <f>G239+G241</f>
        <v>3148.5000000000005</v>
      </c>
      <c r="H238" s="27">
        <f t="shared" ref="H238:L238" si="241">H239+H241</f>
        <v>2016.2</v>
      </c>
      <c r="I238" s="27">
        <f t="shared" si="241"/>
        <v>3148.5000000000005</v>
      </c>
      <c r="J238" s="27">
        <f t="shared" si="241"/>
        <v>3148.5000000000005</v>
      </c>
      <c r="K238" s="27">
        <f t="shared" si="241"/>
        <v>3148.5000000000005</v>
      </c>
      <c r="L238" s="27">
        <f t="shared" si="241"/>
        <v>3148.5000000000005</v>
      </c>
      <c r="M238" s="27">
        <f t="shared" ref="M238:N238" si="242">M239+M241</f>
        <v>3148.7000000000003</v>
      </c>
      <c r="N238" s="27">
        <f t="shared" si="242"/>
        <v>491</v>
      </c>
      <c r="O238" s="27">
        <f t="shared" si="204"/>
        <v>15.593737097849905</v>
      </c>
    </row>
    <row r="239" spans="1:15" ht="94.5">
      <c r="A239" s="26" t="s">
        <v>180</v>
      </c>
      <c r="B239" s="216">
        <v>902</v>
      </c>
      <c r="C239" s="214" t="s">
        <v>297</v>
      </c>
      <c r="D239" s="214" t="s">
        <v>173</v>
      </c>
      <c r="E239" s="214" t="s">
        <v>313</v>
      </c>
      <c r="F239" s="214" t="s">
        <v>181</v>
      </c>
      <c r="G239" s="27">
        <f>G240</f>
        <v>2884.1000000000004</v>
      </c>
      <c r="H239" s="27">
        <f>H240</f>
        <v>1917.8</v>
      </c>
      <c r="I239" s="27">
        <f t="shared" ref="I239:L239" si="243">I240</f>
        <v>2884.1000000000004</v>
      </c>
      <c r="J239" s="27">
        <f t="shared" si="243"/>
        <v>2884.1000000000004</v>
      </c>
      <c r="K239" s="27">
        <f t="shared" si="243"/>
        <v>2884.1000000000004</v>
      </c>
      <c r="L239" s="27">
        <f t="shared" si="243"/>
        <v>2884.1000000000004</v>
      </c>
      <c r="M239" s="27">
        <f t="shared" ref="M239:N239" si="244">M240</f>
        <v>2857.3</v>
      </c>
      <c r="N239" s="27">
        <f t="shared" si="244"/>
        <v>480.3</v>
      </c>
      <c r="O239" s="27">
        <f t="shared" si="204"/>
        <v>16.809575473348964</v>
      </c>
    </row>
    <row r="240" spans="1:15" ht="31.5">
      <c r="A240" s="26" t="s">
        <v>182</v>
      </c>
      <c r="B240" s="216">
        <v>902</v>
      </c>
      <c r="C240" s="214" t="s">
        <v>297</v>
      </c>
      <c r="D240" s="214" t="s">
        <v>173</v>
      </c>
      <c r="E240" s="214" t="s">
        <v>313</v>
      </c>
      <c r="F240" s="214" t="s">
        <v>183</v>
      </c>
      <c r="G240" s="28">
        <f>2826.8+14.8+42.5</f>
        <v>2884.1000000000004</v>
      </c>
      <c r="H240" s="28">
        <v>1917.8</v>
      </c>
      <c r="I240" s="28">
        <f t="shared" ref="I240:L240" si="245">2826.8+14.8+42.5</f>
        <v>2884.1000000000004</v>
      </c>
      <c r="J240" s="28">
        <f t="shared" si="245"/>
        <v>2884.1000000000004</v>
      </c>
      <c r="K240" s="28">
        <f t="shared" si="245"/>
        <v>2884.1000000000004</v>
      </c>
      <c r="L240" s="28">
        <f t="shared" si="245"/>
        <v>2884.1000000000004</v>
      </c>
      <c r="M240" s="28">
        <f>2529.8+327.5</f>
        <v>2857.3</v>
      </c>
      <c r="N240" s="28">
        <v>480.3</v>
      </c>
      <c r="O240" s="27">
        <f t="shared" si="204"/>
        <v>16.809575473348964</v>
      </c>
    </row>
    <row r="241" spans="1:15" ht="31.5">
      <c r="A241" s="26" t="s">
        <v>184</v>
      </c>
      <c r="B241" s="216">
        <v>902</v>
      </c>
      <c r="C241" s="214" t="s">
        <v>297</v>
      </c>
      <c r="D241" s="214" t="s">
        <v>173</v>
      </c>
      <c r="E241" s="214" t="s">
        <v>313</v>
      </c>
      <c r="F241" s="214" t="s">
        <v>185</v>
      </c>
      <c r="G241" s="27">
        <f>G242</f>
        <v>264.39999999999998</v>
      </c>
      <c r="H241" s="27">
        <f>H242</f>
        <v>98.4</v>
      </c>
      <c r="I241" s="27">
        <f t="shared" ref="I241:L241" si="246">I242</f>
        <v>264.39999999999998</v>
      </c>
      <c r="J241" s="27">
        <f t="shared" si="246"/>
        <v>264.39999999999998</v>
      </c>
      <c r="K241" s="27">
        <f t="shared" si="246"/>
        <v>264.39999999999998</v>
      </c>
      <c r="L241" s="27">
        <f t="shared" si="246"/>
        <v>264.39999999999998</v>
      </c>
      <c r="M241" s="27">
        <f t="shared" ref="M241:N241" si="247">M242</f>
        <v>291.39999999999998</v>
      </c>
      <c r="N241" s="27">
        <f t="shared" si="247"/>
        <v>10.7</v>
      </c>
      <c r="O241" s="27">
        <f t="shared" si="204"/>
        <v>3.6719286204529853</v>
      </c>
    </row>
    <row r="242" spans="1:15" ht="47.25">
      <c r="A242" s="26" t="s">
        <v>186</v>
      </c>
      <c r="B242" s="216">
        <v>902</v>
      </c>
      <c r="C242" s="214" t="s">
        <v>297</v>
      </c>
      <c r="D242" s="214" t="s">
        <v>173</v>
      </c>
      <c r="E242" s="214" t="s">
        <v>313</v>
      </c>
      <c r="F242" s="214" t="s">
        <v>187</v>
      </c>
      <c r="G242" s="28">
        <f>433.9-112.2-14.8-42.5</f>
        <v>264.39999999999998</v>
      </c>
      <c r="H242" s="28">
        <v>98.4</v>
      </c>
      <c r="I242" s="28">
        <f t="shared" ref="I242:L242" si="248">433.9-112.2-14.8-42.5</f>
        <v>264.39999999999998</v>
      </c>
      <c r="J242" s="28">
        <f t="shared" si="248"/>
        <v>264.39999999999998</v>
      </c>
      <c r="K242" s="28">
        <f t="shared" si="248"/>
        <v>264.39999999999998</v>
      </c>
      <c r="L242" s="28">
        <f t="shared" si="248"/>
        <v>264.39999999999998</v>
      </c>
      <c r="M242" s="28">
        <f>433.9-112.2-14.8-42.5+354.5-327.5</f>
        <v>291.39999999999998</v>
      </c>
      <c r="N242" s="28">
        <v>10.7</v>
      </c>
      <c r="O242" s="27">
        <f t="shared" si="204"/>
        <v>3.6719286204529853</v>
      </c>
    </row>
    <row r="243" spans="1:15" ht="47.25">
      <c r="A243" s="20" t="s">
        <v>314</v>
      </c>
      <c r="B243" s="213">
        <v>903</v>
      </c>
      <c r="C243" s="214"/>
      <c r="D243" s="214"/>
      <c r="E243" s="214"/>
      <c r="F243" s="214"/>
      <c r="G243" s="22">
        <f t="shared" ref="G243:M243" si="249">G283+G328+G454+G244</f>
        <v>83896.2</v>
      </c>
      <c r="H243" s="22">
        <f t="shared" si="249"/>
        <v>65955.600000000006</v>
      </c>
      <c r="I243" s="22">
        <f t="shared" si="249"/>
        <v>79268.317647058822</v>
      </c>
      <c r="J243" s="22">
        <f t="shared" si="249"/>
        <v>100194.20000000001</v>
      </c>
      <c r="K243" s="22">
        <f t="shared" si="249"/>
        <v>101222.8</v>
      </c>
      <c r="L243" s="22">
        <f t="shared" si="249"/>
        <v>102250.79999999999</v>
      </c>
      <c r="M243" s="22">
        <f t="shared" si="249"/>
        <v>82901.3</v>
      </c>
      <c r="N243" s="22">
        <f t="shared" ref="N243" si="250">N283+N328+N454+N244</f>
        <v>24958.3</v>
      </c>
      <c r="O243" s="22">
        <f t="shared" si="204"/>
        <v>30.106041762915659</v>
      </c>
    </row>
    <row r="244" spans="1:15" ht="15.75">
      <c r="A244" s="24" t="s">
        <v>170</v>
      </c>
      <c r="B244" s="213">
        <v>903</v>
      </c>
      <c r="C244" s="215" t="s">
        <v>171</v>
      </c>
      <c r="D244" s="214"/>
      <c r="E244" s="214"/>
      <c r="F244" s="214"/>
      <c r="G244" s="22">
        <f>G245</f>
        <v>88.7</v>
      </c>
      <c r="H244" s="22">
        <f t="shared" ref="H244:H274" si="251">H245</f>
        <v>0</v>
      </c>
      <c r="I244" s="22">
        <f t="shared" ref="I244:L272" si="252">I245</f>
        <v>88.7</v>
      </c>
      <c r="J244" s="22">
        <f t="shared" si="252"/>
        <v>95</v>
      </c>
      <c r="K244" s="22">
        <f t="shared" si="252"/>
        <v>95</v>
      </c>
      <c r="L244" s="22">
        <f t="shared" si="252"/>
        <v>95</v>
      </c>
      <c r="M244" s="22">
        <f t="shared" ref="M244:N274" si="253">M245</f>
        <v>1468.7</v>
      </c>
      <c r="N244" s="22">
        <f t="shared" si="253"/>
        <v>0</v>
      </c>
      <c r="O244" s="22">
        <f t="shared" si="204"/>
        <v>0</v>
      </c>
    </row>
    <row r="245" spans="1:15" ht="15.75">
      <c r="A245" s="24" t="s">
        <v>192</v>
      </c>
      <c r="B245" s="213">
        <v>903</v>
      </c>
      <c r="C245" s="215" t="s">
        <v>171</v>
      </c>
      <c r="D245" s="215" t="s">
        <v>193</v>
      </c>
      <c r="E245" s="214"/>
      <c r="F245" s="214"/>
      <c r="G245" s="22">
        <f>G271+G251+G267</f>
        <v>88.7</v>
      </c>
      <c r="H245" s="22">
        <f t="shared" ref="H245:L245" si="254">H271+H251+H267</f>
        <v>0</v>
      </c>
      <c r="I245" s="22">
        <f t="shared" si="254"/>
        <v>88.7</v>
      </c>
      <c r="J245" s="22">
        <f t="shared" si="254"/>
        <v>95</v>
      </c>
      <c r="K245" s="22">
        <f t="shared" si="254"/>
        <v>95</v>
      </c>
      <c r="L245" s="22">
        <f t="shared" si="254"/>
        <v>95</v>
      </c>
      <c r="M245" s="22">
        <f>M271+M251+M267+M276+M246</f>
        <v>1468.7</v>
      </c>
      <c r="N245" s="22">
        <f t="shared" ref="N245" si="255">N271+N251+N267+N276+N246</f>
        <v>0</v>
      </c>
      <c r="O245" s="22">
        <f t="shared" si="204"/>
        <v>0</v>
      </c>
    </row>
    <row r="246" spans="1:15" ht="94.5">
      <c r="A246" s="31" t="s">
        <v>220</v>
      </c>
      <c r="B246" s="216">
        <v>903</v>
      </c>
      <c r="C246" s="218" t="s">
        <v>171</v>
      </c>
      <c r="D246" s="218" t="s">
        <v>193</v>
      </c>
      <c r="E246" s="219" t="s">
        <v>221</v>
      </c>
      <c r="F246" s="218"/>
      <c r="G246" s="22"/>
      <c r="H246" s="22"/>
      <c r="I246" s="22"/>
      <c r="J246" s="22"/>
      <c r="K246" s="22"/>
      <c r="L246" s="22"/>
      <c r="M246" s="27">
        <f>M247</f>
        <v>25</v>
      </c>
      <c r="N246" s="27">
        <f t="shared" ref="N246:N249" si="256">N247</f>
        <v>0</v>
      </c>
      <c r="O246" s="27">
        <f t="shared" si="204"/>
        <v>0</v>
      </c>
    </row>
    <row r="247" spans="1:15" ht="78.75">
      <c r="A247" s="31" t="s">
        <v>222</v>
      </c>
      <c r="B247" s="216">
        <v>903</v>
      </c>
      <c r="C247" s="218" t="s">
        <v>171</v>
      </c>
      <c r="D247" s="218" t="s">
        <v>193</v>
      </c>
      <c r="E247" s="220" t="s">
        <v>223</v>
      </c>
      <c r="F247" s="218"/>
      <c r="G247" s="22"/>
      <c r="H247" s="22"/>
      <c r="I247" s="22"/>
      <c r="J247" s="22"/>
      <c r="K247" s="22"/>
      <c r="L247" s="22"/>
      <c r="M247" s="27">
        <f>M248</f>
        <v>25</v>
      </c>
      <c r="N247" s="27">
        <f t="shared" si="256"/>
        <v>0</v>
      </c>
      <c r="O247" s="27">
        <f t="shared" si="204"/>
        <v>0</v>
      </c>
    </row>
    <row r="248" spans="1:15" ht="31.5">
      <c r="A248" s="206" t="s">
        <v>224</v>
      </c>
      <c r="B248" s="216">
        <v>903</v>
      </c>
      <c r="C248" s="218" t="s">
        <v>171</v>
      </c>
      <c r="D248" s="218" t="s">
        <v>193</v>
      </c>
      <c r="E248" s="219" t="s">
        <v>225</v>
      </c>
      <c r="F248" s="218"/>
      <c r="G248" s="22"/>
      <c r="H248" s="22"/>
      <c r="I248" s="22"/>
      <c r="J248" s="22"/>
      <c r="K248" s="22"/>
      <c r="L248" s="22"/>
      <c r="M248" s="27">
        <f>M249</f>
        <v>25</v>
      </c>
      <c r="N248" s="27">
        <f t="shared" si="256"/>
        <v>0</v>
      </c>
      <c r="O248" s="27">
        <f t="shared" si="204"/>
        <v>0</v>
      </c>
    </row>
    <row r="249" spans="1:15" ht="31.5">
      <c r="A249" s="26" t="s">
        <v>184</v>
      </c>
      <c r="B249" s="216">
        <v>903</v>
      </c>
      <c r="C249" s="218" t="s">
        <v>171</v>
      </c>
      <c r="D249" s="218" t="s">
        <v>193</v>
      </c>
      <c r="E249" s="219" t="s">
        <v>225</v>
      </c>
      <c r="F249" s="218" t="s">
        <v>185</v>
      </c>
      <c r="G249" s="22"/>
      <c r="H249" s="22"/>
      <c r="I249" s="22"/>
      <c r="J249" s="22"/>
      <c r="K249" s="22"/>
      <c r="L249" s="22"/>
      <c r="M249" s="27">
        <f>M250</f>
        <v>25</v>
      </c>
      <c r="N249" s="27">
        <f t="shared" si="256"/>
        <v>0</v>
      </c>
      <c r="O249" s="27">
        <f t="shared" si="204"/>
        <v>0</v>
      </c>
    </row>
    <row r="250" spans="1:15" ht="47.25">
      <c r="A250" s="26" t="s">
        <v>186</v>
      </c>
      <c r="B250" s="216">
        <v>903</v>
      </c>
      <c r="C250" s="218" t="s">
        <v>171</v>
      </c>
      <c r="D250" s="218" t="s">
        <v>193</v>
      </c>
      <c r="E250" s="219" t="s">
        <v>225</v>
      </c>
      <c r="F250" s="218" t="s">
        <v>187</v>
      </c>
      <c r="G250" s="22"/>
      <c r="H250" s="22"/>
      <c r="I250" s="22"/>
      <c r="J250" s="22"/>
      <c r="K250" s="22"/>
      <c r="L250" s="22"/>
      <c r="M250" s="27">
        <f>25</f>
        <v>25</v>
      </c>
      <c r="N250" s="27">
        <v>0</v>
      </c>
      <c r="O250" s="27">
        <f t="shared" si="204"/>
        <v>0</v>
      </c>
    </row>
    <row r="251" spans="1:15" ht="47.25">
      <c r="A251" s="26" t="s">
        <v>387</v>
      </c>
      <c r="B251" s="216">
        <v>903</v>
      </c>
      <c r="C251" s="214" t="s">
        <v>171</v>
      </c>
      <c r="D251" s="214" t="s">
        <v>193</v>
      </c>
      <c r="E251" s="214" t="s">
        <v>388</v>
      </c>
      <c r="F251" s="214"/>
      <c r="G251" s="27">
        <f>G255+G261+G252+G258+G264</f>
        <v>0</v>
      </c>
      <c r="H251" s="27">
        <f t="shared" ref="H251:M251" si="257">H255+H261+H252+H258+H264</f>
        <v>0</v>
      </c>
      <c r="I251" s="27">
        <f t="shared" si="257"/>
        <v>0</v>
      </c>
      <c r="J251" s="27">
        <f t="shared" si="257"/>
        <v>95</v>
      </c>
      <c r="K251" s="27">
        <f t="shared" si="257"/>
        <v>95</v>
      </c>
      <c r="L251" s="27">
        <f t="shared" si="257"/>
        <v>95</v>
      </c>
      <c r="M251" s="27">
        <f t="shared" si="257"/>
        <v>95</v>
      </c>
      <c r="N251" s="27">
        <f t="shared" ref="N251" si="258">N255+N261+N252+N258+N264</f>
        <v>0</v>
      </c>
      <c r="O251" s="27">
        <f t="shared" si="204"/>
        <v>0</v>
      </c>
    </row>
    <row r="252" spans="1:15" ht="47.25">
      <c r="A252" s="121" t="s">
        <v>931</v>
      </c>
      <c r="B252" s="216">
        <v>903</v>
      </c>
      <c r="C252" s="214" t="s">
        <v>171</v>
      </c>
      <c r="D252" s="214" t="s">
        <v>193</v>
      </c>
      <c r="E252" s="214" t="s">
        <v>390</v>
      </c>
      <c r="F252" s="214"/>
      <c r="G252" s="27">
        <f>G253</f>
        <v>0</v>
      </c>
      <c r="H252" s="27">
        <f t="shared" ref="H252:H253" si="259">H253</f>
        <v>0</v>
      </c>
      <c r="I252" s="27">
        <f t="shared" ref="I252:I253" si="260">I253</f>
        <v>0</v>
      </c>
      <c r="J252" s="27">
        <f t="shared" ref="J252:J253" si="261">J253</f>
        <v>50</v>
      </c>
      <c r="K252" s="27">
        <f t="shared" ref="K252:K253" si="262">K253</f>
        <v>50</v>
      </c>
      <c r="L252" s="27">
        <f t="shared" ref="L252:L253" si="263">L253</f>
        <v>50</v>
      </c>
      <c r="M252" s="27">
        <f t="shared" ref="M252:N253" si="264">M253</f>
        <v>50</v>
      </c>
      <c r="N252" s="27">
        <f t="shared" si="264"/>
        <v>0</v>
      </c>
      <c r="O252" s="27">
        <f t="shared" si="204"/>
        <v>0</v>
      </c>
    </row>
    <row r="253" spans="1:15" ht="31.5">
      <c r="A253" s="26" t="s">
        <v>184</v>
      </c>
      <c r="B253" s="216">
        <v>903</v>
      </c>
      <c r="C253" s="214" t="s">
        <v>171</v>
      </c>
      <c r="D253" s="214" t="s">
        <v>193</v>
      </c>
      <c r="E253" s="214" t="s">
        <v>390</v>
      </c>
      <c r="F253" s="214" t="s">
        <v>185</v>
      </c>
      <c r="G253" s="27">
        <f>G254</f>
        <v>0</v>
      </c>
      <c r="H253" s="27">
        <f t="shared" si="259"/>
        <v>0</v>
      </c>
      <c r="I253" s="27">
        <f t="shared" si="260"/>
        <v>0</v>
      </c>
      <c r="J253" s="27">
        <f t="shared" si="261"/>
        <v>50</v>
      </c>
      <c r="K253" s="27">
        <f t="shared" si="262"/>
        <v>50</v>
      </c>
      <c r="L253" s="27">
        <f t="shared" si="263"/>
        <v>50</v>
      </c>
      <c r="M253" s="27">
        <f t="shared" si="264"/>
        <v>50</v>
      </c>
      <c r="N253" s="27">
        <f t="shared" si="264"/>
        <v>0</v>
      </c>
      <c r="O253" s="27">
        <f t="shared" si="204"/>
        <v>0</v>
      </c>
    </row>
    <row r="254" spans="1:15" ht="47.25">
      <c r="A254" s="26" t="s">
        <v>186</v>
      </c>
      <c r="B254" s="216">
        <v>903</v>
      </c>
      <c r="C254" s="214" t="s">
        <v>171</v>
      </c>
      <c r="D254" s="214" t="s">
        <v>193</v>
      </c>
      <c r="E254" s="214" t="s">
        <v>390</v>
      </c>
      <c r="F254" s="214" t="s">
        <v>187</v>
      </c>
      <c r="G254" s="27">
        <v>0</v>
      </c>
      <c r="H254" s="27">
        <v>0</v>
      </c>
      <c r="I254" s="27">
        <v>0</v>
      </c>
      <c r="J254" s="27">
        <v>50</v>
      </c>
      <c r="K254" s="27">
        <v>50</v>
      </c>
      <c r="L254" s="27">
        <v>50</v>
      </c>
      <c r="M254" s="27">
        <v>50</v>
      </c>
      <c r="N254" s="27">
        <v>0</v>
      </c>
      <c r="O254" s="27">
        <f t="shared" si="204"/>
        <v>0</v>
      </c>
    </row>
    <row r="255" spans="1:15" ht="31.5">
      <c r="A255" s="26" t="s">
        <v>391</v>
      </c>
      <c r="B255" s="216">
        <v>903</v>
      </c>
      <c r="C255" s="214" t="s">
        <v>171</v>
      </c>
      <c r="D255" s="214" t="s">
        <v>193</v>
      </c>
      <c r="E255" s="214" t="s">
        <v>392</v>
      </c>
      <c r="F255" s="214"/>
      <c r="G255" s="27">
        <f>G256</f>
        <v>0</v>
      </c>
      <c r="H255" s="27">
        <f>H256</f>
        <v>0</v>
      </c>
      <c r="I255" s="27">
        <f t="shared" ref="I255:N256" si="265">I256</f>
        <v>0</v>
      </c>
      <c r="J255" s="27">
        <f t="shared" si="265"/>
        <v>20</v>
      </c>
      <c r="K255" s="27">
        <f t="shared" si="265"/>
        <v>20</v>
      </c>
      <c r="L255" s="27">
        <f t="shared" si="265"/>
        <v>20</v>
      </c>
      <c r="M255" s="27">
        <f t="shared" si="265"/>
        <v>20</v>
      </c>
      <c r="N255" s="27">
        <f t="shared" si="265"/>
        <v>0</v>
      </c>
      <c r="O255" s="27">
        <f t="shared" si="204"/>
        <v>0</v>
      </c>
    </row>
    <row r="256" spans="1:15" ht="31.5">
      <c r="A256" s="26" t="s">
        <v>184</v>
      </c>
      <c r="B256" s="216">
        <v>903</v>
      </c>
      <c r="C256" s="214" t="s">
        <v>171</v>
      </c>
      <c r="D256" s="214" t="s">
        <v>193</v>
      </c>
      <c r="E256" s="214" t="s">
        <v>392</v>
      </c>
      <c r="F256" s="214" t="s">
        <v>185</v>
      </c>
      <c r="G256" s="27">
        <f>G257</f>
        <v>0</v>
      </c>
      <c r="H256" s="27">
        <f>H257</f>
        <v>0</v>
      </c>
      <c r="I256" s="27">
        <f t="shared" si="265"/>
        <v>0</v>
      </c>
      <c r="J256" s="27">
        <f t="shared" si="265"/>
        <v>20</v>
      </c>
      <c r="K256" s="27">
        <f t="shared" si="265"/>
        <v>20</v>
      </c>
      <c r="L256" s="27">
        <f t="shared" si="265"/>
        <v>20</v>
      </c>
      <c r="M256" s="27">
        <f t="shared" si="265"/>
        <v>20</v>
      </c>
      <c r="N256" s="27">
        <f t="shared" si="265"/>
        <v>0</v>
      </c>
      <c r="O256" s="27">
        <f t="shared" si="204"/>
        <v>0</v>
      </c>
    </row>
    <row r="257" spans="1:15" ht="47.25">
      <c r="A257" s="26" t="s">
        <v>186</v>
      </c>
      <c r="B257" s="216">
        <v>903</v>
      </c>
      <c r="C257" s="214" t="s">
        <v>171</v>
      </c>
      <c r="D257" s="214" t="s">
        <v>193</v>
      </c>
      <c r="E257" s="214" t="s">
        <v>392</v>
      </c>
      <c r="F257" s="214" t="s">
        <v>187</v>
      </c>
      <c r="G257" s="27">
        <v>0</v>
      </c>
      <c r="H257" s="27">
        <v>0</v>
      </c>
      <c r="I257" s="27">
        <v>0</v>
      </c>
      <c r="J257" s="27">
        <v>20</v>
      </c>
      <c r="K257" s="27">
        <v>20</v>
      </c>
      <c r="L257" s="27">
        <v>20</v>
      </c>
      <c r="M257" s="27">
        <v>20</v>
      </c>
      <c r="N257" s="27">
        <v>0</v>
      </c>
      <c r="O257" s="27">
        <f t="shared" si="204"/>
        <v>0</v>
      </c>
    </row>
    <row r="258" spans="1:15" ht="47.25">
      <c r="A258" s="33" t="s">
        <v>932</v>
      </c>
      <c r="B258" s="216">
        <v>903</v>
      </c>
      <c r="C258" s="214" t="s">
        <v>171</v>
      </c>
      <c r="D258" s="214" t="s">
        <v>193</v>
      </c>
      <c r="E258" s="214" t="s">
        <v>929</v>
      </c>
      <c r="F258" s="214"/>
      <c r="G258" s="27">
        <f>G259</f>
        <v>0</v>
      </c>
      <c r="H258" s="27">
        <f t="shared" ref="H258:H259" si="266">H259</f>
        <v>0</v>
      </c>
      <c r="I258" s="27">
        <f t="shared" ref="I258:I259" si="267">I259</f>
        <v>0</v>
      </c>
      <c r="J258" s="27">
        <f t="shared" ref="J258:J259" si="268">J259</f>
        <v>5</v>
      </c>
      <c r="K258" s="27">
        <f t="shared" ref="K258:K259" si="269">K259</f>
        <v>5</v>
      </c>
      <c r="L258" s="27">
        <f t="shared" ref="L258:L259" si="270">L259</f>
        <v>5</v>
      </c>
      <c r="M258" s="27">
        <f t="shared" ref="M258:N259" si="271">M259</f>
        <v>5</v>
      </c>
      <c r="N258" s="27">
        <f t="shared" si="271"/>
        <v>0</v>
      </c>
      <c r="O258" s="27">
        <f t="shared" si="204"/>
        <v>0</v>
      </c>
    </row>
    <row r="259" spans="1:15" ht="31.5">
      <c r="A259" s="26" t="s">
        <v>184</v>
      </c>
      <c r="B259" s="216">
        <v>903</v>
      </c>
      <c r="C259" s="214" t="s">
        <v>171</v>
      </c>
      <c r="D259" s="214" t="s">
        <v>193</v>
      </c>
      <c r="E259" s="214" t="s">
        <v>929</v>
      </c>
      <c r="F259" s="214" t="s">
        <v>185</v>
      </c>
      <c r="G259" s="27">
        <f>G260</f>
        <v>0</v>
      </c>
      <c r="H259" s="27">
        <f t="shared" si="266"/>
        <v>0</v>
      </c>
      <c r="I259" s="27">
        <f t="shared" si="267"/>
        <v>0</v>
      </c>
      <c r="J259" s="27">
        <f t="shared" si="268"/>
        <v>5</v>
      </c>
      <c r="K259" s="27">
        <f t="shared" si="269"/>
        <v>5</v>
      </c>
      <c r="L259" s="27">
        <f t="shared" si="270"/>
        <v>5</v>
      </c>
      <c r="M259" s="27">
        <f t="shared" si="271"/>
        <v>5</v>
      </c>
      <c r="N259" s="27">
        <f t="shared" si="271"/>
        <v>0</v>
      </c>
      <c r="O259" s="27">
        <f t="shared" si="204"/>
        <v>0</v>
      </c>
    </row>
    <row r="260" spans="1:15" ht="47.25">
      <c r="A260" s="26" t="s">
        <v>186</v>
      </c>
      <c r="B260" s="216">
        <v>903</v>
      </c>
      <c r="C260" s="214" t="s">
        <v>171</v>
      </c>
      <c r="D260" s="214" t="s">
        <v>193</v>
      </c>
      <c r="E260" s="214" t="s">
        <v>929</v>
      </c>
      <c r="F260" s="214" t="s">
        <v>187</v>
      </c>
      <c r="G260" s="27">
        <v>0</v>
      </c>
      <c r="H260" s="27">
        <v>0</v>
      </c>
      <c r="I260" s="27">
        <v>0</v>
      </c>
      <c r="J260" s="27">
        <v>5</v>
      </c>
      <c r="K260" s="27">
        <v>5</v>
      </c>
      <c r="L260" s="27">
        <v>5</v>
      </c>
      <c r="M260" s="27">
        <v>5</v>
      </c>
      <c r="N260" s="27">
        <v>0</v>
      </c>
      <c r="O260" s="27">
        <f t="shared" si="204"/>
        <v>0</v>
      </c>
    </row>
    <row r="261" spans="1:15" ht="63" hidden="1">
      <c r="A261" s="26" t="s">
        <v>808</v>
      </c>
      <c r="B261" s="216">
        <v>903</v>
      </c>
      <c r="C261" s="214" t="s">
        <v>171</v>
      </c>
      <c r="D261" s="214" t="s">
        <v>193</v>
      </c>
      <c r="E261" s="214" t="s">
        <v>934</v>
      </c>
      <c r="F261" s="214"/>
      <c r="G261" s="27">
        <f>G262</f>
        <v>0</v>
      </c>
      <c r="H261" s="27">
        <f>H262</f>
        <v>0</v>
      </c>
      <c r="I261" s="27">
        <f t="shared" ref="I261:N262" si="272">I262</f>
        <v>0</v>
      </c>
      <c r="J261" s="27">
        <f t="shared" si="272"/>
        <v>0</v>
      </c>
      <c r="K261" s="27">
        <f t="shared" si="272"/>
        <v>0</v>
      </c>
      <c r="L261" s="27">
        <f t="shared" si="272"/>
        <v>0</v>
      </c>
      <c r="M261" s="27">
        <f t="shared" si="272"/>
        <v>0</v>
      </c>
      <c r="N261" s="27">
        <f t="shared" si="272"/>
        <v>0</v>
      </c>
      <c r="O261" s="27" t="e">
        <f t="shared" si="204"/>
        <v>#DIV/0!</v>
      </c>
    </row>
    <row r="262" spans="1:15" ht="31.5" hidden="1">
      <c r="A262" s="26" t="s">
        <v>184</v>
      </c>
      <c r="B262" s="216">
        <v>903</v>
      </c>
      <c r="C262" s="214" t="s">
        <v>171</v>
      </c>
      <c r="D262" s="214" t="s">
        <v>193</v>
      </c>
      <c r="E262" s="214" t="s">
        <v>934</v>
      </c>
      <c r="F262" s="214" t="s">
        <v>185</v>
      </c>
      <c r="G262" s="27">
        <f>G263</f>
        <v>0</v>
      </c>
      <c r="H262" s="27">
        <f>H263</f>
        <v>0</v>
      </c>
      <c r="I262" s="27">
        <f t="shared" si="272"/>
        <v>0</v>
      </c>
      <c r="J262" s="27">
        <f t="shared" si="272"/>
        <v>0</v>
      </c>
      <c r="K262" s="27">
        <f t="shared" si="272"/>
        <v>0</v>
      </c>
      <c r="L262" s="27">
        <f t="shared" si="272"/>
        <v>0</v>
      </c>
      <c r="M262" s="27">
        <f t="shared" si="272"/>
        <v>0</v>
      </c>
      <c r="N262" s="27">
        <f t="shared" si="272"/>
        <v>0</v>
      </c>
      <c r="O262" s="27" t="e">
        <f t="shared" si="204"/>
        <v>#DIV/0!</v>
      </c>
    </row>
    <row r="263" spans="1:15" ht="47.25" hidden="1">
      <c r="A263" s="26" t="s">
        <v>186</v>
      </c>
      <c r="B263" s="216">
        <v>903</v>
      </c>
      <c r="C263" s="214" t="s">
        <v>171</v>
      </c>
      <c r="D263" s="214" t="s">
        <v>193</v>
      </c>
      <c r="E263" s="214" t="s">
        <v>934</v>
      </c>
      <c r="F263" s="214" t="s">
        <v>187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 t="e">
        <f t="shared" si="204"/>
        <v>#DIV/0!</v>
      </c>
    </row>
    <row r="264" spans="1:15" ht="31.5">
      <c r="A264" s="33" t="s">
        <v>933</v>
      </c>
      <c r="B264" s="216">
        <v>903</v>
      </c>
      <c r="C264" s="214" t="s">
        <v>171</v>
      </c>
      <c r="D264" s="214" t="s">
        <v>193</v>
      </c>
      <c r="E264" s="214" t="s">
        <v>930</v>
      </c>
      <c r="F264" s="214"/>
      <c r="G264" s="27">
        <f>G265</f>
        <v>0</v>
      </c>
      <c r="H264" s="27">
        <f t="shared" ref="H264:H265" si="273">H265</f>
        <v>0</v>
      </c>
      <c r="I264" s="27">
        <f t="shared" ref="I264:I265" si="274">I265</f>
        <v>0</v>
      </c>
      <c r="J264" s="27">
        <f t="shared" ref="J264:J265" si="275">J265</f>
        <v>20</v>
      </c>
      <c r="K264" s="27">
        <f t="shared" ref="K264:K265" si="276">K265</f>
        <v>20</v>
      </c>
      <c r="L264" s="27">
        <f t="shared" ref="L264:L265" si="277">L265</f>
        <v>20</v>
      </c>
      <c r="M264" s="27">
        <f t="shared" ref="M264:N265" si="278">M265</f>
        <v>20</v>
      </c>
      <c r="N264" s="27">
        <f t="shared" si="278"/>
        <v>0</v>
      </c>
      <c r="O264" s="27">
        <f t="shared" si="204"/>
        <v>0</v>
      </c>
    </row>
    <row r="265" spans="1:15" ht="31.5">
      <c r="A265" s="26" t="s">
        <v>184</v>
      </c>
      <c r="B265" s="216">
        <v>903</v>
      </c>
      <c r="C265" s="214" t="s">
        <v>171</v>
      </c>
      <c r="D265" s="214" t="s">
        <v>193</v>
      </c>
      <c r="E265" s="214" t="s">
        <v>930</v>
      </c>
      <c r="F265" s="214" t="s">
        <v>185</v>
      </c>
      <c r="G265" s="27">
        <f>G266</f>
        <v>0</v>
      </c>
      <c r="H265" s="27">
        <f t="shared" si="273"/>
        <v>0</v>
      </c>
      <c r="I265" s="27">
        <f t="shared" si="274"/>
        <v>0</v>
      </c>
      <c r="J265" s="27">
        <f t="shared" si="275"/>
        <v>20</v>
      </c>
      <c r="K265" s="27">
        <f t="shared" si="276"/>
        <v>20</v>
      </c>
      <c r="L265" s="27">
        <f t="shared" si="277"/>
        <v>20</v>
      </c>
      <c r="M265" s="27">
        <f t="shared" si="278"/>
        <v>20</v>
      </c>
      <c r="N265" s="27">
        <f t="shared" si="278"/>
        <v>0</v>
      </c>
      <c r="O265" s="27">
        <f t="shared" si="204"/>
        <v>0</v>
      </c>
    </row>
    <row r="266" spans="1:15" ht="47.25">
      <c r="A266" s="26" t="s">
        <v>186</v>
      </c>
      <c r="B266" s="216">
        <v>903</v>
      </c>
      <c r="C266" s="214" t="s">
        <v>171</v>
      </c>
      <c r="D266" s="214" t="s">
        <v>193</v>
      </c>
      <c r="E266" s="214" t="s">
        <v>930</v>
      </c>
      <c r="F266" s="214" t="s">
        <v>187</v>
      </c>
      <c r="G266" s="27">
        <v>0</v>
      </c>
      <c r="H266" s="27">
        <v>0</v>
      </c>
      <c r="I266" s="27">
        <v>0</v>
      </c>
      <c r="J266" s="27">
        <v>20</v>
      </c>
      <c r="K266" s="27">
        <v>20</v>
      </c>
      <c r="L266" s="27">
        <v>20</v>
      </c>
      <c r="M266" s="27">
        <v>20</v>
      </c>
      <c r="N266" s="27">
        <v>0</v>
      </c>
      <c r="O266" s="27">
        <f t="shared" si="204"/>
        <v>0</v>
      </c>
    </row>
    <row r="267" spans="1:15" ht="63" hidden="1">
      <c r="A267" s="31" t="s">
        <v>807</v>
      </c>
      <c r="B267" s="216">
        <v>903</v>
      </c>
      <c r="C267" s="214" t="s">
        <v>171</v>
      </c>
      <c r="D267" s="214" t="s">
        <v>193</v>
      </c>
      <c r="E267" s="214" t="s">
        <v>805</v>
      </c>
      <c r="F267" s="214"/>
      <c r="G267" s="27">
        <f>G268</f>
        <v>0</v>
      </c>
      <c r="H267" s="27">
        <f t="shared" ref="H267:N269" si="279">H268</f>
        <v>0</v>
      </c>
      <c r="I267" s="27">
        <f t="shared" si="279"/>
        <v>0</v>
      </c>
      <c r="J267" s="27">
        <f t="shared" si="279"/>
        <v>0</v>
      </c>
      <c r="K267" s="27">
        <f t="shared" si="279"/>
        <v>0</v>
      </c>
      <c r="L267" s="27">
        <f t="shared" si="279"/>
        <v>0</v>
      </c>
      <c r="M267" s="27">
        <f t="shared" si="279"/>
        <v>0</v>
      </c>
      <c r="N267" s="27">
        <f t="shared" si="279"/>
        <v>0</v>
      </c>
      <c r="O267" s="27" t="e">
        <f t="shared" si="204"/>
        <v>#DIV/0!</v>
      </c>
    </row>
    <row r="268" spans="1:15" ht="31.5" hidden="1">
      <c r="A268" s="26" t="s">
        <v>422</v>
      </c>
      <c r="B268" s="216">
        <v>903</v>
      </c>
      <c r="C268" s="214" t="s">
        <v>171</v>
      </c>
      <c r="D268" s="214" t="s">
        <v>193</v>
      </c>
      <c r="E268" s="214" t="s">
        <v>813</v>
      </c>
      <c r="F268" s="214"/>
      <c r="G268" s="27">
        <f>G269</f>
        <v>0</v>
      </c>
      <c r="H268" s="27">
        <f t="shared" si="279"/>
        <v>0</v>
      </c>
      <c r="I268" s="27">
        <f t="shared" si="279"/>
        <v>0</v>
      </c>
      <c r="J268" s="27">
        <f t="shared" si="279"/>
        <v>0</v>
      </c>
      <c r="K268" s="27">
        <f t="shared" si="279"/>
        <v>0</v>
      </c>
      <c r="L268" s="27">
        <f t="shared" si="279"/>
        <v>0</v>
      </c>
      <c r="M268" s="27">
        <f t="shared" si="279"/>
        <v>0</v>
      </c>
      <c r="N268" s="27">
        <f t="shared" si="279"/>
        <v>0</v>
      </c>
      <c r="O268" s="27" t="e">
        <f t="shared" si="204"/>
        <v>#DIV/0!</v>
      </c>
    </row>
    <row r="269" spans="1:15" ht="31.5" hidden="1">
      <c r="A269" s="26" t="s">
        <v>184</v>
      </c>
      <c r="B269" s="216">
        <v>903</v>
      </c>
      <c r="C269" s="214" t="s">
        <v>171</v>
      </c>
      <c r="D269" s="214" t="s">
        <v>193</v>
      </c>
      <c r="E269" s="214" t="s">
        <v>813</v>
      </c>
      <c r="F269" s="214" t="s">
        <v>185</v>
      </c>
      <c r="G269" s="27">
        <f>G270</f>
        <v>0</v>
      </c>
      <c r="H269" s="27">
        <f t="shared" si="279"/>
        <v>0</v>
      </c>
      <c r="I269" s="27">
        <f t="shared" si="279"/>
        <v>0</v>
      </c>
      <c r="J269" s="27">
        <f t="shared" si="279"/>
        <v>0</v>
      </c>
      <c r="K269" s="27">
        <f t="shared" si="279"/>
        <v>0</v>
      </c>
      <c r="L269" s="27">
        <f t="shared" si="279"/>
        <v>0</v>
      </c>
      <c r="M269" s="27">
        <f t="shared" si="279"/>
        <v>0</v>
      </c>
      <c r="N269" s="27">
        <f t="shared" si="279"/>
        <v>0</v>
      </c>
      <c r="O269" s="27" t="e">
        <f t="shared" ref="O269:O332" si="280">N269/M269*100</f>
        <v>#DIV/0!</v>
      </c>
    </row>
    <row r="270" spans="1:15" ht="47.25" hidden="1">
      <c r="A270" s="26" t="s">
        <v>186</v>
      </c>
      <c r="B270" s="216">
        <v>903</v>
      </c>
      <c r="C270" s="214" t="s">
        <v>171</v>
      </c>
      <c r="D270" s="214" t="s">
        <v>193</v>
      </c>
      <c r="E270" s="214" t="s">
        <v>813</v>
      </c>
      <c r="F270" s="214" t="s">
        <v>187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 t="e">
        <f t="shared" si="280"/>
        <v>#DIV/0!</v>
      </c>
    </row>
    <row r="271" spans="1:15" ht="15.75" hidden="1">
      <c r="A271" s="26" t="s">
        <v>174</v>
      </c>
      <c r="B271" s="216">
        <v>903</v>
      </c>
      <c r="C271" s="214" t="s">
        <v>171</v>
      </c>
      <c r="D271" s="214" t="s">
        <v>193</v>
      </c>
      <c r="E271" s="214" t="s">
        <v>175</v>
      </c>
      <c r="F271" s="214"/>
      <c r="G271" s="27">
        <f>G272</f>
        <v>88.7</v>
      </c>
      <c r="H271" s="27">
        <f t="shared" si="251"/>
        <v>0</v>
      </c>
      <c r="I271" s="27">
        <f t="shared" si="252"/>
        <v>88.7</v>
      </c>
      <c r="J271" s="27">
        <f t="shared" si="252"/>
        <v>0</v>
      </c>
      <c r="K271" s="27">
        <f t="shared" si="252"/>
        <v>0</v>
      </c>
      <c r="L271" s="27">
        <f t="shared" si="252"/>
        <v>0</v>
      </c>
      <c r="M271" s="27">
        <f t="shared" si="253"/>
        <v>0</v>
      </c>
      <c r="N271" s="27">
        <f t="shared" si="253"/>
        <v>0</v>
      </c>
      <c r="O271" s="27" t="e">
        <f t="shared" si="280"/>
        <v>#DIV/0!</v>
      </c>
    </row>
    <row r="272" spans="1:15" ht="31.5" hidden="1">
      <c r="A272" s="26" t="s">
        <v>238</v>
      </c>
      <c r="B272" s="216">
        <v>903</v>
      </c>
      <c r="C272" s="214" t="s">
        <v>171</v>
      </c>
      <c r="D272" s="214" t="s">
        <v>193</v>
      </c>
      <c r="E272" s="214" t="s">
        <v>239</v>
      </c>
      <c r="F272" s="214"/>
      <c r="G272" s="27">
        <f>G273</f>
        <v>88.7</v>
      </c>
      <c r="H272" s="27">
        <f t="shared" si="251"/>
        <v>0</v>
      </c>
      <c r="I272" s="27">
        <f t="shared" si="252"/>
        <v>88.7</v>
      </c>
      <c r="J272" s="27">
        <f t="shared" si="252"/>
        <v>0</v>
      </c>
      <c r="K272" s="27">
        <f t="shared" si="252"/>
        <v>0</v>
      </c>
      <c r="L272" s="27">
        <f t="shared" si="252"/>
        <v>0</v>
      </c>
      <c r="M272" s="27">
        <f t="shared" si="253"/>
        <v>0</v>
      </c>
      <c r="N272" s="27">
        <f t="shared" si="253"/>
        <v>0</v>
      </c>
      <c r="O272" s="27" t="e">
        <f t="shared" si="280"/>
        <v>#DIV/0!</v>
      </c>
    </row>
    <row r="273" spans="1:15" ht="47.25" hidden="1">
      <c r="A273" s="37" t="s">
        <v>839</v>
      </c>
      <c r="B273" s="216">
        <v>903</v>
      </c>
      <c r="C273" s="214" t="s">
        <v>171</v>
      </c>
      <c r="D273" s="214" t="s">
        <v>193</v>
      </c>
      <c r="E273" s="214" t="s">
        <v>838</v>
      </c>
      <c r="F273" s="215"/>
      <c r="G273" s="27">
        <f t="shared" ref="G273:L274" si="281">G274</f>
        <v>88.7</v>
      </c>
      <c r="H273" s="27">
        <f t="shared" si="251"/>
        <v>0</v>
      </c>
      <c r="I273" s="27">
        <f t="shared" si="281"/>
        <v>88.7</v>
      </c>
      <c r="J273" s="27">
        <f t="shared" si="281"/>
        <v>0</v>
      </c>
      <c r="K273" s="27">
        <f t="shared" si="281"/>
        <v>0</v>
      </c>
      <c r="L273" s="27">
        <f t="shared" si="281"/>
        <v>0</v>
      </c>
      <c r="M273" s="27">
        <f t="shared" si="253"/>
        <v>0</v>
      </c>
      <c r="N273" s="27">
        <f t="shared" si="253"/>
        <v>0</v>
      </c>
      <c r="O273" s="27" t="e">
        <f t="shared" si="280"/>
        <v>#DIV/0!</v>
      </c>
    </row>
    <row r="274" spans="1:15" ht="31.5" hidden="1">
      <c r="A274" s="26" t="s">
        <v>184</v>
      </c>
      <c r="B274" s="216">
        <v>903</v>
      </c>
      <c r="C274" s="214" t="s">
        <v>171</v>
      </c>
      <c r="D274" s="214" t="s">
        <v>193</v>
      </c>
      <c r="E274" s="214" t="s">
        <v>838</v>
      </c>
      <c r="F274" s="214" t="s">
        <v>185</v>
      </c>
      <c r="G274" s="27">
        <f t="shared" si="281"/>
        <v>88.7</v>
      </c>
      <c r="H274" s="27">
        <f t="shared" si="251"/>
        <v>0</v>
      </c>
      <c r="I274" s="27">
        <f t="shared" si="281"/>
        <v>88.7</v>
      </c>
      <c r="J274" s="27">
        <f t="shared" si="281"/>
        <v>0</v>
      </c>
      <c r="K274" s="27">
        <f t="shared" si="281"/>
        <v>0</v>
      </c>
      <c r="L274" s="27">
        <f t="shared" si="281"/>
        <v>0</v>
      </c>
      <c r="M274" s="27">
        <f t="shared" si="253"/>
        <v>0</v>
      </c>
      <c r="N274" s="27">
        <f t="shared" si="253"/>
        <v>0</v>
      </c>
      <c r="O274" s="27" t="e">
        <f t="shared" si="280"/>
        <v>#DIV/0!</v>
      </c>
    </row>
    <row r="275" spans="1:15" ht="53.25" hidden="1" customHeight="1">
      <c r="A275" s="26" t="s">
        <v>186</v>
      </c>
      <c r="B275" s="216">
        <v>903</v>
      </c>
      <c r="C275" s="214" t="s">
        <v>171</v>
      </c>
      <c r="D275" s="214" t="s">
        <v>193</v>
      </c>
      <c r="E275" s="214" t="s">
        <v>838</v>
      </c>
      <c r="F275" s="214" t="s">
        <v>187</v>
      </c>
      <c r="G275" s="27">
        <v>88.7</v>
      </c>
      <c r="H275" s="27">
        <v>0</v>
      </c>
      <c r="I275" s="27">
        <v>88.7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 t="e">
        <f t="shared" si="280"/>
        <v>#DIV/0!</v>
      </c>
    </row>
    <row r="276" spans="1:15" ht="66" customHeight="1">
      <c r="A276" s="31" t="s">
        <v>807</v>
      </c>
      <c r="B276" s="216">
        <v>903</v>
      </c>
      <c r="C276" s="214" t="s">
        <v>171</v>
      </c>
      <c r="D276" s="214" t="s">
        <v>193</v>
      </c>
      <c r="E276" s="214" t="s">
        <v>805</v>
      </c>
      <c r="F276" s="221"/>
      <c r="G276" s="27">
        <f>G277</f>
        <v>29</v>
      </c>
      <c r="H276" s="27">
        <f t="shared" ref="H276:N278" si="282">H277</f>
        <v>19.100000000000001</v>
      </c>
      <c r="I276" s="27">
        <f t="shared" si="282"/>
        <v>29</v>
      </c>
      <c r="J276" s="27">
        <f t="shared" si="282"/>
        <v>0</v>
      </c>
      <c r="K276" s="27">
        <f t="shared" si="282"/>
        <v>0</v>
      </c>
      <c r="L276" s="27">
        <f t="shared" si="282"/>
        <v>0</v>
      </c>
      <c r="M276" s="27">
        <f>M277+M280</f>
        <v>1348.7</v>
      </c>
      <c r="N276" s="27">
        <f t="shared" ref="N276" si="283">N277+N280</f>
        <v>0</v>
      </c>
      <c r="O276" s="27">
        <f t="shared" si="280"/>
        <v>0</v>
      </c>
    </row>
    <row r="277" spans="1:15" ht="53.25" customHeight="1">
      <c r="A277" s="123" t="s">
        <v>940</v>
      </c>
      <c r="B277" s="216">
        <v>903</v>
      </c>
      <c r="C277" s="214" t="s">
        <v>171</v>
      </c>
      <c r="D277" s="214" t="s">
        <v>193</v>
      </c>
      <c r="E277" s="214" t="s">
        <v>939</v>
      </c>
      <c r="F277" s="221"/>
      <c r="G277" s="27">
        <f>G278</f>
        <v>29</v>
      </c>
      <c r="H277" s="27">
        <f t="shared" si="282"/>
        <v>19.100000000000001</v>
      </c>
      <c r="I277" s="27">
        <f t="shared" si="282"/>
        <v>29</v>
      </c>
      <c r="J277" s="27">
        <f t="shared" si="282"/>
        <v>0</v>
      </c>
      <c r="K277" s="27">
        <f t="shared" si="282"/>
        <v>0</v>
      </c>
      <c r="L277" s="27">
        <f t="shared" si="282"/>
        <v>0</v>
      </c>
      <c r="M277" s="27">
        <f t="shared" si="282"/>
        <v>5</v>
      </c>
      <c r="N277" s="27">
        <f t="shared" si="282"/>
        <v>0</v>
      </c>
      <c r="O277" s="27">
        <f t="shared" si="280"/>
        <v>0</v>
      </c>
    </row>
    <row r="278" spans="1:15" ht="42" customHeight="1">
      <c r="A278" s="26" t="s">
        <v>184</v>
      </c>
      <c r="B278" s="216">
        <v>903</v>
      </c>
      <c r="C278" s="214" t="s">
        <v>171</v>
      </c>
      <c r="D278" s="214" t="s">
        <v>193</v>
      </c>
      <c r="E278" s="214" t="s">
        <v>939</v>
      </c>
      <c r="F278" s="221" t="s">
        <v>185</v>
      </c>
      <c r="G278" s="27">
        <f>G279</f>
        <v>29</v>
      </c>
      <c r="H278" s="27">
        <f t="shared" si="282"/>
        <v>19.100000000000001</v>
      </c>
      <c r="I278" s="27">
        <f t="shared" si="282"/>
        <v>29</v>
      </c>
      <c r="J278" s="27">
        <f t="shared" si="282"/>
        <v>0</v>
      </c>
      <c r="K278" s="27">
        <f t="shared" si="282"/>
        <v>0</v>
      </c>
      <c r="L278" s="27">
        <f t="shared" si="282"/>
        <v>0</v>
      </c>
      <c r="M278" s="27">
        <f t="shared" si="282"/>
        <v>5</v>
      </c>
      <c r="N278" s="27">
        <f t="shared" si="282"/>
        <v>0</v>
      </c>
      <c r="O278" s="27">
        <f t="shared" si="280"/>
        <v>0</v>
      </c>
    </row>
    <row r="279" spans="1:15" ht="43.5" customHeight="1">
      <c r="A279" s="26" t="s">
        <v>186</v>
      </c>
      <c r="B279" s="216">
        <v>903</v>
      </c>
      <c r="C279" s="214" t="s">
        <v>171</v>
      </c>
      <c r="D279" s="214" t="s">
        <v>193</v>
      </c>
      <c r="E279" s="214" t="s">
        <v>939</v>
      </c>
      <c r="F279" s="221" t="s">
        <v>187</v>
      </c>
      <c r="G279" s="27">
        <v>29</v>
      </c>
      <c r="H279" s="27">
        <v>19.100000000000001</v>
      </c>
      <c r="I279" s="27">
        <v>29</v>
      </c>
      <c r="J279" s="27">
        <v>0</v>
      </c>
      <c r="K279" s="27">
        <v>0</v>
      </c>
      <c r="L279" s="27">
        <v>0</v>
      </c>
      <c r="M279" s="27">
        <v>5</v>
      </c>
      <c r="N279" s="27">
        <v>0</v>
      </c>
      <c r="O279" s="27">
        <f t="shared" si="280"/>
        <v>0</v>
      </c>
    </row>
    <row r="280" spans="1:15" ht="51" customHeight="1">
      <c r="A280" s="123" t="s">
        <v>957</v>
      </c>
      <c r="B280" s="214" t="s">
        <v>707</v>
      </c>
      <c r="C280" s="214" t="s">
        <v>171</v>
      </c>
      <c r="D280" s="214" t="s">
        <v>193</v>
      </c>
      <c r="E280" s="214" t="s">
        <v>958</v>
      </c>
      <c r="F280" s="221"/>
      <c r="G280" s="27">
        <f>G281</f>
        <v>29</v>
      </c>
      <c r="H280" s="27">
        <f t="shared" ref="H280:N281" si="284">H281</f>
        <v>19.100000000000001</v>
      </c>
      <c r="I280" s="27">
        <f t="shared" si="284"/>
        <v>29</v>
      </c>
      <c r="J280" s="27">
        <f t="shared" si="284"/>
        <v>0</v>
      </c>
      <c r="K280" s="27">
        <f t="shared" si="284"/>
        <v>0</v>
      </c>
      <c r="L280" s="27">
        <f t="shared" si="284"/>
        <v>0</v>
      </c>
      <c r="M280" s="27">
        <f t="shared" si="284"/>
        <v>1343.7</v>
      </c>
      <c r="N280" s="27">
        <f t="shared" si="284"/>
        <v>0</v>
      </c>
      <c r="O280" s="27">
        <f t="shared" si="280"/>
        <v>0</v>
      </c>
    </row>
    <row r="281" spans="1:15" ht="47.25" customHeight="1">
      <c r="A281" s="31" t="s">
        <v>325</v>
      </c>
      <c r="B281" s="216">
        <v>903</v>
      </c>
      <c r="C281" s="214" t="s">
        <v>171</v>
      </c>
      <c r="D281" s="214" t="s">
        <v>193</v>
      </c>
      <c r="E281" s="214" t="s">
        <v>958</v>
      </c>
      <c r="F281" s="221" t="s">
        <v>326</v>
      </c>
      <c r="G281" s="27">
        <f>G282</f>
        <v>29</v>
      </c>
      <c r="H281" s="27">
        <f t="shared" si="284"/>
        <v>19.100000000000001</v>
      </c>
      <c r="I281" s="27">
        <f t="shared" si="284"/>
        <v>29</v>
      </c>
      <c r="J281" s="27">
        <f t="shared" si="284"/>
        <v>0</v>
      </c>
      <c r="K281" s="27">
        <f t="shared" si="284"/>
        <v>0</v>
      </c>
      <c r="L281" s="27">
        <f t="shared" si="284"/>
        <v>0</v>
      </c>
      <c r="M281" s="27">
        <f t="shared" si="284"/>
        <v>1343.7</v>
      </c>
      <c r="N281" s="27">
        <f t="shared" si="284"/>
        <v>0</v>
      </c>
      <c r="O281" s="27">
        <f t="shared" si="280"/>
        <v>0</v>
      </c>
    </row>
    <row r="282" spans="1:15" ht="21" customHeight="1">
      <c r="A282" s="258" t="s">
        <v>327</v>
      </c>
      <c r="B282" s="216">
        <v>903</v>
      </c>
      <c r="C282" s="214" t="s">
        <v>171</v>
      </c>
      <c r="D282" s="214" t="s">
        <v>193</v>
      </c>
      <c r="E282" s="214" t="s">
        <v>958</v>
      </c>
      <c r="F282" s="221" t="s">
        <v>328</v>
      </c>
      <c r="G282" s="27">
        <v>29</v>
      </c>
      <c r="H282" s="27">
        <v>19.100000000000001</v>
      </c>
      <c r="I282" s="27">
        <v>29</v>
      </c>
      <c r="J282" s="27">
        <v>0</v>
      </c>
      <c r="K282" s="27">
        <v>0</v>
      </c>
      <c r="L282" s="27">
        <v>0</v>
      </c>
      <c r="M282" s="27">
        <f>1014.2+329.5</f>
        <v>1343.7</v>
      </c>
      <c r="N282" s="27">
        <v>0</v>
      </c>
      <c r="O282" s="27">
        <f t="shared" si="280"/>
        <v>0</v>
      </c>
    </row>
    <row r="283" spans="1:15" ht="15.75">
      <c r="A283" s="24" t="s">
        <v>316</v>
      </c>
      <c r="B283" s="213">
        <v>903</v>
      </c>
      <c r="C283" s="215" t="s">
        <v>317</v>
      </c>
      <c r="D283" s="214"/>
      <c r="E283" s="214"/>
      <c r="F283" s="214"/>
      <c r="G283" s="22">
        <f t="shared" ref="G283:M283" si="285">G284+G322</f>
        <v>17482.699999999997</v>
      </c>
      <c r="H283" s="22">
        <f t="shared" si="285"/>
        <v>9307.7999999999993</v>
      </c>
      <c r="I283" s="22">
        <f t="shared" si="285"/>
        <v>12420.433333333334</v>
      </c>
      <c r="J283" s="22">
        <f t="shared" si="285"/>
        <v>22861.1</v>
      </c>
      <c r="K283" s="22">
        <f t="shared" si="285"/>
        <v>22534.699999999997</v>
      </c>
      <c r="L283" s="22">
        <f t="shared" si="285"/>
        <v>22761.899999999998</v>
      </c>
      <c r="M283" s="22">
        <f t="shared" si="285"/>
        <v>17906.600000000002</v>
      </c>
      <c r="N283" s="22">
        <f t="shared" ref="N283" si="286">N284+N322</f>
        <v>6044.5</v>
      </c>
      <c r="O283" s="22">
        <f t="shared" si="280"/>
        <v>33.755710185071422</v>
      </c>
    </row>
    <row r="284" spans="1:15" ht="15.75">
      <c r="A284" s="24" t="s">
        <v>318</v>
      </c>
      <c r="B284" s="213">
        <v>903</v>
      </c>
      <c r="C284" s="215" t="s">
        <v>317</v>
      </c>
      <c r="D284" s="215" t="s">
        <v>268</v>
      </c>
      <c r="E284" s="215"/>
      <c r="F284" s="215"/>
      <c r="G284" s="22">
        <f t="shared" ref="G284:M284" si="287">G285+G311</f>
        <v>17482.699999999997</v>
      </c>
      <c r="H284" s="22">
        <f t="shared" si="287"/>
        <v>9307.7999999999993</v>
      </c>
      <c r="I284" s="22">
        <f t="shared" si="287"/>
        <v>12420.433333333334</v>
      </c>
      <c r="J284" s="22">
        <f t="shared" si="287"/>
        <v>22861.1</v>
      </c>
      <c r="K284" s="22">
        <f t="shared" si="287"/>
        <v>22534.699999999997</v>
      </c>
      <c r="L284" s="22">
        <f t="shared" si="287"/>
        <v>22761.899999999998</v>
      </c>
      <c r="M284" s="22">
        <f t="shared" si="287"/>
        <v>17906.600000000002</v>
      </c>
      <c r="N284" s="22">
        <f t="shared" ref="N284" si="288">N285+N311</f>
        <v>6044.5</v>
      </c>
      <c r="O284" s="22">
        <f t="shared" si="280"/>
        <v>33.755710185071422</v>
      </c>
    </row>
    <row r="285" spans="1:15" ht="47.25">
      <c r="A285" s="26" t="s">
        <v>319</v>
      </c>
      <c r="B285" s="216">
        <v>903</v>
      </c>
      <c r="C285" s="214" t="s">
        <v>317</v>
      </c>
      <c r="D285" s="214" t="s">
        <v>268</v>
      </c>
      <c r="E285" s="214" t="s">
        <v>320</v>
      </c>
      <c r="F285" s="214"/>
      <c r="G285" s="27">
        <f>G286</f>
        <v>16445.599999999999</v>
      </c>
      <c r="H285" s="27">
        <f t="shared" ref="H285:L285" si="289">H286</f>
        <v>8550</v>
      </c>
      <c r="I285" s="27">
        <f t="shared" si="289"/>
        <v>11383.333333333334</v>
      </c>
      <c r="J285" s="27">
        <f t="shared" si="289"/>
        <v>21824</v>
      </c>
      <c r="K285" s="27">
        <f t="shared" si="289"/>
        <v>21497.599999999999</v>
      </c>
      <c r="L285" s="27">
        <f t="shared" si="289"/>
        <v>21724.799999999999</v>
      </c>
      <c r="M285" s="27">
        <f t="shared" ref="M285:N285" si="290">M286</f>
        <v>16868.900000000001</v>
      </c>
      <c r="N285" s="27">
        <f t="shared" si="290"/>
        <v>5907.8</v>
      </c>
      <c r="O285" s="27">
        <f t="shared" si="280"/>
        <v>35.021844933575984</v>
      </c>
    </row>
    <row r="286" spans="1:15" ht="63">
      <c r="A286" s="26" t="s">
        <v>321</v>
      </c>
      <c r="B286" s="216">
        <v>903</v>
      </c>
      <c r="C286" s="214" t="s">
        <v>317</v>
      </c>
      <c r="D286" s="214" t="s">
        <v>268</v>
      </c>
      <c r="E286" s="214" t="s">
        <v>322</v>
      </c>
      <c r="F286" s="214"/>
      <c r="G286" s="27">
        <f>G287+G299+G302+G305+G308</f>
        <v>16445.599999999999</v>
      </c>
      <c r="H286" s="27">
        <f t="shared" ref="H286" si="291">H287+H299+H302+H305+H308</f>
        <v>8550</v>
      </c>
      <c r="I286" s="27">
        <f t="shared" ref="I286:L286" si="292">I287+I299+I302+I305+I308</f>
        <v>11383.333333333334</v>
      </c>
      <c r="J286" s="27">
        <f t="shared" si="292"/>
        <v>21824</v>
      </c>
      <c r="K286" s="27">
        <f t="shared" si="292"/>
        <v>21497.599999999999</v>
      </c>
      <c r="L286" s="27">
        <f t="shared" si="292"/>
        <v>21724.799999999999</v>
      </c>
      <c r="M286" s="27">
        <f t="shared" ref="M286:N286" si="293">M287+M299+M302+M305+M308</f>
        <v>16868.900000000001</v>
      </c>
      <c r="N286" s="27">
        <f t="shared" si="293"/>
        <v>5907.8</v>
      </c>
      <c r="O286" s="27">
        <f t="shared" si="280"/>
        <v>35.021844933575984</v>
      </c>
    </row>
    <row r="287" spans="1:15" ht="47.25">
      <c r="A287" s="26" t="s">
        <v>323</v>
      </c>
      <c r="B287" s="216">
        <v>903</v>
      </c>
      <c r="C287" s="214" t="s">
        <v>317</v>
      </c>
      <c r="D287" s="214" t="s">
        <v>268</v>
      </c>
      <c r="E287" s="214" t="s">
        <v>324</v>
      </c>
      <c r="F287" s="214"/>
      <c r="G287" s="27">
        <f>G288</f>
        <v>16395.599999999999</v>
      </c>
      <c r="H287" s="27">
        <f>H288</f>
        <v>8500</v>
      </c>
      <c r="I287" s="27">
        <f t="shared" ref="I287:L287" si="294">I288</f>
        <v>11333.333333333334</v>
      </c>
      <c r="J287" s="27">
        <f t="shared" si="294"/>
        <v>20227.2</v>
      </c>
      <c r="K287" s="27">
        <f t="shared" si="294"/>
        <v>20500.8</v>
      </c>
      <c r="L287" s="27">
        <f t="shared" si="294"/>
        <v>20728</v>
      </c>
      <c r="M287" s="27">
        <f t="shared" ref="M287:N288" si="295">M288</f>
        <v>16157.1</v>
      </c>
      <c r="N287" s="27">
        <f t="shared" si="295"/>
        <v>5246</v>
      </c>
      <c r="O287" s="27">
        <f t="shared" si="280"/>
        <v>32.468697971789489</v>
      </c>
    </row>
    <row r="288" spans="1:15" ht="47.25">
      <c r="A288" s="26" t="s">
        <v>325</v>
      </c>
      <c r="B288" s="216">
        <v>903</v>
      </c>
      <c r="C288" s="214" t="s">
        <v>317</v>
      </c>
      <c r="D288" s="214" t="s">
        <v>268</v>
      </c>
      <c r="E288" s="214" t="s">
        <v>324</v>
      </c>
      <c r="F288" s="214" t="s">
        <v>326</v>
      </c>
      <c r="G288" s="27">
        <f>G289</f>
        <v>16395.599999999999</v>
      </c>
      <c r="H288" s="27">
        <f>H289</f>
        <v>8500</v>
      </c>
      <c r="I288" s="27">
        <f t="shared" ref="I288:L288" si="296">I289</f>
        <v>11333.333333333334</v>
      </c>
      <c r="J288" s="27">
        <f t="shared" si="296"/>
        <v>20227.2</v>
      </c>
      <c r="K288" s="27">
        <f t="shared" si="296"/>
        <v>20500.8</v>
      </c>
      <c r="L288" s="27">
        <f t="shared" si="296"/>
        <v>20728</v>
      </c>
      <c r="M288" s="27">
        <f t="shared" si="295"/>
        <v>16157.1</v>
      </c>
      <c r="N288" s="27">
        <f t="shared" si="295"/>
        <v>5246</v>
      </c>
      <c r="O288" s="27">
        <f t="shared" si="280"/>
        <v>32.468697971789489</v>
      </c>
    </row>
    <row r="289" spans="1:15" ht="15.75">
      <c r="A289" s="26" t="s">
        <v>327</v>
      </c>
      <c r="B289" s="216">
        <v>903</v>
      </c>
      <c r="C289" s="214" t="s">
        <v>317</v>
      </c>
      <c r="D289" s="214" t="s">
        <v>268</v>
      </c>
      <c r="E289" s="214" t="s">
        <v>324</v>
      </c>
      <c r="F289" s="214" t="s">
        <v>328</v>
      </c>
      <c r="G289" s="28">
        <f>15572+756.3+67.3</f>
        <v>16395.599999999999</v>
      </c>
      <c r="H289" s="28">
        <v>8500</v>
      </c>
      <c r="I289" s="28">
        <f>H289/9*12</f>
        <v>11333.333333333334</v>
      </c>
      <c r="J289" s="28">
        <v>20227.2</v>
      </c>
      <c r="K289" s="28">
        <v>20500.8</v>
      </c>
      <c r="L289" s="28">
        <v>20728</v>
      </c>
      <c r="M289" s="28">
        <f>16378.1-221</f>
        <v>16157.1</v>
      </c>
      <c r="N289" s="28">
        <v>5246</v>
      </c>
      <c r="O289" s="27">
        <f t="shared" si="280"/>
        <v>32.468697971789489</v>
      </c>
    </row>
    <row r="290" spans="1:15" ht="47.25" hidden="1" customHeight="1">
      <c r="A290" s="26" t="s">
        <v>329</v>
      </c>
      <c r="B290" s="216">
        <v>903</v>
      </c>
      <c r="C290" s="214" t="s">
        <v>317</v>
      </c>
      <c r="D290" s="214" t="s">
        <v>268</v>
      </c>
      <c r="E290" s="214" t="s">
        <v>330</v>
      </c>
      <c r="F290" s="214"/>
      <c r="G290" s="27">
        <f t="shared" ref="G290:L291" si="297">G291</f>
        <v>0</v>
      </c>
      <c r="H290" s="22">
        <f>H291+H326</f>
        <v>8569.2999999999993</v>
      </c>
      <c r="I290" s="27">
        <f t="shared" si="297"/>
        <v>0</v>
      </c>
      <c r="J290" s="27">
        <f t="shared" si="297"/>
        <v>0</v>
      </c>
      <c r="K290" s="27">
        <f t="shared" si="297"/>
        <v>0</v>
      </c>
      <c r="L290" s="27">
        <f t="shared" si="297"/>
        <v>0</v>
      </c>
      <c r="M290" s="27">
        <f t="shared" ref="M290:N291" si="298">M291</f>
        <v>0</v>
      </c>
      <c r="N290" s="27">
        <f t="shared" si="298"/>
        <v>0</v>
      </c>
      <c r="O290" s="27" t="e">
        <f t="shared" si="280"/>
        <v>#DIV/0!</v>
      </c>
    </row>
    <row r="291" spans="1:15" ht="47.25" hidden="1" customHeight="1">
      <c r="A291" s="26" t="s">
        <v>325</v>
      </c>
      <c r="B291" s="216">
        <v>903</v>
      </c>
      <c r="C291" s="214" t="s">
        <v>317</v>
      </c>
      <c r="D291" s="214" t="s">
        <v>268</v>
      </c>
      <c r="E291" s="214" t="s">
        <v>330</v>
      </c>
      <c r="F291" s="214" t="s">
        <v>326</v>
      </c>
      <c r="G291" s="27">
        <f t="shared" si="297"/>
        <v>0</v>
      </c>
      <c r="H291" s="22">
        <f>H292+H315</f>
        <v>8569.2999999999993</v>
      </c>
      <c r="I291" s="27">
        <f t="shared" si="297"/>
        <v>0</v>
      </c>
      <c r="J291" s="27">
        <f t="shared" si="297"/>
        <v>0</v>
      </c>
      <c r="K291" s="27">
        <f t="shared" si="297"/>
        <v>0</v>
      </c>
      <c r="L291" s="27">
        <f t="shared" si="297"/>
        <v>0</v>
      </c>
      <c r="M291" s="27">
        <f t="shared" si="298"/>
        <v>0</v>
      </c>
      <c r="N291" s="27">
        <f t="shared" si="298"/>
        <v>0</v>
      </c>
      <c r="O291" s="27" t="e">
        <f t="shared" si="280"/>
        <v>#DIV/0!</v>
      </c>
    </row>
    <row r="292" spans="1:15" ht="15.75" hidden="1" customHeight="1">
      <c r="A292" s="26" t="s">
        <v>327</v>
      </c>
      <c r="B292" s="216">
        <v>903</v>
      </c>
      <c r="C292" s="214" t="s">
        <v>317</v>
      </c>
      <c r="D292" s="214" t="s">
        <v>268</v>
      </c>
      <c r="E292" s="214" t="s">
        <v>330</v>
      </c>
      <c r="F292" s="214" t="s">
        <v>328</v>
      </c>
      <c r="G292" s="27">
        <v>0</v>
      </c>
      <c r="H292" s="27">
        <f>H293</f>
        <v>8500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 t="e">
        <f t="shared" si="280"/>
        <v>#DIV/0!</v>
      </c>
    </row>
    <row r="293" spans="1:15" ht="47.25" hidden="1" customHeight="1">
      <c r="A293" s="26" t="s">
        <v>331</v>
      </c>
      <c r="B293" s="216">
        <v>903</v>
      </c>
      <c r="C293" s="214" t="s">
        <v>317</v>
      </c>
      <c r="D293" s="214" t="s">
        <v>268</v>
      </c>
      <c r="E293" s="214" t="s">
        <v>332</v>
      </c>
      <c r="F293" s="214"/>
      <c r="G293" s="27">
        <f t="shared" ref="G293:L294" si="299">G294</f>
        <v>0</v>
      </c>
      <c r="H293" s="27">
        <f>H294+H306</f>
        <v>8500</v>
      </c>
      <c r="I293" s="27">
        <f t="shared" si="299"/>
        <v>0</v>
      </c>
      <c r="J293" s="27">
        <f t="shared" si="299"/>
        <v>0</v>
      </c>
      <c r="K293" s="27">
        <f t="shared" si="299"/>
        <v>0</v>
      </c>
      <c r="L293" s="27">
        <f t="shared" si="299"/>
        <v>0</v>
      </c>
      <c r="M293" s="27">
        <f t="shared" ref="M293:N294" si="300">M294</f>
        <v>0</v>
      </c>
      <c r="N293" s="27">
        <f t="shared" si="300"/>
        <v>0</v>
      </c>
      <c r="O293" s="27" t="e">
        <f t="shared" si="280"/>
        <v>#DIV/0!</v>
      </c>
    </row>
    <row r="294" spans="1:15" ht="47.25" hidden="1" customHeight="1">
      <c r="A294" s="26" t="s">
        <v>325</v>
      </c>
      <c r="B294" s="216">
        <v>903</v>
      </c>
      <c r="C294" s="214" t="s">
        <v>317</v>
      </c>
      <c r="D294" s="214" t="s">
        <v>268</v>
      </c>
      <c r="E294" s="214" t="s">
        <v>332</v>
      </c>
      <c r="F294" s="214" t="s">
        <v>326</v>
      </c>
      <c r="G294" s="27">
        <f t="shared" si="299"/>
        <v>0</v>
      </c>
      <c r="H294" s="27">
        <f>H295</f>
        <v>8500</v>
      </c>
      <c r="I294" s="27">
        <f t="shared" si="299"/>
        <v>0</v>
      </c>
      <c r="J294" s="27">
        <f t="shared" si="299"/>
        <v>0</v>
      </c>
      <c r="K294" s="27">
        <f t="shared" si="299"/>
        <v>0</v>
      </c>
      <c r="L294" s="27">
        <f t="shared" si="299"/>
        <v>0</v>
      </c>
      <c r="M294" s="27">
        <f t="shared" si="300"/>
        <v>0</v>
      </c>
      <c r="N294" s="27">
        <f t="shared" si="300"/>
        <v>0</v>
      </c>
      <c r="O294" s="27" t="e">
        <f t="shared" si="280"/>
        <v>#DIV/0!</v>
      </c>
    </row>
    <row r="295" spans="1:15" ht="15.75" hidden="1" customHeight="1">
      <c r="A295" s="26" t="s">
        <v>327</v>
      </c>
      <c r="B295" s="216">
        <v>903</v>
      </c>
      <c r="C295" s="214" t="s">
        <v>317</v>
      </c>
      <c r="D295" s="214" t="s">
        <v>268</v>
      </c>
      <c r="E295" s="214" t="s">
        <v>332</v>
      </c>
      <c r="F295" s="214" t="s">
        <v>328</v>
      </c>
      <c r="G295" s="27">
        <v>0</v>
      </c>
      <c r="H295" s="27">
        <f>H296</f>
        <v>8500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 t="e">
        <f t="shared" si="280"/>
        <v>#DIV/0!</v>
      </c>
    </row>
    <row r="296" spans="1:15" ht="31.5" hidden="1" customHeight="1">
      <c r="A296" s="26" t="s">
        <v>333</v>
      </c>
      <c r="B296" s="216">
        <v>903</v>
      </c>
      <c r="C296" s="214" t="s">
        <v>317</v>
      </c>
      <c r="D296" s="214" t="s">
        <v>268</v>
      </c>
      <c r="E296" s="214" t="s">
        <v>334</v>
      </c>
      <c r="F296" s="214"/>
      <c r="G296" s="27">
        <f t="shared" ref="G296:L297" si="301">G297</f>
        <v>0</v>
      </c>
      <c r="H296" s="28">
        <v>8500</v>
      </c>
      <c r="I296" s="27">
        <f t="shared" si="301"/>
        <v>0</v>
      </c>
      <c r="J296" s="27">
        <f t="shared" si="301"/>
        <v>0</v>
      </c>
      <c r="K296" s="27">
        <f t="shared" si="301"/>
        <v>0</v>
      </c>
      <c r="L296" s="27">
        <f t="shared" si="301"/>
        <v>0</v>
      </c>
      <c r="M296" s="27">
        <f t="shared" ref="M296:N297" si="302">M297</f>
        <v>0</v>
      </c>
      <c r="N296" s="27">
        <f t="shared" si="302"/>
        <v>0</v>
      </c>
      <c r="O296" s="27" t="e">
        <f t="shared" si="280"/>
        <v>#DIV/0!</v>
      </c>
    </row>
    <row r="297" spans="1:15" ht="47.25" hidden="1" customHeight="1">
      <c r="A297" s="26" t="s">
        <v>325</v>
      </c>
      <c r="B297" s="216">
        <v>903</v>
      </c>
      <c r="C297" s="214" t="s">
        <v>317</v>
      </c>
      <c r="D297" s="214" t="s">
        <v>268</v>
      </c>
      <c r="E297" s="214" t="s">
        <v>334</v>
      </c>
      <c r="F297" s="214" t="s">
        <v>326</v>
      </c>
      <c r="G297" s="27">
        <f t="shared" si="301"/>
        <v>0</v>
      </c>
      <c r="H297" s="27"/>
      <c r="I297" s="27">
        <f t="shared" si="301"/>
        <v>0</v>
      </c>
      <c r="J297" s="27">
        <f t="shared" si="301"/>
        <v>0</v>
      </c>
      <c r="K297" s="27">
        <f t="shared" si="301"/>
        <v>0</v>
      </c>
      <c r="L297" s="27">
        <f t="shared" si="301"/>
        <v>0</v>
      </c>
      <c r="M297" s="27">
        <f t="shared" si="302"/>
        <v>0</v>
      </c>
      <c r="N297" s="27">
        <f t="shared" si="302"/>
        <v>0</v>
      </c>
      <c r="O297" s="27" t="e">
        <f t="shared" si="280"/>
        <v>#DIV/0!</v>
      </c>
    </row>
    <row r="298" spans="1:15" ht="15.75" hidden="1" customHeight="1">
      <c r="A298" s="26" t="s">
        <v>327</v>
      </c>
      <c r="B298" s="216">
        <v>903</v>
      </c>
      <c r="C298" s="214" t="s">
        <v>317</v>
      </c>
      <c r="D298" s="214" t="s">
        <v>268</v>
      </c>
      <c r="E298" s="214" t="s">
        <v>334</v>
      </c>
      <c r="F298" s="214" t="s">
        <v>328</v>
      </c>
      <c r="G298" s="27">
        <v>0</v>
      </c>
      <c r="H298" s="27"/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 t="e">
        <f t="shared" si="280"/>
        <v>#DIV/0!</v>
      </c>
    </row>
    <row r="299" spans="1:15" ht="39.75" customHeight="1">
      <c r="A299" s="26" t="s">
        <v>335</v>
      </c>
      <c r="B299" s="216">
        <v>903</v>
      </c>
      <c r="C299" s="214" t="s">
        <v>317</v>
      </c>
      <c r="D299" s="214" t="s">
        <v>268</v>
      </c>
      <c r="E299" s="214" t="s">
        <v>336</v>
      </c>
      <c r="F299" s="214"/>
      <c r="G299" s="27">
        <f>G300</f>
        <v>50</v>
      </c>
      <c r="H299" s="27">
        <f>H300</f>
        <v>50</v>
      </c>
      <c r="I299" s="27">
        <f t="shared" ref="I299:L299" si="303">I300</f>
        <v>50</v>
      </c>
      <c r="J299" s="27">
        <f t="shared" si="303"/>
        <v>60</v>
      </c>
      <c r="K299" s="27">
        <f t="shared" si="303"/>
        <v>60</v>
      </c>
      <c r="L299" s="27">
        <f t="shared" si="303"/>
        <v>60</v>
      </c>
      <c r="M299" s="27">
        <f t="shared" ref="M299:N300" si="304">M300</f>
        <v>50</v>
      </c>
      <c r="N299" s="27">
        <f t="shared" si="304"/>
        <v>0</v>
      </c>
      <c r="O299" s="27">
        <f t="shared" si="280"/>
        <v>0</v>
      </c>
    </row>
    <row r="300" spans="1:15" ht="47.25">
      <c r="A300" s="26" t="s">
        <v>325</v>
      </c>
      <c r="B300" s="216">
        <v>903</v>
      </c>
      <c r="C300" s="214" t="s">
        <v>317</v>
      </c>
      <c r="D300" s="214" t="s">
        <v>268</v>
      </c>
      <c r="E300" s="214" t="s">
        <v>336</v>
      </c>
      <c r="F300" s="214" t="s">
        <v>326</v>
      </c>
      <c r="G300" s="27">
        <f t="shared" ref="G300:L300" si="305">G301</f>
        <v>50</v>
      </c>
      <c r="H300" s="27">
        <f>H301</f>
        <v>50</v>
      </c>
      <c r="I300" s="27">
        <f t="shared" si="305"/>
        <v>50</v>
      </c>
      <c r="J300" s="27">
        <f t="shared" si="305"/>
        <v>60</v>
      </c>
      <c r="K300" s="27">
        <f t="shared" si="305"/>
        <v>60</v>
      </c>
      <c r="L300" s="27">
        <f t="shared" si="305"/>
        <v>60</v>
      </c>
      <c r="M300" s="27">
        <f t="shared" si="304"/>
        <v>50</v>
      </c>
      <c r="N300" s="27">
        <f t="shared" si="304"/>
        <v>0</v>
      </c>
      <c r="O300" s="27">
        <f t="shared" si="280"/>
        <v>0</v>
      </c>
    </row>
    <row r="301" spans="1:15" ht="15.75">
      <c r="A301" s="26" t="s">
        <v>327</v>
      </c>
      <c r="B301" s="216">
        <v>903</v>
      </c>
      <c r="C301" s="214" t="s">
        <v>317</v>
      </c>
      <c r="D301" s="214" t="s">
        <v>268</v>
      </c>
      <c r="E301" s="214" t="s">
        <v>336</v>
      </c>
      <c r="F301" s="214" t="s">
        <v>328</v>
      </c>
      <c r="G301" s="27">
        <v>50</v>
      </c>
      <c r="H301" s="27">
        <v>50</v>
      </c>
      <c r="I301" s="27">
        <v>50</v>
      </c>
      <c r="J301" s="27">
        <v>60</v>
      </c>
      <c r="K301" s="27">
        <v>60</v>
      </c>
      <c r="L301" s="27">
        <v>60</v>
      </c>
      <c r="M301" s="27">
        <v>50</v>
      </c>
      <c r="N301" s="27">
        <v>0</v>
      </c>
      <c r="O301" s="27">
        <f t="shared" si="280"/>
        <v>0</v>
      </c>
    </row>
    <row r="302" spans="1:15" ht="31.5" hidden="1" customHeight="1">
      <c r="A302" s="26" t="s">
        <v>337</v>
      </c>
      <c r="B302" s="216">
        <v>903</v>
      </c>
      <c r="C302" s="214" t="s">
        <v>317</v>
      </c>
      <c r="D302" s="214" t="s">
        <v>268</v>
      </c>
      <c r="E302" s="214" t="s">
        <v>339</v>
      </c>
      <c r="F302" s="214"/>
      <c r="G302" s="27">
        <f t="shared" ref="G302:L303" si="306">G303</f>
        <v>0</v>
      </c>
      <c r="H302" s="27">
        <v>0</v>
      </c>
      <c r="I302" s="27">
        <f t="shared" si="306"/>
        <v>0</v>
      </c>
      <c r="J302" s="27">
        <f t="shared" si="306"/>
        <v>275</v>
      </c>
      <c r="K302" s="27">
        <f t="shared" si="306"/>
        <v>275</v>
      </c>
      <c r="L302" s="27">
        <f t="shared" si="306"/>
        <v>275</v>
      </c>
      <c r="M302" s="27">
        <f t="shared" ref="M302:N303" si="307">M303</f>
        <v>0</v>
      </c>
      <c r="N302" s="27">
        <f t="shared" si="307"/>
        <v>0</v>
      </c>
      <c r="O302" s="27" t="e">
        <f t="shared" si="280"/>
        <v>#DIV/0!</v>
      </c>
    </row>
    <row r="303" spans="1:15" ht="47.25" hidden="1" customHeight="1">
      <c r="A303" s="26" t="s">
        <v>325</v>
      </c>
      <c r="B303" s="216">
        <v>903</v>
      </c>
      <c r="C303" s="214" t="s">
        <v>317</v>
      </c>
      <c r="D303" s="214" t="s">
        <v>268</v>
      </c>
      <c r="E303" s="214" t="s">
        <v>339</v>
      </c>
      <c r="F303" s="214" t="s">
        <v>326</v>
      </c>
      <c r="G303" s="27">
        <f t="shared" si="306"/>
        <v>0</v>
      </c>
      <c r="H303" s="27">
        <v>0</v>
      </c>
      <c r="I303" s="27">
        <f t="shared" si="306"/>
        <v>0</v>
      </c>
      <c r="J303" s="27">
        <f t="shared" si="306"/>
        <v>275</v>
      </c>
      <c r="K303" s="27">
        <f t="shared" si="306"/>
        <v>275</v>
      </c>
      <c r="L303" s="27">
        <f t="shared" si="306"/>
        <v>275</v>
      </c>
      <c r="M303" s="27">
        <f t="shared" si="307"/>
        <v>0</v>
      </c>
      <c r="N303" s="27">
        <f t="shared" si="307"/>
        <v>0</v>
      </c>
      <c r="O303" s="27" t="e">
        <f t="shared" si="280"/>
        <v>#DIV/0!</v>
      </c>
    </row>
    <row r="304" spans="1:15" ht="15.75" hidden="1" customHeight="1">
      <c r="A304" s="26" t="s">
        <v>327</v>
      </c>
      <c r="B304" s="216">
        <v>903</v>
      </c>
      <c r="C304" s="214" t="s">
        <v>317</v>
      </c>
      <c r="D304" s="214" t="s">
        <v>268</v>
      </c>
      <c r="E304" s="214" t="s">
        <v>339</v>
      </c>
      <c r="F304" s="214" t="s">
        <v>328</v>
      </c>
      <c r="G304" s="27">
        <v>0</v>
      </c>
      <c r="H304" s="27">
        <v>0</v>
      </c>
      <c r="I304" s="27">
        <v>0</v>
      </c>
      <c r="J304" s="27">
        <v>275</v>
      </c>
      <c r="K304" s="27">
        <v>275</v>
      </c>
      <c r="L304" s="27">
        <v>275</v>
      </c>
      <c r="M304" s="27">
        <v>0</v>
      </c>
      <c r="N304" s="27">
        <v>0</v>
      </c>
      <c r="O304" s="27" t="e">
        <f t="shared" si="280"/>
        <v>#DIV/0!</v>
      </c>
    </row>
    <row r="305" spans="1:15" ht="47.25" hidden="1" customHeight="1">
      <c r="A305" s="70" t="s">
        <v>340</v>
      </c>
      <c r="B305" s="216">
        <v>903</v>
      </c>
      <c r="C305" s="214" t="s">
        <v>317</v>
      </c>
      <c r="D305" s="214" t="s">
        <v>268</v>
      </c>
      <c r="E305" s="214" t="s">
        <v>341</v>
      </c>
      <c r="F305" s="214"/>
      <c r="G305" s="27">
        <f t="shared" ref="G305:L309" si="308">G306</f>
        <v>0</v>
      </c>
      <c r="H305" s="27">
        <v>0</v>
      </c>
      <c r="I305" s="27">
        <f t="shared" si="308"/>
        <v>0</v>
      </c>
      <c r="J305" s="27">
        <f t="shared" si="308"/>
        <v>600</v>
      </c>
      <c r="K305" s="27">
        <f t="shared" si="308"/>
        <v>0</v>
      </c>
      <c r="L305" s="27">
        <f t="shared" si="308"/>
        <v>0</v>
      </c>
      <c r="M305" s="27">
        <f t="shared" ref="M305:N306" si="309">M306</f>
        <v>0</v>
      </c>
      <c r="N305" s="27">
        <f t="shared" si="309"/>
        <v>0</v>
      </c>
      <c r="O305" s="27" t="e">
        <f t="shared" si="280"/>
        <v>#DIV/0!</v>
      </c>
    </row>
    <row r="306" spans="1:15" ht="47.25" hidden="1" customHeight="1">
      <c r="A306" s="31" t="s">
        <v>325</v>
      </c>
      <c r="B306" s="216">
        <v>903</v>
      </c>
      <c r="C306" s="214" t="s">
        <v>317</v>
      </c>
      <c r="D306" s="214" t="s">
        <v>268</v>
      </c>
      <c r="E306" s="214" t="s">
        <v>341</v>
      </c>
      <c r="F306" s="214" t="s">
        <v>326</v>
      </c>
      <c r="G306" s="27">
        <f t="shared" si="308"/>
        <v>0</v>
      </c>
      <c r="H306" s="27">
        <v>0</v>
      </c>
      <c r="I306" s="27">
        <f t="shared" si="308"/>
        <v>0</v>
      </c>
      <c r="J306" s="27">
        <f t="shared" si="308"/>
        <v>600</v>
      </c>
      <c r="K306" s="27">
        <f t="shared" si="308"/>
        <v>0</v>
      </c>
      <c r="L306" s="27">
        <f t="shared" si="308"/>
        <v>0</v>
      </c>
      <c r="M306" s="27">
        <f t="shared" si="309"/>
        <v>0</v>
      </c>
      <c r="N306" s="27">
        <f t="shared" si="309"/>
        <v>0</v>
      </c>
      <c r="O306" s="27" t="e">
        <f t="shared" si="280"/>
        <v>#DIV/0!</v>
      </c>
    </row>
    <row r="307" spans="1:15" ht="15.75" hidden="1" customHeight="1">
      <c r="A307" s="258" t="s">
        <v>327</v>
      </c>
      <c r="B307" s="216">
        <v>903</v>
      </c>
      <c r="C307" s="214" t="s">
        <v>317</v>
      </c>
      <c r="D307" s="214" t="s">
        <v>268</v>
      </c>
      <c r="E307" s="214" t="s">
        <v>341</v>
      </c>
      <c r="F307" s="214" t="s">
        <v>328</v>
      </c>
      <c r="G307" s="27">
        <v>0</v>
      </c>
      <c r="H307" s="27">
        <v>0</v>
      </c>
      <c r="I307" s="27">
        <v>0</v>
      </c>
      <c r="J307" s="27">
        <v>600</v>
      </c>
      <c r="K307" s="27">
        <v>0</v>
      </c>
      <c r="L307" s="27">
        <v>0</v>
      </c>
      <c r="M307" s="27">
        <v>0</v>
      </c>
      <c r="N307" s="27">
        <v>0</v>
      </c>
      <c r="O307" s="27" t="e">
        <f t="shared" si="280"/>
        <v>#DIV/0!</v>
      </c>
    </row>
    <row r="308" spans="1:15" ht="48" customHeight="1">
      <c r="A308" s="70" t="s">
        <v>871</v>
      </c>
      <c r="B308" s="216">
        <v>903</v>
      </c>
      <c r="C308" s="214" t="s">
        <v>317</v>
      </c>
      <c r="D308" s="214" t="s">
        <v>268</v>
      </c>
      <c r="E308" s="214" t="s">
        <v>877</v>
      </c>
      <c r="F308" s="214"/>
      <c r="G308" s="27">
        <f t="shared" si="308"/>
        <v>0</v>
      </c>
      <c r="H308" s="27">
        <v>0</v>
      </c>
      <c r="I308" s="27">
        <f>I309</f>
        <v>0</v>
      </c>
      <c r="J308" s="27">
        <f t="shared" ref="J308:L309" si="310">J309</f>
        <v>661.8</v>
      </c>
      <c r="K308" s="27">
        <f t="shared" si="310"/>
        <v>661.8</v>
      </c>
      <c r="L308" s="27">
        <f t="shared" si="310"/>
        <v>661.8</v>
      </c>
      <c r="M308" s="27">
        <f>M309</f>
        <v>661.8</v>
      </c>
      <c r="N308" s="27">
        <f t="shared" ref="N308:N309" si="311">N309</f>
        <v>661.8</v>
      </c>
      <c r="O308" s="27">
        <f t="shared" si="280"/>
        <v>100</v>
      </c>
    </row>
    <row r="309" spans="1:15" ht="51.75" customHeight="1">
      <c r="A309" s="31" t="s">
        <v>325</v>
      </c>
      <c r="B309" s="216">
        <v>903</v>
      </c>
      <c r="C309" s="214" t="s">
        <v>317</v>
      </c>
      <c r="D309" s="214" t="s">
        <v>268</v>
      </c>
      <c r="E309" s="214" t="s">
        <v>877</v>
      </c>
      <c r="F309" s="214" t="s">
        <v>326</v>
      </c>
      <c r="G309" s="27">
        <f t="shared" si="308"/>
        <v>0</v>
      </c>
      <c r="H309" s="27">
        <v>0</v>
      </c>
      <c r="I309" s="27">
        <f>I310</f>
        <v>0</v>
      </c>
      <c r="J309" s="27">
        <f t="shared" si="310"/>
        <v>661.8</v>
      </c>
      <c r="K309" s="27">
        <f t="shared" si="310"/>
        <v>661.8</v>
      </c>
      <c r="L309" s="27">
        <f t="shared" si="310"/>
        <v>661.8</v>
      </c>
      <c r="M309" s="27">
        <f>M310</f>
        <v>661.8</v>
      </c>
      <c r="N309" s="27">
        <f t="shared" si="311"/>
        <v>661.8</v>
      </c>
      <c r="O309" s="27">
        <f t="shared" si="280"/>
        <v>100</v>
      </c>
    </row>
    <row r="310" spans="1:15" ht="15.75" customHeight="1">
      <c r="A310" s="258" t="s">
        <v>327</v>
      </c>
      <c r="B310" s="216">
        <v>903</v>
      </c>
      <c r="C310" s="214" t="s">
        <v>317</v>
      </c>
      <c r="D310" s="214" t="s">
        <v>268</v>
      </c>
      <c r="E310" s="214" t="s">
        <v>877</v>
      </c>
      <c r="F310" s="214" t="s">
        <v>328</v>
      </c>
      <c r="G310" s="27">
        <v>0</v>
      </c>
      <c r="H310" s="27">
        <v>0</v>
      </c>
      <c r="I310" s="27">
        <v>0</v>
      </c>
      <c r="J310" s="27">
        <v>661.8</v>
      </c>
      <c r="K310" s="27">
        <v>661.8</v>
      </c>
      <c r="L310" s="27">
        <v>661.8</v>
      </c>
      <c r="M310" s="27">
        <v>661.8</v>
      </c>
      <c r="N310" s="27">
        <v>661.8</v>
      </c>
      <c r="O310" s="27">
        <f t="shared" si="280"/>
        <v>100</v>
      </c>
    </row>
    <row r="311" spans="1:15" ht="15.75">
      <c r="A311" s="26" t="s">
        <v>174</v>
      </c>
      <c r="B311" s="216">
        <v>903</v>
      </c>
      <c r="C311" s="214" t="s">
        <v>317</v>
      </c>
      <c r="D311" s="214" t="s">
        <v>268</v>
      </c>
      <c r="E311" s="214" t="s">
        <v>175</v>
      </c>
      <c r="F311" s="214"/>
      <c r="G311" s="27">
        <f t="shared" ref="G311:L311" si="312">G312</f>
        <v>1037.1000000000001</v>
      </c>
      <c r="H311" s="27">
        <f t="shared" si="312"/>
        <v>757.8</v>
      </c>
      <c r="I311" s="27">
        <f t="shared" si="312"/>
        <v>1037.1000000000001</v>
      </c>
      <c r="J311" s="27">
        <f t="shared" si="312"/>
        <v>1037.1000000000001</v>
      </c>
      <c r="K311" s="27">
        <f t="shared" si="312"/>
        <v>1037.1000000000001</v>
      </c>
      <c r="L311" s="27">
        <f t="shared" si="312"/>
        <v>1037.1000000000001</v>
      </c>
      <c r="M311" s="27">
        <f t="shared" ref="M311:N311" si="313">M312</f>
        <v>1037.7</v>
      </c>
      <c r="N311" s="27">
        <f t="shared" si="313"/>
        <v>136.69999999999999</v>
      </c>
      <c r="O311" s="27">
        <f t="shared" si="280"/>
        <v>13.173364170762261</v>
      </c>
    </row>
    <row r="312" spans="1:15" ht="31.5">
      <c r="A312" s="26" t="s">
        <v>238</v>
      </c>
      <c r="B312" s="216">
        <v>903</v>
      </c>
      <c r="C312" s="214" t="s">
        <v>317</v>
      </c>
      <c r="D312" s="214" t="s">
        <v>268</v>
      </c>
      <c r="E312" s="214" t="s">
        <v>239</v>
      </c>
      <c r="F312" s="214"/>
      <c r="G312" s="27">
        <f>G313+G316+G319</f>
        <v>1037.1000000000001</v>
      </c>
      <c r="H312" s="27">
        <f>H313+H316+H319</f>
        <v>757.8</v>
      </c>
      <c r="I312" s="27">
        <f t="shared" ref="I312:L312" si="314">I313+I316+I319</f>
        <v>1037.1000000000001</v>
      </c>
      <c r="J312" s="27">
        <f t="shared" si="314"/>
        <v>1037.1000000000001</v>
      </c>
      <c r="K312" s="27">
        <f t="shared" si="314"/>
        <v>1037.1000000000001</v>
      </c>
      <c r="L312" s="27">
        <f t="shared" si="314"/>
        <v>1037.1000000000001</v>
      </c>
      <c r="M312" s="27">
        <f t="shared" ref="M312:N312" si="315">M313+M316+M319</f>
        <v>1037.7</v>
      </c>
      <c r="N312" s="27">
        <f t="shared" si="315"/>
        <v>136.69999999999999</v>
      </c>
      <c r="O312" s="27">
        <f t="shared" si="280"/>
        <v>13.173364170762261</v>
      </c>
    </row>
    <row r="313" spans="1:15" ht="63">
      <c r="A313" s="33" t="s">
        <v>342</v>
      </c>
      <c r="B313" s="216">
        <v>903</v>
      </c>
      <c r="C313" s="214" t="s">
        <v>317</v>
      </c>
      <c r="D313" s="214" t="s">
        <v>268</v>
      </c>
      <c r="E313" s="214" t="s">
        <v>343</v>
      </c>
      <c r="F313" s="214"/>
      <c r="G313" s="27">
        <f>G314</f>
        <v>126.69999999999999</v>
      </c>
      <c r="H313" s="27">
        <f>H314</f>
        <v>69.3</v>
      </c>
      <c r="I313" s="27">
        <f t="shared" ref="I313:L314" si="316">I314</f>
        <v>126.69999999999999</v>
      </c>
      <c r="J313" s="27">
        <f t="shared" si="316"/>
        <v>126.69999999999999</v>
      </c>
      <c r="K313" s="27">
        <f t="shared" si="316"/>
        <v>126.69999999999999</v>
      </c>
      <c r="L313" s="27">
        <f t="shared" si="316"/>
        <v>126.69999999999999</v>
      </c>
      <c r="M313" s="27">
        <f t="shared" ref="M313:N314" si="317">M314</f>
        <v>126.69999999999999</v>
      </c>
      <c r="N313" s="27">
        <f t="shared" si="317"/>
        <v>25.2</v>
      </c>
      <c r="O313" s="27">
        <f t="shared" si="280"/>
        <v>19.88950276243094</v>
      </c>
    </row>
    <row r="314" spans="1:15" ht="47.25">
      <c r="A314" s="26" t="s">
        <v>325</v>
      </c>
      <c r="B314" s="216">
        <v>903</v>
      </c>
      <c r="C314" s="214" t="s">
        <v>317</v>
      </c>
      <c r="D314" s="214" t="s">
        <v>268</v>
      </c>
      <c r="E314" s="214" t="s">
        <v>343</v>
      </c>
      <c r="F314" s="214" t="s">
        <v>326</v>
      </c>
      <c r="G314" s="27">
        <f>G315</f>
        <v>126.69999999999999</v>
      </c>
      <c r="H314" s="27">
        <f>H315</f>
        <v>69.3</v>
      </c>
      <c r="I314" s="27">
        <f t="shared" si="316"/>
        <v>126.69999999999999</v>
      </c>
      <c r="J314" s="27">
        <f t="shared" si="316"/>
        <v>126.69999999999999</v>
      </c>
      <c r="K314" s="27">
        <f t="shared" si="316"/>
        <v>126.69999999999999</v>
      </c>
      <c r="L314" s="27">
        <f t="shared" si="316"/>
        <v>126.69999999999999</v>
      </c>
      <c r="M314" s="27">
        <f t="shared" si="317"/>
        <v>126.69999999999999</v>
      </c>
      <c r="N314" s="27">
        <f t="shared" si="317"/>
        <v>25.2</v>
      </c>
      <c r="O314" s="27">
        <f t="shared" si="280"/>
        <v>19.88950276243094</v>
      </c>
    </row>
    <row r="315" spans="1:15" ht="15.75">
      <c r="A315" s="26" t="s">
        <v>327</v>
      </c>
      <c r="B315" s="216">
        <v>903</v>
      </c>
      <c r="C315" s="214" t="s">
        <v>317</v>
      </c>
      <c r="D315" s="214" t="s">
        <v>268</v>
      </c>
      <c r="E315" s="214" t="s">
        <v>343</v>
      </c>
      <c r="F315" s="214" t="s">
        <v>328</v>
      </c>
      <c r="G315" s="27">
        <f>162.6-35.9</f>
        <v>126.69999999999999</v>
      </c>
      <c r="H315" s="27">
        <v>69.3</v>
      </c>
      <c r="I315" s="27">
        <f t="shared" ref="I315:L315" si="318">162.6-35.9</f>
        <v>126.69999999999999</v>
      </c>
      <c r="J315" s="27">
        <f t="shared" si="318"/>
        <v>126.69999999999999</v>
      </c>
      <c r="K315" s="27">
        <f t="shared" si="318"/>
        <v>126.69999999999999</v>
      </c>
      <c r="L315" s="27">
        <f t="shared" si="318"/>
        <v>126.69999999999999</v>
      </c>
      <c r="M315" s="27">
        <f t="shared" ref="M315" si="319">162.6-35.9</f>
        <v>126.69999999999999</v>
      </c>
      <c r="N315" s="27">
        <v>25.2</v>
      </c>
      <c r="O315" s="27">
        <f t="shared" si="280"/>
        <v>19.88950276243094</v>
      </c>
    </row>
    <row r="316" spans="1:15" ht="78.75">
      <c r="A316" s="33" t="s">
        <v>344</v>
      </c>
      <c r="B316" s="216">
        <v>903</v>
      </c>
      <c r="C316" s="214" t="s">
        <v>317</v>
      </c>
      <c r="D316" s="214" t="s">
        <v>268</v>
      </c>
      <c r="E316" s="214" t="s">
        <v>345</v>
      </c>
      <c r="F316" s="214"/>
      <c r="G316" s="27">
        <f>G317</f>
        <v>310.70000000000005</v>
      </c>
      <c r="H316" s="27">
        <f>H317</f>
        <v>151.1</v>
      </c>
      <c r="I316" s="27">
        <f t="shared" ref="I316:L317" si="320">I317</f>
        <v>310.70000000000005</v>
      </c>
      <c r="J316" s="27">
        <f t="shared" si="320"/>
        <v>310.70000000000005</v>
      </c>
      <c r="K316" s="27">
        <f t="shared" si="320"/>
        <v>310.70000000000005</v>
      </c>
      <c r="L316" s="27">
        <f t="shared" si="320"/>
        <v>310.70000000000005</v>
      </c>
      <c r="M316" s="27">
        <f t="shared" ref="M316:N317" si="321">M317</f>
        <v>321.50000000000006</v>
      </c>
      <c r="N316" s="27">
        <f t="shared" si="321"/>
        <v>51.7</v>
      </c>
      <c r="O316" s="27">
        <f t="shared" si="280"/>
        <v>16.080870917573868</v>
      </c>
    </row>
    <row r="317" spans="1:15" ht="47.25">
      <c r="A317" s="26" t="s">
        <v>325</v>
      </c>
      <c r="B317" s="216">
        <v>903</v>
      </c>
      <c r="C317" s="214" t="s">
        <v>317</v>
      </c>
      <c r="D317" s="214" t="s">
        <v>268</v>
      </c>
      <c r="E317" s="214" t="s">
        <v>345</v>
      </c>
      <c r="F317" s="214" t="s">
        <v>326</v>
      </c>
      <c r="G317" s="27">
        <f>G318</f>
        <v>310.70000000000005</v>
      </c>
      <c r="H317" s="27">
        <f>H318</f>
        <v>151.1</v>
      </c>
      <c r="I317" s="27">
        <f t="shared" si="320"/>
        <v>310.70000000000005</v>
      </c>
      <c r="J317" s="27">
        <f t="shared" si="320"/>
        <v>310.70000000000005</v>
      </c>
      <c r="K317" s="27">
        <f t="shared" si="320"/>
        <v>310.70000000000005</v>
      </c>
      <c r="L317" s="27">
        <f t="shared" si="320"/>
        <v>310.70000000000005</v>
      </c>
      <c r="M317" s="27">
        <f t="shared" si="321"/>
        <v>321.50000000000006</v>
      </c>
      <c r="N317" s="27">
        <f t="shared" si="321"/>
        <v>51.7</v>
      </c>
      <c r="O317" s="27">
        <f t="shared" si="280"/>
        <v>16.080870917573868</v>
      </c>
    </row>
    <row r="318" spans="1:15" ht="15.75">
      <c r="A318" s="26" t="s">
        <v>327</v>
      </c>
      <c r="B318" s="216">
        <v>903</v>
      </c>
      <c r="C318" s="214" t="s">
        <v>317</v>
      </c>
      <c r="D318" s="214" t="s">
        <v>268</v>
      </c>
      <c r="E318" s="214" t="s">
        <v>345</v>
      </c>
      <c r="F318" s="214" t="s">
        <v>328</v>
      </c>
      <c r="G318" s="27">
        <f>393.3-82.6</f>
        <v>310.70000000000005</v>
      </c>
      <c r="H318" s="27">
        <v>151.1</v>
      </c>
      <c r="I318" s="27">
        <f t="shared" ref="I318:L318" si="322">393.3-82.6</f>
        <v>310.70000000000005</v>
      </c>
      <c r="J318" s="27">
        <f t="shared" si="322"/>
        <v>310.70000000000005</v>
      </c>
      <c r="K318" s="27">
        <f t="shared" si="322"/>
        <v>310.70000000000005</v>
      </c>
      <c r="L318" s="27">
        <f t="shared" si="322"/>
        <v>310.70000000000005</v>
      </c>
      <c r="M318" s="27">
        <f>393.3-82.6+10.8</f>
        <v>321.50000000000006</v>
      </c>
      <c r="N318" s="27">
        <v>51.7</v>
      </c>
      <c r="O318" s="27">
        <f t="shared" si="280"/>
        <v>16.080870917573868</v>
      </c>
    </row>
    <row r="319" spans="1:15" ht="110.25">
      <c r="A319" s="33" t="s">
        <v>346</v>
      </c>
      <c r="B319" s="216">
        <v>903</v>
      </c>
      <c r="C319" s="214" t="s">
        <v>317</v>
      </c>
      <c r="D319" s="214" t="s">
        <v>268</v>
      </c>
      <c r="E319" s="214" t="s">
        <v>347</v>
      </c>
      <c r="F319" s="214"/>
      <c r="G319" s="27">
        <f>G320</f>
        <v>599.70000000000005</v>
      </c>
      <c r="H319" s="27">
        <f>H320</f>
        <v>537.4</v>
      </c>
      <c r="I319" s="27">
        <f t="shared" ref="I319:L320" si="323">I320</f>
        <v>599.70000000000005</v>
      </c>
      <c r="J319" s="27">
        <f t="shared" si="323"/>
        <v>599.70000000000005</v>
      </c>
      <c r="K319" s="27">
        <f t="shared" si="323"/>
        <v>599.70000000000005</v>
      </c>
      <c r="L319" s="27">
        <f t="shared" si="323"/>
        <v>599.70000000000005</v>
      </c>
      <c r="M319" s="27">
        <f t="shared" ref="M319:N320" si="324">M320</f>
        <v>589.5</v>
      </c>
      <c r="N319" s="27">
        <f t="shared" si="324"/>
        <v>59.8</v>
      </c>
      <c r="O319" s="27">
        <f t="shared" si="280"/>
        <v>10.144189991518235</v>
      </c>
    </row>
    <row r="320" spans="1:15" ht="47.25">
      <c r="A320" s="26" t="s">
        <v>325</v>
      </c>
      <c r="B320" s="216">
        <v>903</v>
      </c>
      <c r="C320" s="214" t="s">
        <v>317</v>
      </c>
      <c r="D320" s="214" t="s">
        <v>268</v>
      </c>
      <c r="E320" s="214" t="s">
        <v>347</v>
      </c>
      <c r="F320" s="214" t="s">
        <v>326</v>
      </c>
      <c r="G320" s="27">
        <f>G321</f>
        <v>599.70000000000005</v>
      </c>
      <c r="H320" s="27">
        <f>H321</f>
        <v>537.4</v>
      </c>
      <c r="I320" s="27">
        <f t="shared" si="323"/>
        <v>599.70000000000005</v>
      </c>
      <c r="J320" s="27">
        <f t="shared" si="323"/>
        <v>599.70000000000005</v>
      </c>
      <c r="K320" s="27">
        <f t="shared" si="323"/>
        <v>599.70000000000005</v>
      </c>
      <c r="L320" s="27">
        <f t="shared" si="323"/>
        <v>599.70000000000005</v>
      </c>
      <c r="M320" s="27">
        <f t="shared" si="324"/>
        <v>589.5</v>
      </c>
      <c r="N320" s="27">
        <f t="shared" si="324"/>
        <v>59.8</v>
      </c>
      <c r="O320" s="27">
        <f t="shared" si="280"/>
        <v>10.144189991518235</v>
      </c>
    </row>
    <row r="321" spans="1:15" ht="15.75">
      <c r="A321" s="26" t="s">
        <v>327</v>
      </c>
      <c r="B321" s="216">
        <v>903</v>
      </c>
      <c r="C321" s="214" t="s">
        <v>317</v>
      </c>
      <c r="D321" s="214" t="s">
        <v>268</v>
      </c>
      <c r="E321" s="214" t="s">
        <v>347</v>
      </c>
      <c r="F321" s="214" t="s">
        <v>328</v>
      </c>
      <c r="G321" s="27">
        <f>600-0.3</f>
        <v>599.70000000000005</v>
      </c>
      <c r="H321" s="27">
        <v>537.4</v>
      </c>
      <c r="I321" s="27">
        <f t="shared" ref="I321:L321" si="325">600-0.3</f>
        <v>599.70000000000005</v>
      </c>
      <c r="J321" s="27">
        <f t="shared" si="325"/>
        <v>599.70000000000005</v>
      </c>
      <c r="K321" s="27">
        <f t="shared" si="325"/>
        <v>599.70000000000005</v>
      </c>
      <c r="L321" s="27">
        <f t="shared" si="325"/>
        <v>599.70000000000005</v>
      </c>
      <c r="M321" s="27">
        <f>600-0.3-10.2</f>
        <v>589.5</v>
      </c>
      <c r="N321" s="27">
        <v>59.8</v>
      </c>
      <c r="O321" s="27">
        <f t="shared" si="280"/>
        <v>10.144189991518235</v>
      </c>
    </row>
    <row r="322" spans="1:15" ht="15.75" hidden="1" customHeight="1">
      <c r="A322" s="24" t="s">
        <v>348</v>
      </c>
      <c r="B322" s="213">
        <v>903</v>
      </c>
      <c r="C322" s="215" t="s">
        <v>317</v>
      </c>
      <c r="D322" s="215" t="s">
        <v>272</v>
      </c>
      <c r="E322" s="215"/>
      <c r="F322" s="215"/>
      <c r="G322" s="27">
        <f t="shared" ref="G322:L324" si="326">G323</f>
        <v>0</v>
      </c>
      <c r="H322" s="27"/>
      <c r="I322" s="27">
        <f t="shared" si="326"/>
        <v>0</v>
      </c>
      <c r="J322" s="27">
        <f t="shared" si="326"/>
        <v>0</v>
      </c>
      <c r="K322" s="27">
        <f t="shared" si="326"/>
        <v>0</v>
      </c>
      <c r="L322" s="27">
        <f t="shared" si="326"/>
        <v>0</v>
      </c>
      <c r="M322" s="27">
        <f t="shared" ref="M322:N326" si="327">M323</f>
        <v>0</v>
      </c>
      <c r="N322" s="27">
        <f t="shared" si="327"/>
        <v>0</v>
      </c>
      <c r="O322" s="22" t="e">
        <f t="shared" si="280"/>
        <v>#DIV/0!</v>
      </c>
    </row>
    <row r="323" spans="1:15" ht="15.75" hidden="1" customHeight="1">
      <c r="A323" s="26" t="s">
        <v>174</v>
      </c>
      <c r="B323" s="216">
        <v>903</v>
      </c>
      <c r="C323" s="214" t="s">
        <v>317</v>
      </c>
      <c r="D323" s="214" t="s">
        <v>272</v>
      </c>
      <c r="E323" s="214" t="s">
        <v>175</v>
      </c>
      <c r="F323" s="214"/>
      <c r="G323" s="27">
        <f t="shared" si="326"/>
        <v>0</v>
      </c>
      <c r="H323" s="27"/>
      <c r="I323" s="27">
        <f t="shared" si="326"/>
        <v>0</v>
      </c>
      <c r="J323" s="27">
        <f t="shared" si="326"/>
        <v>0</v>
      </c>
      <c r="K323" s="27">
        <f t="shared" si="326"/>
        <v>0</v>
      </c>
      <c r="L323" s="27">
        <f t="shared" si="326"/>
        <v>0</v>
      </c>
      <c r="M323" s="27">
        <f t="shared" si="327"/>
        <v>0</v>
      </c>
      <c r="N323" s="27">
        <f t="shared" si="327"/>
        <v>0</v>
      </c>
      <c r="O323" s="22" t="e">
        <f t="shared" si="280"/>
        <v>#DIV/0!</v>
      </c>
    </row>
    <row r="324" spans="1:15" ht="31.5" hidden="1" customHeight="1">
      <c r="A324" s="26" t="s">
        <v>238</v>
      </c>
      <c r="B324" s="216">
        <v>903</v>
      </c>
      <c r="C324" s="214" t="s">
        <v>317</v>
      </c>
      <c r="D324" s="214" t="s">
        <v>272</v>
      </c>
      <c r="E324" s="214" t="s">
        <v>239</v>
      </c>
      <c r="F324" s="214"/>
      <c r="G324" s="27">
        <f t="shared" si="326"/>
        <v>0</v>
      </c>
      <c r="H324" s="27"/>
      <c r="I324" s="27">
        <f t="shared" si="326"/>
        <v>0</v>
      </c>
      <c r="J324" s="27">
        <f t="shared" si="326"/>
        <v>0</v>
      </c>
      <c r="K324" s="27">
        <f t="shared" si="326"/>
        <v>0</v>
      </c>
      <c r="L324" s="27">
        <f t="shared" si="326"/>
        <v>0</v>
      </c>
      <c r="M324" s="27">
        <f t="shared" si="327"/>
        <v>0</v>
      </c>
      <c r="N324" s="27">
        <f t="shared" si="327"/>
        <v>0</v>
      </c>
      <c r="O324" s="22" t="e">
        <f t="shared" si="280"/>
        <v>#DIV/0!</v>
      </c>
    </row>
    <row r="325" spans="1:15" ht="31.5" hidden="1" customHeight="1">
      <c r="A325" s="38" t="s">
        <v>349</v>
      </c>
      <c r="B325" s="222">
        <v>903</v>
      </c>
      <c r="C325" s="214" t="s">
        <v>317</v>
      </c>
      <c r="D325" s="214" t="s">
        <v>272</v>
      </c>
      <c r="E325" s="214" t="s">
        <v>350</v>
      </c>
      <c r="F325" s="214"/>
      <c r="G325" s="27">
        <f t="shared" ref="G325:L326" si="328">G326</f>
        <v>0</v>
      </c>
      <c r="H325" s="27"/>
      <c r="I325" s="27">
        <f t="shared" si="328"/>
        <v>0</v>
      </c>
      <c r="J325" s="27">
        <f t="shared" si="328"/>
        <v>0</v>
      </c>
      <c r="K325" s="27">
        <f t="shared" si="328"/>
        <v>0</v>
      </c>
      <c r="L325" s="27">
        <f t="shared" si="328"/>
        <v>0</v>
      </c>
      <c r="M325" s="27">
        <f t="shared" si="327"/>
        <v>0</v>
      </c>
      <c r="N325" s="27">
        <f t="shared" si="327"/>
        <v>0</v>
      </c>
      <c r="O325" s="22" t="e">
        <f t="shared" si="280"/>
        <v>#DIV/0!</v>
      </c>
    </row>
    <row r="326" spans="1:15" ht="15.75" hidden="1" customHeight="1">
      <c r="A326" s="26" t="s">
        <v>188</v>
      </c>
      <c r="B326" s="216">
        <v>903</v>
      </c>
      <c r="C326" s="214" t="s">
        <v>317</v>
      </c>
      <c r="D326" s="214" t="s">
        <v>272</v>
      </c>
      <c r="E326" s="214" t="s">
        <v>350</v>
      </c>
      <c r="F326" s="214" t="s">
        <v>198</v>
      </c>
      <c r="G326" s="27">
        <f t="shared" si="328"/>
        <v>0</v>
      </c>
      <c r="H326" s="27"/>
      <c r="I326" s="27">
        <f t="shared" si="328"/>
        <v>0</v>
      </c>
      <c r="J326" s="27">
        <f t="shared" si="328"/>
        <v>0</v>
      </c>
      <c r="K326" s="27">
        <f t="shared" si="328"/>
        <v>0</v>
      </c>
      <c r="L326" s="27">
        <f t="shared" si="328"/>
        <v>0</v>
      </c>
      <c r="M326" s="27">
        <f t="shared" si="327"/>
        <v>0</v>
      </c>
      <c r="N326" s="27">
        <f t="shared" si="327"/>
        <v>0</v>
      </c>
      <c r="O326" s="22" t="e">
        <f t="shared" si="280"/>
        <v>#DIV/0!</v>
      </c>
    </row>
    <row r="327" spans="1:15" ht="63" hidden="1" customHeight="1">
      <c r="A327" s="26" t="s">
        <v>237</v>
      </c>
      <c r="B327" s="216">
        <v>903</v>
      </c>
      <c r="C327" s="214" t="s">
        <v>317</v>
      </c>
      <c r="D327" s="214" t="s">
        <v>272</v>
      </c>
      <c r="E327" s="214" t="s">
        <v>350</v>
      </c>
      <c r="F327" s="214" t="s">
        <v>213</v>
      </c>
      <c r="G327" s="27"/>
      <c r="H327" s="27"/>
      <c r="I327" s="27"/>
      <c r="J327" s="27"/>
      <c r="K327" s="27"/>
      <c r="L327" s="27"/>
      <c r="M327" s="27"/>
      <c r="N327" s="27"/>
      <c r="O327" s="22" t="e">
        <f t="shared" si="280"/>
        <v>#DIV/0!</v>
      </c>
    </row>
    <row r="328" spans="1:15" ht="15.75">
      <c r="A328" s="24" t="s">
        <v>351</v>
      </c>
      <c r="B328" s="213">
        <v>903</v>
      </c>
      <c r="C328" s="215" t="s">
        <v>352</v>
      </c>
      <c r="D328" s="215"/>
      <c r="E328" s="215"/>
      <c r="F328" s="215"/>
      <c r="G328" s="22">
        <f t="shared" ref="G328:M328" si="329">G329+G415</f>
        <v>61699.8</v>
      </c>
      <c r="H328" s="22">
        <f t="shared" si="329"/>
        <v>54459.8</v>
      </c>
      <c r="I328" s="22">
        <f t="shared" si="329"/>
        <v>62134.184313725498</v>
      </c>
      <c r="J328" s="22">
        <f t="shared" si="329"/>
        <v>72053.100000000006</v>
      </c>
      <c r="K328" s="22">
        <f t="shared" si="329"/>
        <v>73293.100000000006</v>
      </c>
      <c r="L328" s="22">
        <f t="shared" si="329"/>
        <v>74048.899999999994</v>
      </c>
      <c r="M328" s="22">
        <f t="shared" si="329"/>
        <v>59773.000000000007</v>
      </c>
      <c r="N328" s="22">
        <f t="shared" ref="N328" si="330">N329+N415</f>
        <v>18186</v>
      </c>
      <c r="O328" s="22">
        <f t="shared" si="280"/>
        <v>30.425108326501928</v>
      </c>
    </row>
    <row r="329" spans="1:15" ht="15.75">
      <c r="A329" s="24" t="s">
        <v>353</v>
      </c>
      <c r="B329" s="213">
        <v>903</v>
      </c>
      <c r="C329" s="215" t="s">
        <v>352</v>
      </c>
      <c r="D329" s="215" t="s">
        <v>171</v>
      </c>
      <c r="E329" s="215"/>
      <c r="F329" s="215"/>
      <c r="G329" s="22">
        <f t="shared" ref="G329:M329" si="331">G330+G394+G390</f>
        <v>44421.000000000007</v>
      </c>
      <c r="H329" s="22">
        <f t="shared" si="331"/>
        <v>41967.9</v>
      </c>
      <c r="I329" s="22">
        <f t="shared" si="331"/>
        <v>44421.000000000007</v>
      </c>
      <c r="J329" s="22">
        <f t="shared" si="331"/>
        <v>52460.700000000004</v>
      </c>
      <c r="K329" s="22">
        <f t="shared" si="331"/>
        <v>53585</v>
      </c>
      <c r="L329" s="22">
        <f t="shared" si="331"/>
        <v>54232.700000000004</v>
      </c>
      <c r="M329" s="22">
        <f t="shared" si="331"/>
        <v>43140.600000000006</v>
      </c>
      <c r="N329" s="22">
        <f t="shared" ref="N329" si="332">N330+N394+N390</f>
        <v>14699.1</v>
      </c>
      <c r="O329" s="22">
        <f t="shared" si="280"/>
        <v>34.072544192709415</v>
      </c>
    </row>
    <row r="330" spans="1:15" ht="47.25">
      <c r="A330" s="26" t="s">
        <v>319</v>
      </c>
      <c r="B330" s="216">
        <v>903</v>
      </c>
      <c r="C330" s="214" t="s">
        <v>352</v>
      </c>
      <c r="D330" s="214" t="s">
        <v>171</v>
      </c>
      <c r="E330" s="214" t="s">
        <v>320</v>
      </c>
      <c r="F330" s="214"/>
      <c r="G330" s="27">
        <f>G331+G360</f>
        <v>42083.100000000006</v>
      </c>
      <c r="H330" s="27">
        <f t="shared" ref="H330" si="333">H331+H360</f>
        <v>40923.300000000003</v>
      </c>
      <c r="I330" s="27">
        <f t="shared" ref="I330:L330" si="334">I331+I360</f>
        <v>42083.100000000006</v>
      </c>
      <c r="J330" s="27">
        <f>J331+J360</f>
        <v>50326.8</v>
      </c>
      <c r="K330" s="27">
        <f t="shared" si="334"/>
        <v>51451.1</v>
      </c>
      <c r="L330" s="27">
        <f t="shared" si="334"/>
        <v>52098.8</v>
      </c>
      <c r="M330" s="27">
        <f t="shared" ref="M330:N330" si="335">M331+M360</f>
        <v>41056.300000000003</v>
      </c>
      <c r="N330" s="27">
        <f t="shared" si="335"/>
        <v>14307.5</v>
      </c>
      <c r="O330" s="27">
        <f t="shared" si="280"/>
        <v>34.848488538908761</v>
      </c>
    </row>
    <row r="331" spans="1:15" ht="63">
      <c r="A331" s="26" t="s">
        <v>354</v>
      </c>
      <c r="B331" s="216">
        <v>903</v>
      </c>
      <c r="C331" s="214" t="s">
        <v>352</v>
      </c>
      <c r="D331" s="214" t="s">
        <v>171</v>
      </c>
      <c r="E331" s="214" t="s">
        <v>355</v>
      </c>
      <c r="F331" s="214"/>
      <c r="G331" s="27">
        <f>G332+G353+G335+G338+G341+G344+G347+G350</f>
        <v>25422.5</v>
      </c>
      <c r="H331" s="27">
        <f t="shared" ref="H331" si="336">H332+H353+H335+H338+H341+H344+H347+H350</f>
        <v>24267.699999999997</v>
      </c>
      <c r="I331" s="27">
        <f t="shared" ref="I331:L331" si="337">I332+I353+I335+I338+I341+I344+I347+I350</f>
        <v>25422.5</v>
      </c>
      <c r="J331" s="27">
        <f t="shared" si="337"/>
        <v>30257.599999999999</v>
      </c>
      <c r="K331" s="27">
        <f t="shared" si="337"/>
        <v>31110.899999999998</v>
      </c>
      <c r="L331" s="27">
        <f t="shared" si="337"/>
        <v>31536.199999999997</v>
      </c>
      <c r="M331" s="27">
        <f t="shared" ref="M331:N331" si="338">M332+M353+M335+M338+M341+M344+M347+M350</f>
        <v>24030</v>
      </c>
      <c r="N331" s="27">
        <f t="shared" si="338"/>
        <v>8393.1</v>
      </c>
      <c r="O331" s="27">
        <f t="shared" si="280"/>
        <v>34.927590511860174</v>
      </c>
    </row>
    <row r="332" spans="1:15" ht="52.5" customHeight="1">
      <c r="A332" s="26" t="s">
        <v>356</v>
      </c>
      <c r="B332" s="216">
        <v>903</v>
      </c>
      <c r="C332" s="214" t="s">
        <v>352</v>
      </c>
      <c r="D332" s="214" t="s">
        <v>171</v>
      </c>
      <c r="E332" s="214" t="s">
        <v>357</v>
      </c>
      <c r="F332" s="214"/>
      <c r="G332" s="27">
        <f>G333</f>
        <v>23654.800000000003</v>
      </c>
      <c r="H332" s="27">
        <f t="shared" ref="H332:L332" si="339">H333</f>
        <v>22500</v>
      </c>
      <c r="I332" s="27">
        <f t="shared" si="339"/>
        <v>23654.800000000003</v>
      </c>
      <c r="J332" s="27">
        <f t="shared" si="339"/>
        <v>26579.5</v>
      </c>
      <c r="K332" s="27">
        <f t="shared" si="339"/>
        <v>27182.799999999999</v>
      </c>
      <c r="L332" s="27">
        <f t="shared" si="339"/>
        <v>27608.1</v>
      </c>
      <c r="M332" s="27">
        <f t="shared" ref="M332:N333" si="340">M333</f>
        <v>23276.9</v>
      </c>
      <c r="N332" s="27">
        <f t="shared" si="340"/>
        <v>7640</v>
      </c>
      <c r="O332" s="27">
        <f t="shared" si="280"/>
        <v>32.822240074924061</v>
      </c>
    </row>
    <row r="333" spans="1:15" ht="47.25">
      <c r="A333" s="26" t="s">
        <v>325</v>
      </c>
      <c r="B333" s="216">
        <v>903</v>
      </c>
      <c r="C333" s="214" t="s">
        <v>352</v>
      </c>
      <c r="D333" s="214" t="s">
        <v>171</v>
      </c>
      <c r="E333" s="214" t="s">
        <v>357</v>
      </c>
      <c r="F333" s="214" t="s">
        <v>326</v>
      </c>
      <c r="G333" s="27">
        <f t="shared" ref="G333:L333" si="341">G334</f>
        <v>23654.800000000003</v>
      </c>
      <c r="H333" s="27">
        <f t="shared" si="341"/>
        <v>22500</v>
      </c>
      <c r="I333" s="27">
        <f t="shared" si="341"/>
        <v>23654.800000000003</v>
      </c>
      <c r="J333" s="27">
        <f t="shared" si="341"/>
        <v>26579.5</v>
      </c>
      <c r="K333" s="27">
        <f t="shared" si="341"/>
        <v>27182.799999999999</v>
      </c>
      <c r="L333" s="27">
        <f t="shared" si="341"/>
        <v>27608.1</v>
      </c>
      <c r="M333" s="27">
        <f t="shared" si="340"/>
        <v>23276.9</v>
      </c>
      <c r="N333" s="27">
        <f t="shared" si="340"/>
        <v>7640</v>
      </c>
      <c r="O333" s="27">
        <f t="shared" ref="O333:O396" si="342">N333/M333*100</f>
        <v>32.822240074924061</v>
      </c>
    </row>
    <row r="334" spans="1:15" ht="15.75">
      <c r="A334" s="26" t="s">
        <v>327</v>
      </c>
      <c r="B334" s="216">
        <v>903</v>
      </c>
      <c r="C334" s="214" t="s">
        <v>352</v>
      </c>
      <c r="D334" s="214" t="s">
        <v>171</v>
      </c>
      <c r="E334" s="214" t="s">
        <v>357</v>
      </c>
      <c r="F334" s="214" t="s">
        <v>328</v>
      </c>
      <c r="G334" s="28">
        <f>25081.9+2671.4-3136.8-961.7</f>
        <v>23654.800000000003</v>
      </c>
      <c r="H334" s="28">
        <v>22500</v>
      </c>
      <c r="I334" s="28">
        <f t="shared" ref="I334" si="343">25081.9+2671.4-3136.8-961.7</f>
        <v>23654.800000000003</v>
      </c>
      <c r="J334" s="28">
        <v>26579.5</v>
      </c>
      <c r="K334" s="28">
        <v>27182.799999999999</v>
      </c>
      <c r="L334" s="28">
        <v>27608.1</v>
      </c>
      <c r="M334" s="28">
        <f>23616.9-340</f>
        <v>23276.9</v>
      </c>
      <c r="N334" s="28">
        <v>7640</v>
      </c>
      <c r="O334" s="27">
        <f t="shared" si="342"/>
        <v>32.822240074924061</v>
      </c>
    </row>
    <row r="335" spans="1:15" ht="47.25" hidden="1">
      <c r="A335" s="26" t="s">
        <v>800</v>
      </c>
      <c r="B335" s="216">
        <v>903</v>
      </c>
      <c r="C335" s="214" t="s">
        <v>352</v>
      </c>
      <c r="D335" s="214" t="s">
        <v>171</v>
      </c>
      <c r="E335" s="214" t="s">
        <v>358</v>
      </c>
      <c r="F335" s="214"/>
      <c r="G335" s="27">
        <f t="shared" ref="G335:L336" si="344">G336</f>
        <v>96.1</v>
      </c>
      <c r="H335" s="27">
        <f t="shared" si="344"/>
        <v>96.1</v>
      </c>
      <c r="I335" s="27">
        <f t="shared" si="344"/>
        <v>96.1</v>
      </c>
      <c r="J335" s="27">
        <f t="shared" si="344"/>
        <v>650</v>
      </c>
      <c r="K335" s="27">
        <f t="shared" si="344"/>
        <v>800</v>
      </c>
      <c r="L335" s="27">
        <f t="shared" si="344"/>
        <v>900</v>
      </c>
      <c r="M335" s="27">
        <f t="shared" ref="M335:N336" si="345">M336</f>
        <v>0</v>
      </c>
      <c r="N335" s="27">
        <f t="shared" si="345"/>
        <v>0</v>
      </c>
      <c r="O335" s="27" t="e">
        <f t="shared" si="342"/>
        <v>#DIV/0!</v>
      </c>
    </row>
    <row r="336" spans="1:15" ht="47.25" hidden="1">
      <c r="A336" s="26" t="s">
        <v>325</v>
      </c>
      <c r="B336" s="216">
        <v>903</v>
      </c>
      <c r="C336" s="214" t="s">
        <v>352</v>
      </c>
      <c r="D336" s="214" t="s">
        <v>171</v>
      </c>
      <c r="E336" s="214" t="s">
        <v>358</v>
      </c>
      <c r="F336" s="214" t="s">
        <v>326</v>
      </c>
      <c r="G336" s="27">
        <f t="shared" si="344"/>
        <v>96.1</v>
      </c>
      <c r="H336" s="27">
        <f t="shared" si="344"/>
        <v>96.1</v>
      </c>
      <c r="I336" s="27">
        <f t="shared" si="344"/>
        <v>96.1</v>
      </c>
      <c r="J336" s="27">
        <f t="shared" si="344"/>
        <v>650</v>
      </c>
      <c r="K336" s="27">
        <f t="shared" si="344"/>
        <v>800</v>
      </c>
      <c r="L336" s="27">
        <f t="shared" si="344"/>
        <v>900</v>
      </c>
      <c r="M336" s="27">
        <f t="shared" si="345"/>
        <v>0</v>
      </c>
      <c r="N336" s="27">
        <f t="shared" si="345"/>
        <v>0</v>
      </c>
      <c r="O336" s="27" t="e">
        <f t="shared" si="342"/>
        <v>#DIV/0!</v>
      </c>
    </row>
    <row r="337" spans="1:15" ht="15.75" hidden="1">
      <c r="A337" s="26" t="s">
        <v>327</v>
      </c>
      <c r="B337" s="216">
        <v>903</v>
      </c>
      <c r="C337" s="214" t="s">
        <v>352</v>
      </c>
      <c r="D337" s="214" t="s">
        <v>171</v>
      </c>
      <c r="E337" s="214" t="s">
        <v>358</v>
      </c>
      <c r="F337" s="214" t="s">
        <v>328</v>
      </c>
      <c r="G337" s="27">
        <v>96.1</v>
      </c>
      <c r="H337" s="27">
        <v>96.1</v>
      </c>
      <c r="I337" s="27">
        <v>96.1</v>
      </c>
      <c r="J337" s="27">
        <v>650</v>
      </c>
      <c r="K337" s="27">
        <v>800</v>
      </c>
      <c r="L337" s="27">
        <v>900</v>
      </c>
      <c r="M337" s="27">
        <v>0</v>
      </c>
      <c r="N337" s="27">
        <v>0</v>
      </c>
      <c r="O337" s="27" t="e">
        <f t="shared" si="342"/>
        <v>#DIV/0!</v>
      </c>
    </row>
    <row r="338" spans="1:15" ht="47.25" hidden="1">
      <c r="A338" s="26" t="s">
        <v>331</v>
      </c>
      <c r="B338" s="216">
        <v>903</v>
      </c>
      <c r="C338" s="214" t="s">
        <v>352</v>
      </c>
      <c r="D338" s="214" t="s">
        <v>171</v>
      </c>
      <c r="E338" s="214" t="s">
        <v>359</v>
      </c>
      <c r="F338" s="214"/>
      <c r="G338" s="27">
        <f t="shared" ref="G338:L339" si="346">G339</f>
        <v>142.1</v>
      </c>
      <c r="H338" s="27">
        <f t="shared" si="346"/>
        <v>142.1</v>
      </c>
      <c r="I338" s="27">
        <f t="shared" si="346"/>
        <v>142.1</v>
      </c>
      <c r="J338" s="27">
        <f t="shared" si="346"/>
        <v>2000</v>
      </c>
      <c r="K338" s="27">
        <f t="shared" si="346"/>
        <v>1500</v>
      </c>
      <c r="L338" s="27">
        <f t="shared" si="346"/>
        <v>2000</v>
      </c>
      <c r="M338" s="27">
        <f t="shared" ref="M338:N339" si="347">M339</f>
        <v>0</v>
      </c>
      <c r="N338" s="27">
        <f t="shared" si="347"/>
        <v>0</v>
      </c>
      <c r="O338" s="27" t="e">
        <f t="shared" si="342"/>
        <v>#DIV/0!</v>
      </c>
    </row>
    <row r="339" spans="1:15" ht="47.25" hidden="1">
      <c r="A339" s="26" t="s">
        <v>325</v>
      </c>
      <c r="B339" s="216">
        <v>903</v>
      </c>
      <c r="C339" s="214" t="s">
        <v>352</v>
      </c>
      <c r="D339" s="214" t="s">
        <v>171</v>
      </c>
      <c r="E339" s="214" t="s">
        <v>359</v>
      </c>
      <c r="F339" s="214" t="s">
        <v>326</v>
      </c>
      <c r="G339" s="27">
        <f>G340</f>
        <v>142.1</v>
      </c>
      <c r="H339" s="27">
        <f>H340</f>
        <v>142.1</v>
      </c>
      <c r="I339" s="27">
        <f t="shared" si="346"/>
        <v>142.1</v>
      </c>
      <c r="J339" s="27">
        <f t="shared" si="346"/>
        <v>2000</v>
      </c>
      <c r="K339" s="27">
        <f t="shared" si="346"/>
        <v>1500</v>
      </c>
      <c r="L339" s="27">
        <f t="shared" si="346"/>
        <v>2000</v>
      </c>
      <c r="M339" s="27">
        <f t="shared" si="347"/>
        <v>0</v>
      </c>
      <c r="N339" s="27">
        <f t="shared" si="347"/>
        <v>0</v>
      </c>
      <c r="O339" s="27" t="e">
        <f t="shared" si="342"/>
        <v>#DIV/0!</v>
      </c>
    </row>
    <row r="340" spans="1:15" ht="15.75" hidden="1">
      <c r="A340" s="26" t="s">
        <v>327</v>
      </c>
      <c r="B340" s="216">
        <v>903</v>
      </c>
      <c r="C340" s="214" t="s">
        <v>352</v>
      </c>
      <c r="D340" s="214" t="s">
        <v>171</v>
      </c>
      <c r="E340" s="214" t="s">
        <v>359</v>
      </c>
      <c r="F340" s="214" t="s">
        <v>328</v>
      </c>
      <c r="G340" s="27">
        <v>142.1</v>
      </c>
      <c r="H340" s="27">
        <v>142.1</v>
      </c>
      <c r="I340" s="27">
        <v>142.1</v>
      </c>
      <c r="J340" s="27">
        <v>2000</v>
      </c>
      <c r="K340" s="27">
        <v>1500</v>
      </c>
      <c r="L340" s="27">
        <v>2000</v>
      </c>
      <c r="M340" s="27">
        <v>0</v>
      </c>
      <c r="N340" s="27">
        <v>0</v>
      </c>
      <c r="O340" s="27" t="e">
        <f t="shared" si="342"/>
        <v>#DIV/0!</v>
      </c>
    </row>
    <row r="341" spans="1:15" ht="15.75" hidden="1">
      <c r="A341" s="26" t="s">
        <v>360</v>
      </c>
      <c r="B341" s="216">
        <v>903</v>
      </c>
      <c r="C341" s="214" t="s">
        <v>352</v>
      </c>
      <c r="D341" s="214" t="s">
        <v>171</v>
      </c>
      <c r="E341" s="214" t="s">
        <v>361</v>
      </c>
      <c r="F341" s="214"/>
      <c r="G341" s="27">
        <f>G342</f>
        <v>1529.5</v>
      </c>
      <c r="H341" s="27">
        <f>H342</f>
        <v>1529.5</v>
      </c>
      <c r="I341" s="27">
        <f t="shared" ref="I341:L341" si="348">I342</f>
        <v>1529.5</v>
      </c>
      <c r="J341" s="27">
        <f t="shared" si="348"/>
        <v>0</v>
      </c>
      <c r="K341" s="27">
        <f t="shared" si="348"/>
        <v>0</v>
      </c>
      <c r="L341" s="27">
        <f t="shared" si="348"/>
        <v>0</v>
      </c>
      <c r="M341" s="27">
        <f t="shared" ref="M341:N342" si="349">M342</f>
        <v>0</v>
      </c>
      <c r="N341" s="27">
        <f t="shared" si="349"/>
        <v>0</v>
      </c>
      <c r="O341" s="27" t="e">
        <f t="shared" si="342"/>
        <v>#DIV/0!</v>
      </c>
    </row>
    <row r="342" spans="1:15" ht="47.25" hidden="1">
      <c r="A342" s="26" t="s">
        <v>325</v>
      </c>
      <c r="B342" s="216">
        <v>903</v>
      </c>
      <c r="C342" s="214" t="s">
        <v>352</v>
      </c>
      <c r="D342" s="214" t="s">
        <v>171</v>
      </c>
      <c r="E342" s="214" t="s">
        <v>361</v>
      </c>
      <c r="F342" s="214" t="s">
        <v>326</v>
      </c>
      <c r="G342" s="27">
        <f t="shared" ref="G342:L342" si="350">G343</f>
        <v>1529.5</v>
      </c>
      <c r="H342" s="27">
        <f t="shared" si="350"/>
        <v>1529.5</v>
      </c>
      <c r="I342" s="27">
        <f t="shared" si="350"/>
        <v>1529.5</v>
      </c>
      <c r="J342" s="27">
        <f t="shared" si="350"/>
        <v>0</v>
      </c>
      <c r="K342" s="27">
        <f t="shared" si="350"/>
        <v>0</v>
      </c>
      <c r="L342" s="27">
        <f t="shared" si="350"/>
        <v>0</v>
      </c>
      <c r="M342" s="27">
        <f t="shared" si="349"/>
        <v>0</v>
      </c>
      <c r="N342" s="27">
        <f t="shared" si="349"/>
        <v>0</v>
      </c>
      <c r="O342" s="27" t="e">
        <f t="shared" si="342"/>
        <v>#DIV/0!</v>
      </c>
    </row>
    <row r="343" spans="1:15" ht="15.75" hidden="1">
      <c r="A343" s="26" t="s">
        <v>327</v>
      </c>
      <c r="B343" s="216">
        <v>903</v>
      </c>
      <c r="C343" s="214" t="s">
        <v>352</v>
      </c>
      <c r="D343" s="214" t="s">
        <v>171</v>
      </c>
      <c r="E343" s="214" t="s">
        <v>361</v>
      </c>
      <c r="F343" s="214" t="s">
        <v>328</v>
      </c>
      <c r="G343" s="27">
        <f>411.9+1117.6</f>
        <v>1529.5</v>
      </c>
      <c r="H343" s="27">
        <f>411.9+1117.6</f>
        <v>1529.5</v>
      </c>
      <c r="I343" s="27">
        <f t="shared" ref="I343" si="351">411.9+1117.6</f>
        <v>1529.5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 t="e">
        <f t="shared" si="342"/>
        <v>#DIV/0!</v>
      </c>
    </row>
    <row r="344" spans="1:15" ht="31.5" hidden="1" customHeight="1">
      <c r="A344" s="26" t="s">
        <v>337</v>
      </c>
      <c r="B344" s="216">
        <v>903</v>
      </c>
      <c r="C344" s="214" t="s">
        <v>352</v>
      </c>
      <c r="D344" s="214" t="s">
        <v>171</v>
      </c>
      <c r="E344" s="214" t="s">
        <v>338</v>
      </c>
      <c r="F344" s="214"/>
      <c r="G344" s="27">
        <f t="shared" ref="G344:L345" si="352">G345</f>
        <v>0</v>
      </c>
      <c r="H344" s="27">
        <v>0</v>
      </c>
      <c r="I344" s="27">
        <f t="shared" si="352"/>
        <v>0</v>
      </c>
      <c r="J344" s="27">
        <f t="shared" si="352"/>
        <v>275</v>
      </c>
      <c r="K344" s="27">
        <f t="shared" si="352"/>
        <v>275</v>
      </c>
      <c r="L344" s="27">
        <f t="shared" si="352"/>
        <v>275</v>
      </c>
      <c r="M344" s="27">
        <f t="shared" ref="M344:N345" si="353">M345</f>
        <v>0</v>
      </c>
      <c r="N344" s="27">
        <f t="shared" si="353"/>
        <v>0</v>
      </c>
      <c r="O344" s="27" t="e">
        <f t="shared" si="342"/>
        <v>#DIV/0!</v>
      </c>
    </row>
    <row r="345" spans="1:15" ht="47.25" hidden="1" customHeight="1">
      <c r="A345" s="26" t="s">
        <v>325</v>
      </c>
      <c r="B345" s="216">
        <v>903</v>
      </c>
      <c r="C345" s="214" t="s">
        <v>352</v>
      </c>
      <c r="D345" s="214" t="s">
        <v>171</v>
      </c>
      <c r="E345" s="214" t="s">
        <v>338</v>
      </c>
      <c r="F345" s="214" t="s">
        <v>326</v>
      </c>
      <c r="G345" s="27">
        <f t="shared" si="352"/>
        <v>0</v>
      </c>
      <c r="H345" s="27">
        <v>0</v>
      </c>
      <c r="I345" s="27">
        <f t="shared" si="352"/>
        <v>0</v>
      </c>
      <c r="J345" s="27">
        <f t="shared" si="352"/>
        <v>275</v>
      </c>
      <c r="K345" s="27">
        <f t="shared" si="352"/>
        <v>275</v>
      </c>
      <c r="L345" s="27">
        <f t="shared" si="352"/>
        <v>275</v>
      </c>
      <c r="M345" s="27">
        <f t="shared" si="353"/>
        <v>0</v>
      </c>
      <c r="N345" s="27">
        <f t="shared" si="353"/>
        <v>0</v>
      </c>
      <c r="O345" s="27" t="e">
        <f t="shared" si="342"/>
        <v>#DIV/0!</v>
      </c>
    </row>
    <row r="346" spans="1:15" ht="15.75" hidden="1" customHeight="1">
      <c r="A346" s="26" t="s">
        <v>327</v>
      </c>
      <c r="B346" s="216">
        <v>903</v>
      </c>
      <c r="C346" s="214" t="s">
        <v>352</v>
      </c>
      <c r="D346" s="214" t="s">
        <v>171</v>
      </c>
      <c r="E346" s="214" t="s">
        <v>338</v>
      </c>
      <c r="F346" s="214" t="s">
        <v>328</v>
      </c>
      <c r="G346" s="27">
        <v>0</v>
      </c>
      <c r="H346" s="27">
        <v>0</v>
      </c>
      <c r="I346" s="27">
        <v>0</v>
      </c>
      <c r="J346" s="27">
        <v>275</v>
      </c>
      <c r="K346" s="27">
        <v>275</v>
      </c>
      <c r="L346" s="27">
        <v>275</v>
      </c>
      <c r="M346" s="27">
        <v>0</v>
      </c>
      <c r="N346" s="27">
        <v>0</v>
      </c>
      <c r="O346" s="27" t="e">
        <f t="shared" si="342"/>
        <v>#DIV/0!</v>
      </c>
    </row>
    <row r="347" spans="1:15" ht="47.25" hidden="1" customHeight="1">
      <c r="A347" s="37" t="s">
        <v>340</v>
      </c>
      <c r="B347" s="216">
        <v>903</v>
      </c>
      <c r="C347" s="214" t="s">
        <v>352</v>
      </c>
      <c r="D347" s="214" t="s">
        <v>171</v>
      </c>
      <c r="E347" s="214" t="s">
        <v>362</v>
      </c>
      <c r="F347" s="214"/>
      <c r="G347" s="27">
        <f t="shared" ref="G347:L348" si="354">G348</f>
        <v>0</v>
      </c>
      <c r="H347" s="27">
        <v>0</v>
      </c>
      <c r="I347" s="27">
        <f t="shared" si="354"/>
        <v>0</v>
      </c>
      <c r="J347" s="27">
        <f t="shared" si="354"/>
        <v>0</v>
      </c>
      <c r="K347" s="27">
        <f t="shared" si="354"/>
        <v>600</v>
      </c>
      <c r="L347" s="27">
        <f t="shared" si="354"/>
        <v>0</v>
      </c>
      <c r="M347" s="27">
        <f t="shared" ref="M347:N348" si="355">M348</f>
        <v>0</v>
      </c>
      <c r="N347" s="27">
        <f t="shared" si="355"/>
        <v>0</v>
      </c>
      <c r="O347" s="27" t="e">
        <f t="shared" si="342"/>
        <v>#DIV/0!</v>
      </c>
    </row>
    <row r="348" spans="1:15" ht="47.25" hidden="1" customHeight="1">
      <c r="A348" s="26" t="s">
        <v>325</v>
      </c>
      <c r="B348" s="216">
        <v>903</v>
      </c>
      <c r="C348" s="214" t="s">
        <v>352</v>
      </c>
      <c r="D348" s="214" t="s">
        <v>171</v>
      </c>
      <c r="E348" s="214" t="s">
        <v>362</v>
      </c>
      <c r="F348" s="214" t="s">
        <v>326</v>
      </c>
      <c r="G348" s="27">
        <f t="shared" si="354"/>
        <v>0</v>
      </c>
      <c r="H348" s="27">
        <v>0</v>
      </c>
      <c r="I348" s="27">
        <f t="shared" si="354"/>
        <v>0</v>
      </c>
      <c r="J348" s="27">
        <f t="shared" si="354"/>
        <v>0</v>
      </c>
      <c r="K348" s="27">
        <f t="shared" si="354"/>
        <v>600</v>
      </c>
      <c r="L348" s="27">
        <f t="shared" si="354"/>
        <v>0</v>
      </c>
      <c r="M348" s="27">
        <f t="shared" si="355"/>
        <v>0</v>
      </c>
      <c r="N348" s="27">
        <f t="shared" si="355"/>
        <v>0</v>
      </c>
      <c r="O348" s="27" t="e">
        <f t="shared" si="342"/>
        <v>#DIV/0!</v>
      </c>
    </row>
    <row r="349" spans="1:15" ht="15.75" hidden="1" customHeight="1">
      <c r="A349" s="26" t="s">
        <v>327</v>
      </c>
      <c r="B349" s="216">
        <v>903</v>
      </c>
      <c r="C349" s="214" t="s">
        <v>352</v>
      </c>
      <c r="D349" s="214" t="s">
        <v>171</v>
      </c>
      <c r="E349" s="214" t="s">
        <v>362</v>
      </c>
      <c r="F349" s="214" t="s">
        <v>328</v>
      </c>
      <c r="G349" s="27">
        <v>0</v>
      </c>
      <c r="H349" s="27">
        <v>0</v>
      </c>
      <c r="I349" s="27">
        <v>0</v>
      </c>
      <c r="J349" s="27">
        <v>0</v>
      </c>
      <c r="K349" s="27">
        <v>600</v>
      </c>
      <c r="L349" s="27">
        <v>0</v>
      </c>
      <c r="M349" s="27">
        <v>0</v>
      </c>
      <c r="N349" s="27">
        <v>0</v>
      </c>
      <c r="O349" s="27" t="e">
        <f t="shared" si="342"/>
        <v>#DIV/0!</v>
      </c>
    </row>
    <row r="350" spans="1:15" ht="44.25" customHeight="1">
      <c r="A350" s="70" t="s">
        <v>871</v>
      </c>
      <c r="B350" s="216">
        <v>903</v>
      </c>
      <c r="C350" s="214" t="s">
        <v>352</v>
      </c>
      <c r="D350" s="214" t="s">
        <v>171</v>
      </c>
      <c r="E350" s="214" t="s">
        <v>876</v>
      </c>
      <c r="F350" s="214"/>
      <c r="G350" s="27">
        <f t="shared" ref="G350:G351" si="356">G351</f>
        <v>0</v>
      </c>
      <c r="H350" s="27">
        <v>0</v>
      </c>
      <c r="I350" s="27">
        <f>I351</f>
        <v>0</v>
      </c>
      <c r="J350" s="27">
        <f t="shared" ref="J350:L351" si="357">J351</f>
        <v>753.1</v>
      </c>
      <c r="K350" s="27">
        <f t="shared" si="357"/>
        <v>753.1</v>
      </c>
      <c r="L350" s="27">
        <f t="shared" si="357"/>
        <v>753.1</v>
      </c>
      <c r="M350" s="27">
        <f>M351</f>
        <v>753.1</v>
      </c>
      <c r="N350" s="27">
        <f t="shared" ref="N350:N351" si="358">N351</f>
        <v>753.1</v>
      </c>
      <c r="O350" s="27">
        <f t="shared" si="342"/>
        <v>100</v>
      </c>
    </row>
    <row r="351" spans="1:15" ht="54.75" customHeight="1">
      <c r="A351" s="31" t="s">
        <v>325</v>
      </c>
      <c r="B351" s="216">
        <v>903</v>
      </c>
      <c r="C351" s="214" t="s">
        <v>352</v>
      </c>
      <c r="D351" s="214" t="s">
        <v>171</v>
      </c>
      <c r="E351" s="214" t="s">
        <v>876</v>
      </c>
      <c r="F351" s="214" t="s">
        <v>326</v>
      </c>
      <c r="G351" s="27">
        <f t="shared" si="356"/>
        <v>0</v>
      </c>
      <c r="H351" s="27">
        <v>0</v>
      </c>
      <c r="I351" s="27">
        <f>I352</f>
        <v>0</v>
      </c>
      <c r="J351" s="27">
        <f t="shared" si="357"/>
        <v>753.1</v>
      </c>
      <c r="K351" s="27">
        <f t="shared" si="357"/>
        <v>753.1</v>
      </c>
      <c r="L351" s="27">
        <f t="shared" si="357"/>
        <v>753.1</v>
      </c>
      <c r="M351" s="27">
        <f>M352</f>
        <v>753.1</v>
      </c>
      <c r="N351" s="27">
        <f t="shared" si="358"/>
        <v>753.1</v>
      </c>
      <c r="O351" s="27">
        <f t="shared" si="342"/>
        <v>100</v>
      </c>
    </row>
    <row r="352" spans="1:15" ht="15.75" customHeight="1">
      <c r="A352" s="258" t="s">
        <v>327</v>
      </c>
      <c r="B352" s="216">
        <v>903</v>
      </c>
      <c r="C352" s="214" t="s">
        <v>352</v>
      </c>
      <c r="D352" s="214" t="s">
        <v>171</v>
      </c>
      <c r="E352" s="214" t="s">
        <v>876</v>
      </c>
      <c r="F352" s="214" t="s">
        <v>328</v>
      </c>
      <c r="G352" s="27">
        <v>0</v>
      </c>
      <c r="H352" s="27">
        <v>0</v>
      </c>
      <c r="I352" s="27">
        <v>0</v>
      </c>
      <c r="J352" s="27">
        <v>753.1</v>
      </c>
      <c r="K352" s="27">
        <v>753.1</v>
      </c>
      <c r="L352" s="27">
        <v>753.1</v>
      </c>
      <c r="M352" s="27">
        <v>753.1</v>
      </c>
      <c r="N352" s="27">
        <v>753.1</v>
      </c>
      <c r="O352" s="27">
        <f t="shared" si="342"/>
        <v>100</v>
      </c>
    </row>
    <row r="353" spans="1:15" ht="47.25" hidden="1" customHeight="1">
      <c r="A353" s="26" t="s">
        <v>363</v>
      </c>
      <c r="B353" s="216">
        <v>903</v>
      </c>
      <c r="C353" s="214" t="s">
        <v>352</v>
      </c>
      <c r="D353" s="214" t="s">
        <v>171</v>
      </c>
      <c r="E353" s="214" t="s">
        <v>364</v>
      </c>
      <c r="F353" s="214"/>
      <c r="G353" s="27">
        <f t="shared" ref="G353:L353" si="359">G354+G356+G358</f>
        <v>0</v>
      </c>
      <c r="H353" s="27"/>
      <c r="I353" s="27">
        <f t="shared" si="359"/>
        <v>0</v>
      </c>
      <c r="J353" s="27">
        <f t="shared" si="359"/>
        <v>0</v>
      </c>
      <c r="K353" s="27">
        <f t="shared" si="359"/>
        <v>0</v>
      </c>
      <c r="L353" s="27">
        <f t="shared" si="359"/>
        <v>0</v>
      </c>
      <c r="M353" s="27">
        <f t="shared" ref="M353:N353" si="360">M354+M356+M358</f>
        <v>0</v>
      </c>
      <c r="N353" s="27">
        <f t="shared" si="360"/>
        <v>0</v>
      </c>
      <c r="O353" s="27" t="e">
        <f t="shared" si="342"/>
        <v>#DIV/0!</v>
      </c>
    </row>
    <row r="354" spans="1:15" ht="94.5" hidden="1" customHeight="1">
      <c r="A354" s="26" t="s">
        <v>180</v>
      </c>
      <c r="B354" s="216">
        <v>903</v>
      </c>
      <c r="C354" s="214" t="s">
        <v>352</v>
      </c>
      <c r="D354" s="214" t="s">
        <v>171</v>
      </c>
      <c r="E354" s="214" t="s">
        <v>364</v>
      </c>
      <c r="F354" s="214" t="s">
        <v>181</v>
      </c>
      <c r="G354" s="27">
        <f t="shared" ref="G354:L354" si="361">G355</f>
        <v>0</v>
      </c>
      <c r="H354" s="27"/>
      <c r="I354" s="27">
        <f t="shared" si="361"/>
        <v>0</v>
      </c>
      <c r="J354" s="27">
        <f t="shared" si="361"/>
        <v>0</v>
      </c>
      <c r="K354" s="27">
        <f t="shared" si="361"/>
        <v>0</v>
      </c>
      <c r="L354" s="27">
        <f t="shared" si="361"/>
        <v>0</v>
      </c>
      <c r="M354" s="27">
        <f t="shared" ref="M354:N354" si="362">M355</f>
        <v>0</v>
      </c>
      <c r="N354" s="27">
        <f t="shared" si="362"/>
        <v>0</v>
      </c>
      <c r="O354" s="27" t="e">
        <f t="shared" si="342"/>
        <v>#DIV/0!</v>
      </c>
    </row>
    <row r="355" spans="1:15" ht="31.5" hidden="1" customHeight="1">
      <c r="A355" s="26" t="s">
        <v>261</v>
      </c>
      <c r="B355" s="216">
        <v>903</v>
      </c>
      <c r="C355" s="214" t="s">
        <v>352</v>
      </c>
      <c r="D355" s="214" t="s">
        <v>171</v>
      </c>
      <c r="E355" s="214" t="s">
        <v>364</v>
      </c>
      <c r="F355" s="214" t="s">
        <v>262</v>
      </c>
      <c r="G355" s="28">
        <v>0</v>
      </c>
      <c r="H355" s="28"/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7" t="e">
        <f t="shared" si="342"/>
        <v>#DIV/0!</v>
      </c>
    </row>
    <row r="356" spans="1:15" ht="31.5" hidden="1" customHeight="1">
      <c r="A356" s="26" t="s">
        <v>184</v>
      </c>
      <c r="B356" s="216">
        <v>903</v>
      </c>
      <c r="C356" s="214" t="s">
        <v>352</v>
      </c>
      <c r="D356" s="214" t="s">
        <v>171</v>
      </c>
      <c r="E356" s="214" t="s">
        <v>364</v>
      </c>
      <c r="F356" s="214" t="s">
        <v>185</v>
      </c>
      <c r="G356" s="27">
        <f t="shared" ref="G356:L356" si="363">G357</f>
        <v>0</v>
      </c>
      <c r="H356" s="27"/>
      <c r="I356" s="27">
        <f t="shared" si="363"/>
        <v>0</v>
      </c>
      <c r="J356" s="27">
        <f t="shared" si="363"/>
        <v>0</v>
      </c>
      <c r="K356" s="27">
        <f t="shared" si="363"/>
        <v>0</v>
      </c>
      <c r="L356" s="27">
        <f t="shared" si="363"/>
        <v>0</v>
      </c>
      <c r="M356" s="27">
        <f t="shared" ref="M356:N356" si="364">M357</f>
        <v>0</v>
      </c>
      <c r="N356" s="27">
        <f t="shared" si="364"/>
        <v>0</v>
      </c>
      <c r="O356" s="27" t="e">
        <f t="shared" si="342"/>
        <v>#DIV/0!</v>
      </c>
    </row>
    <row r="357" spans="1:15" ht="47.25" hidden="1" customHeight="1">
      <c r="A357" s="26" t="s">
        <v>186</v>
      </c>
      <c r="B357" s="216">
        <v>903</v>
      </c>
      <c r="C357" s="214" t="s">
        <v>352</v>
      </c>
      <c r="D357" s="214" t="s">
        <v>171</v>
      </c>
      <c r="E357" s="214" t="s">
        <v>364</v>
      </c>
      <c r="F357" s="214" t="s">
        <v>187</v>
      </c>
      <c r="G357" s="28">
        <v>0</v>
      </c>
      <c r="H357" s="28"/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7" t="e">
        <f t="shared" si="342"/>
        <v>#DIV/0!</v>
      </c>
    </row>
    <row r="358" spans="1:15" ht="15.75" hidden="1" customHeight="1">
      <c r="A358" s="26" t="s">
        <v>188</v>
      </c>
      <c r="B358" s="216">
        <v>903</v>
      </c>
      <c r="C358" s="214" t="s">
        <v>352</v>
      </c>
      <c r="D358" s="214" t="s">
        <v>171</v>
      </c>
      <c r="E358" s="214" t="s">
        <v>364</v>
      </c>
      <c r="F358" s="214" t="s">
        <v>198</v>
      </c>
      <c r="G358" s="27">
        <f t="shared" ref="G358:L358" si="365">G359</f>
        <v>0</v>
      </c>
      <c r="H358" s="27"/>
      <c r="I358" s="27">
        <f t="shared" si="365"/>
        <v>0</v>
      </c>
      <c r="J358" s="27">
        <f t="shared" si="365"/>
        <v>0</v>
      </c>
      <c r="K358" s="27">
        <f t="shared" si="365"/>
        <v>0</v>
      </c>
      <c r="L358" s="27">
        <f t="shared" si="365"/>
        <v>0</v>
      </c>
      <c r="M358" s="27">
        <f t="shared" ref="M358:N358" si="366">M359</f>
        <v>0</v>
      </c>
      <c r="N358" s="27">
        <f t="shared" si="366"/>
        <v>0</v>
      </c>
      <c r="O358" s="27" t="e">
        <f t="shared" si="342"/>
        <v>#DIV/0!</v>
      </c>
    </row>
    <row r="359" spans="1:15" ht="15.75" hidden="1" customHeight="1">
      <c r="A359" s="26" t="s">
        <v>190</v>
      </c>
      <c r="B359" s="216">
        <v>903</v>
      </c>
      <c r="C359" s="214" t="s">
        <v>352</v>
      </c>
      <c r="D359" s="214" t="s">
        <v>171</v>
      </c>
      <c r="E359" s="214" t="s">
        <v>364</v>
      </c>
      <c r="F359" s="214" t="s">
        <v>191</v>
      </c>
      <c r="G359" s="27">
        <v>0</v>
      </c>
      <c r="H359" s="27"/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 t="e">
        <f t="shared" si="342"/>
        <v>#DIV/0!</v>
      </c>
    </row>
    <row r="360" spans="1:15" ht="47.25">
      <c r="A360" s="26" t="s">
        <v>365</v>
      </c>
      <c r="B360" s="216">
        <v>903</v>
      </c>
      <c r="C360" s="214" t="s">
        <v>352</v>
      </c>
      <c r="D360" s="214" t="s">
        <v>171</v>
      </c>
      <c r="E360" s="214" t="s">
        <v>366</v>
      </c>
      <c r="F360" s="214"/>
      <c r="G360" s="27">
        <f>G361+G384+G372+G375+G378+G381+G364+G369+G387</f>
        <v>16660.600000000002</v>
      </c>
      <c r="H360" s="27">
        <f>H361+H384+H372+H375+H378+H381+H364+H369</f>
        <v>16655.600000000002</v>
      </c>
      <c r="I360" s="27">
        <f t="shared" ref="I360:L360" si="367">I361+I384+I372+I375+I378+I381+I364+I369+I387</f>
        <v>16660.600000000002</v>
      </c>
      <c r="J360" s="27">
        <f t="shared" si="367"/>
        <v>20069.2</v>
      </c>
      <c r="K360" s="27">
        <f t="shared" si="367"/>
        <v>20340.2</v>
      </c>
      <c r="L360" s="27">
        <f t="shared" si="367"/>
        <v>20562.600000000002</v>
      </c>
      <c r="M360" s="27">
        <f>M361+M384+M372+M375+M378+M381+M364+M369+M387</f>
        <v>17026.3</v>
      </c>
      <c r="N360" s="27">
        <f t="shared" ref="N360" si="368">N361+N384+N372+N375+N378+N381+N364+N369+N387</f>
        <v>5914.4</v>
      </c>
      <c r="O360" s="27">
        <f t="shared" si="342"/>
        <v>34.73684828764911</v>
      </c>
    </row>
    <row r="361" spans="1:15" ht="51" customHeight="1">
      <c r="A361" s="26" t="s">
        <v>356</v>
      </c>
      <c r="B361" s="216">
        <v>903</v>
      </c>
      <c r="C361" s="214" t="s">
        <v>352</v>
      </c>
      <c r="D361" s="214" t="s">
        <v>171</v>
      </c>
      <c r="E361" s="214" t="s">
        <v>367</v>
      </c>
      <c r="F361" s="214"/>
      <c r="G361" s="27">
        <f>G362</f>
        <v>16655.2</v>
      </c>
      <c r="H361" s="27">
        <f>H362</f>
        <v>16655.2</v>
      </c>
      <c r="I361" s="27">
        <f t="shared" ref="I361:L361" si="369">I362</f>
        <v>16655.2</v>
      </c>
      <c r="J361" s="27">
        <f t="shared" si="369"/>
        <v>19144</v>
      </c>
      <c r="K361" s="27">
        <f t="shared" si="369"/>
        <v>19415</v>
      </c>
      <c r="L361" s="27">
        <f t="shared" si="369"/>
        <v>19637.400000000001</v>
      </c>
      <c r="M361" s="27">
        <f t="shared" ref="M361:N362" si="370">M362</f>
        <v>16370.599999999999</v>
      </c>
      <c r="N361" s="27">
        <f t="shared" si="370"/>
        <v>5264.2</v>
      </c>
      <c r="O361" s="27">
        <f t="shared" si="342"/>
        <v>32.156426765054427</v>
      </c>
    </row>
    <row r="362" spans="1:15" ht="47.25">
      <c r="A362" s="26" t="s">
        <v>325</v>
      </c>
      <c r="B362" s="216">
        <v>903</v>
      </c>
      <c r="C362" s="214" t="s">
        <v>352</v>
      </c>
      <c r="D362" s="214" t="s">
        <v>171</v>
      </c>
      <c r="E362" s="214" t="s">
        <v>367</v>
      </c>
      <c r="F362" s="214" t="s">
        <v>326</v>
      </c>
      <c r="G362" s="27">
        <f t="shared" ref="G362:L362" si="371">G363</f>
        <v>16655.2</v>
      </c>
      <c r="H362" s="27">
        <f t="shared" si="371"/>
        <v>16655.2</v>
      </c>
      <c r="I362" s="27">
        <f t="shared" si="371"/>
        <v>16655.2</v>
      </c>
      <c r="J362" s="27">
        <f t="shared" si="371"/>
        <v>19144</v>
      </c>
      <c r="K362" s="27">
        <f t="shared" si="371"/>
        <v>19415</v>
      </c>
      <c r="L362" s="27">
        <f t="shared" si="371"/>
        <v>19637.400000000001</v>
      </c>
      <c r="M362" s="27">
        <f t="shared" si="370"/>
        <v>16370.599999999999</v>
      </c>
      <c r="N362" s="27">
        <f t="shared" si="370"/>
        <v>5264.2</v>
      </c>
      <c r="O362" s="27">
        <f t="shared" si="342"/>
        <v>32.156426765054427</v>
      </c>
    </row>
    <row r="363" spans="1:15" ht="15.75">
      <c r="A363" s="26" t="s">
        <v>327</v>
      </c>
      <c r="B363" s="216">
        <v>903</v>
      </c>
      <c r="C363" s="214" t="s">
        <v>352</v>
      </c>
      <c r="D363" s="214" t="s">
        <v>171</v>
      </c>
      <c r="E363" s="214" t="s">
        <v>367</v>
      </c>
      <c r="F363" s="214" t="s">
        <v>328</v>
      </c>
      <c r="G363" s="28">
        <f>18073+419.6-1705.8+78.4-210</f>
        <v>16655.2</v>
      </c>
      <c r="H363" s="28">
        <f>18073+419.6-1705.8+78.4-210</f>
        <v>16655.2</v>
      </c>
      <c r="I363" s="28">
        <f t="shared" ref="I363" si="372">18073+419.6-1705.8+78.4-210</f>
        <v>16655.2</v>
      </c>
      <c r="J363" s="28">
        <v>19144</v>
      </c>
      <c r="K363" s="28">
        <v>19415</v>
      </c>
      <c r="L363" s="28">
        <v>19637.400000000001</v>
      </c>
      <c r="M363" s="28">
        <f>16823.8-453.2</f>
        <v>16370.599999999999</v>
      </c>
      <c r="N363" s="28">
        <v>5264.2</v>
      </c>
      <c r="O363" s="27">
        <f t="shared" si="342"/>
        <v>32.156426765054427</v>
      </c>
    </row>
    <row r="364" spans="1:15" ht="38.25" customHeight="1">
      <c r="A364" s="26" t="s">
        <v>368</v>
      </c>
      <c r="B364" s="216">
        <v>903</v>
      </c>
      <c r="C364" s="214" t="s">
        <v>352</v>
      </c>
      <c r="D364" s="214" t="s">
        <v>171</v>
      </c>
      <c r="E364" s="214" t="s">
        <v>369</v>
      </c>
      <c r="F364" s="214"/>
      <c r="G364" s="28">
        <f t="shared" ref="G364:L364" si="373">G365+G367</f>
        <v>5</v>
      </c>
      <c r="H364" s="28">
        <f t="shared" si="373"/>
        <v>0</v>
      </c>
      <c r="I364" s="28">
        <f t="shared" si="373"/>
        <v>5</v>
      </c>
      <c r="J364" s="28">
        <f t="shared" si="373"/>
        <v>0</v>
      </c>
      <c r="K364" s="28">
        <f t="shared" si="373"/>
        <v>0</v>
      </c>
      <c r="L364" s="28">
        <f t="shared" si="373"/>
        <v>0</v>
      </c>
      <c r="M364" s="28">
        <f t="shared" ref="M364:N364" si="374">M365+M367</f>
        <v>5</v>
      </c>
      <c r="N364" s="28">
        <f t="shared" si="374"/>
        <v>0</v>
      </c>
      <c r="O364" s="27">
        <f t="shared" si="342"/>
        <v>0</v>
      </c>
    </row>
    <row r="365" spans="1:15" ht="31.5" hidden="1" customHeight="1">
      <c r="A365" s="26" t="s">
        <v>184</v>
      </c>
      <c r="B365" s="216">
        <v>903</v>
      </c>
      <c r="C365" s="214" t="s">
        <v>352</v>
      </c>
      <c r="D365" s="214" t="s">
        <v>171</v>
      </c>
      <c r="E365" s="214" t="s">
        <v>369</v>
      </c>
      <c r="F365" s="214" t="s">
        <v>185</v>
      </c>
      <c r="G365" s="28">
        <f t="shared" ref="G365:L365" si="375">G366</f>
        <v>0</v>
      </c>
      <c r="H365" s="28">
        <f t="shared" si="375"/>
        <v>0</v>
      </c>
      <c r="I365" s="28">
        <f t="shared" si="375"/>
        <v>0</v>
      </c>
      <c r="J365" s="28">
        <f t="shared" si="375"/>
        <v>0</v>
      </c>
      <c r="K365" s="28">
        <f t="shared" si="375"/>
        <v>0</v>
      </c>
      <c r="L365" s="28">
        <f t="shared" si="375"/>
        <v>0</v>
      </c>
      <c r="M365" s="28">
        <f t="shared" ref="M365:N365" si="376">M366</f>
        <v>0</v>
      </c>
      <c r="N365" s="28">
        <f t="shared" si="376"/>
        <v>0</v>
      </c>
      <c r="O365" s="27" t="e">
        <f t="shared" si="342"/>
        <v>#DIV/0!</v>
      </c>
    </row>
    <row r="366" spans="1:15" ht="47.25" hidden="1" customHeight="1">
      <c r="A366" s="26" t="s">
        <v>186</v>
      </c>
      <c r="B366" s="216">
        <v>903</v>
      </c>
      <c r="C366" s="214" t="s">
        <v>352</v>
      </c>
      <c r="D366" s="214" t="s">
        <v>171</v>
      </c>
      <c r="E366" s="214" t="s">
        <v>369</v>
      </c>
      <c r="F366" s="214" t="s">
        <v>187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7" t="e">
        <f t="shared" si="342"/>
        <v>#DIV/0!</v>
      </c>
    </row>
    <row r="367" spans="1:15" ht="47.25">
      <c r="A367" s="26" t="s">
        <v>325</v>
      </c>
      <c r="B367" s="216">
        <v>903</v>
      </c>
      <c r="C367" s="214" t="s">
        <v>352</v>
      </c>
      <c r="D367" s="214" t="s">
        <v>171</v>
      </c>
      <c r="E367" s="214" t="s">
        <v>369</v>
      </c>
      <c r="F367" s="214" t="s">
        <v>326</v>
      </c>
      <c r="G367" s="28">
        <f>G368</f>
        <v>5</v>
      </c>
      <c r="H367" s="28">
        <f>H368</f>
        <v>0</v>
      </c>
      <c r="I367" s="28">
        <f t="shared" ref="I367:L367" si="377">I368</f>
        <v>5</v>
      </c>
      <c r="J367" s="28">
        <f t="shared" si="377"/>
        <v>0</v>
      </c>
      <c r="K367" s="28">
        <f t="shared" si="377"/>
        <v>0</v>
      </c>
      <c r="L367" s="28">
        <f t="shared" si="377"/>
        <v>0</v>
      </c>
      <c r="M367" s="28">
        <f t="shared" ref="M367:N367" si="378">M368</f>
        <v>5</v>
      </c>
      <c r="N367" s="28">
        <f t="shared" si="378"/>
        <v>0</v>
      </c>
      <c r="O367" s="27">
        <f t="shared" si="342"/>
        <v>0</v>
      </c>
    </row>
    <row r="368" spans="1:15" ht="15.75">
      <c r="A368" s="26" t="s">
        <v>327</v>
      </c>
      <c r="B368" s="216">
        <v>903</v>
      </c>
      <c r="C368" s="214" t="s">
        <v>352</v>
      </c>
      <c r="D368" s="214" t="s">
        <v>171</v>
      </c>
      <c r="E368" s="214" t="s">
        <v>369</v>
      </c>
      <c r="F368" s="214" t="s">
        <v>328</v>
      </c>
      <c r="G368" s="28">
        <v>5</v>
      </c>
      <c r="H368" s="28">
        <v>0</v>
      </c>
      <c r="I368" s="28">
        <v>5</v>
      </c>
      <c r="J368" s="28"/>
      <c r="K368" s="28"/>
      <c r="L368" s="28"/>
      <c r="M368" s="28">
        <v>5</v>
      </c>
      <c r="N368" s="28">
        <v>0</v>
      </c>
      <c r="O368" s="27">
        <f t="shared" si="342"/>
        <v>0</v>
      </c>
    </row>
    <row r="369" spans="1:15" ht="15.75">
      <c r="A369" s="26" t="s">
        <v>767</v>
      </c>
      <c r="B369" s="216">
        <v>903</v>
      </c>
      <c r="C369" s="214" t="s">
        <v>352</v>
      </c>
      <c r="D369" s="214" t="s">
        <v>171</v>
      </c>
      <c r="E369" s="214" t="s">
        <v>768</v>
      </c>
      <c r="F369" s="214"/>
      <c r="G369" s="28">
        <f>G370</f>
        <v>0.4</v>
      </c>
      <c r="H369" s="28">
        <f>H370</f>
        <v>0.4</v>
      </c>
      <c r="I369" s="28">
        <f t="shared" ref="I369:L370" si="379">I370</f>
        <v>0.4</v>
      </c>
      <c r="J369" s="28">
        <f t="shared" si="379"/>
        <v>0</v>
      </c>
      <c r="K369" s="28">
        <f t="shared" si="379"/>
        <v>0</v>
      </c>
      <c r="L369" s="28">
        <f t="shared" si="379"/>
        <v>0</v>
      </c>
      <c r="M369" s="28">
        <f t="shared" ref="M369:N370" si="380">M370</f>
        <v>0.5</v>
      </c>
      <c r="N369" s="28">
        <f t="shared" si="380"/>
        <v>0</v>
      </c>
      <c r="O369" s="27">
        <f t="shared" si="342"/>
        <v>0</v>
      </c>
    </row>
    <row r="370" spans="1:15" ht="47.25">
      <c r="A370" s="26" t="s">
        <v>325</v>
      </c>
      <c r="B370" s="216">
        <v>903</v>
      </c>
      <c r="C370" s="214" t="s">
        <v>352</v>
      </c>
      <c r="D370" s="214" t="s">
        <v>171</v>
      </c>
      <c r="E370" s="214" t="s">
        <v>768</v>
      </c>
      <c r="F370" s="214" t="s">
        <v>326</v>
      </c>
      <c r="G370" s="28">
        <f>G371</f>
        <v>0.4</v>
      </c>
      <c r="H370" s="28">
        <f>H371</f>
        <v>0.4</v>
      </c>
      <c r="I370" s="28">
        <f t="shared" si="379"/>
        <v>0.4</v>
      </c>
      <c r="J370" s="28">
        <f t="shared" si="379"/>
        <v>0</v>
      </c>
      <c r="K370" s="28">
        <f t="shared" si="379"/>
        <v>0</v>
      </c>
      <c r="L370" s="28">
        <f t="shared" si="379"/>
        <v>0</v>
      </c>
      <c r="M370" s="28">
        <f t="shared" si="380"/>
        <v>0.5</v>
      </c>
      <c r="N370" s="28">
        <f t="shared" si="380"/>
        <v>0</v>
      </c>
      <c r="O370" s="27">
        <f t="shared" si="342"/>
        <v>0</v>
      </c>
    </row>
    <row r="371" spans="1:15" ht="15.75">
      <c r="A371" s="26" t="s">
        <v>327</v>
      </c>
      <c r="B371" s="216">
        <v>903</v>
      </c>
      <c r="C371" s="214" t="s">
        <v>352</v>
      </c>
      <c r="D371" s="214" t="s">
        <v>171</v>
      </c>
      <c r="E371" s="214" t="s">
        <v>768</v>
      </c>
      <c r="F371" s="214" t="s">
        <v>328</v>
      </c>
      <c r="G371" s="28">
        <v>0.4</v>
      </c>
      <c r="H371" s="28">
        <v>0.4</v>
      </c>
      <c r="I371" s="28">
        <v>0.4</v>
      </c>
      <c r="J371" s="28"/>
      <c r="K371" s="28"/>
      <c r="L371" s="28"/>
      <c r="M371" s="28">
        <v>0.5</v>
      </c>
      <c r="N371" s="28">
        <v>0</v>
      </c>
      <c r="O371" s="27">
        <f t="shared" si="342"/>
        <v>0</v>
      </c>
    </row>
    <row r="372" spans="1:15" ht="47.25" hidden="1" customHeight="1">
      <c r="A372" s="26" t="s">
        <v>329</v>
      </c>
      <c r="B372" s="216">
        <v>903</v>
      </c>
      <c r="C372" s="214" t="s">
        <v>352</v>
      </c>
      <c r="D372" s="214" t="s">
        <v>171</v>
      </c>
      <c r="E372" s="214" t="s">
        <v>370</v>
      </c>
      <c r="F372" s="214"/>
      <c r="G372" s="27">
        <f t="shared" ref="G372:L373" si="381">G373</f>
        <v>0</v>
      </c>
      <c r="H372" s="27">
        <v>0</v>
      </c>
      <c r="I372" s="27">
        <f t="shared" si="381"/>
        <v>0</v>
      </c>
      <c r="J372" s="27">
        <f t="shared" si="381"/>
        <v>0</v>
      </c>
      <c r="K372" s="27">
        <f t="shared" si="381"/>
        <v>0</v>
      </c>
      <c r="L372" s="27">
        <f t="shared" si="381"/>
        <v>0</v>
      </c>
      <c r="M372" s="27">
        <f t="shared" ref="M372:N373" si="382">M373</f>
        <v>0</v>
      </c>
      <c r="N372" s="27">
        <f t="shared" si="382"/>
        <v>0</v>
      </c>
      <c r="O372" s="27" t="e">
        <f t="shared" si="342"/>
        <v>#DIV/0!</v>
      </c>
    </row>
    <row r="373" spans="1:15" ht="47.25" hidden="1" customHeight="1">
      <c r="A373" s="26" t="s">
        <v>325</v>
      </c>
      <c r="B373" s="216">
        <v>903</v>
      </c>
      <c r="C373" s="214" t="s">
        <v>352</v>
      </c>
      <c r="D373" s="214" t="s">
        <v>171</v>
      </c>
      <c r="E373" s="214" t="s">
        <v>370</v>
      </c>
      <c r="F373" s="214" t="s">
        <v>326</v>
      </c>
      <c r="G373" s="27">
        <f t="shared" si="381"/>
        <v>0</v>
      </c>
      <c r="H373" s="27">
        <v>0</v>
      </c>
      <c r="I373" s="27">
        <f t="shared" si="381"/>
        <v>0</v>
      </c>
      <c r="J373" s="27">
        <f t="shared" si="381"/>
        <v>0</v>
      </c>
      <c r="K373" s="27">
        <f t="shared" si="381"/>
        <v>0</v>
      </c>
      <c r="L373" s="27">
        <f t="shared" si="381"/>
        <v>0</v>
      </c>
      <c r="M373" s="27">
        <f t="shared" si="382"/>
        <v>0</v>
      </c>
      <c r="N373" s="27">
        <f t="shared" si="382"/>
        <v>0</v>
      </c>
      <c r="O373" s="27" t="e">
        <f t="shared" si="342"/>
        <v>#DIV/0!</v>
      </c>
    </row>
    <row r="374" spans="1:15" ht="15.75" hidden="1" customHeight="1">
      <c r="A374" s="26" t="s">
        <v>327</v>
      </c>
      <c r="B374" s="216">
        <v>903</v>
      </c>
      <c r="C374" s="214" t="s">
        <v>352</v>
      </c>
      <c r="D374" s="214" t="s">
        <v>171</v>
      </c>
      <c r="E374" s="214" t="s">
        <v>370</v>
      </c>
      <c r="F374" s="214" t="s">
        <v>328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 t="e">
        <f t="shared" si="342"/>
        <v>#DIV/0!</v>
      </c>
    </row>
    <row r="375" spans="1:15" ht="47.25" hidden="1" customHeight="1">
      <c r="A375" s="26" t="s">
        <v>331</v>
      </c>
      <c r="B375" s="216">
        <v>903</v>
      </c>
      <c r="C375" s="214" t="s">
        <v>352</v>
      </c>
      <c r="D375" s="214" t="s">
        <v>171</v>
      </c>
      <c r="E375" s="214" t="s">
        <v>371</v>
      </c>
      <c r="F375" s="214"/>
      <c r="G375" s="27">
        <f t="shared" ref="G375:L376" si="383">G376</f>
        <v>0</v>
      </c>
      <c r="H375" s="27">
        <v>0</v>
      </c>
      <c r="I375" s="27">
        <f t="shared" si="383"/>
        <v>0</v>
      </c>
      <c r="J375" s="27">
        <f t="shared" si="383"/>
        <v>0</v>
      </c>
      <c r="K375" s="27">
        <f t="shared" si="383"/>
        <v>0</v>
      </c>
      <c r="L375" s="27">
        <f t="shared" si="383"/>
        <v>0</v>
      </c>
      <c r="M375" s="27">
        <f t="shared" ref="M375:N376" si="384">M376</f>
        <v>0</v>
      </c>
      <c r="N375" s="27">
        <f t="shared" si="384"/>
        <v>0</v>
      </c>
      <c r="O375" s="27" t="e">
        <f t="shared" si="342"/>
        <v>#DIV/0!</v>
      </c>
    </row>
    <row r="376" spans="1:15" ht="47.25" hidden="1" customHeight="1">
      <c r="A376" s="26" t="s">
        <v>325</v>
      </c>
      <c r="B376" s="216">
        <v>903</v>
      </c>
      <c r="C376" s="214" t="s">
        <v>352</v>
      </c>
      <c r="D376" s="214" t="s">
        <v>171</v>
      </c>
      <c r="E376" s="214" t="s">
        <v>371</v>
      </c>
      <c r="F376" s="214" t="s">
        <v>326</v>
      </c>
      <c r="G376" s="27">
        <f t="shared" si="383"/>
        <v>0</v>
      </c>
      <c r="H376" s="27">
        <v>0</v>
      </c>
      <c r="I376" s="27">
        <f t="shared" si="383"/>
        <v>0</v>
      </c>
      <c r="J376" s="27">
        <f t="shared" si="383"/>
        <v>0</v>
      </c>
      <c r="K376" s="27">
        <f t="shared" si="383"/>
        <v>0</v>
      </c>
      <c r="L376" s="27">
        <f t="shared" si="383"/>
        <v>0</v>
      </c>
      <c r="M376" s="27">
        <f t="shared" si="384"/>
        <v>0</v>
      </c>
      <c r="N376" s="27">
        <f t="shared" si="384"/>
        <v>0</v>
      </c>
      <c r="O376" s="27" t="e">
        <f t="shared" si="342"/>
        <v>#DIV/0!</v>
      </c>
    </row>
    <row r="377" spans="1:15" ht="15.75" hidden="1" customHeight="1">
      <c r="A377" s="26" t="s">
        <v>327</v>
      </c>
      <c r="B377" s="216">
        <v>903</v>
      </c>
      <c r="C377" s="214" t="s">
        <v>352</v>
      </c>
      <c r="D377" s="214" t="s">
        <v>171</v>
      </c>
      <c r="E377" s="214" t="s">
        <v>371</v>
      </c>
      <c r="F377" s="214" t="s">
        <v>328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 t="e">
        <f t="shared" si="342"/>
        <v>#DIV/0!</v>
      </c>
    </row>
    <row r="378" spans="1:15" ht="31.5" hidden="1" customHeight="1">
      <c r="A378" s="26" t="s">
        <v>333</v>
      </c>
      <c r="B378" s="216">
        <v>903</v>
      </c>
      <c r="C378" s="214" t="s">
        <v>352</v>
      </c>
      <c r="D378" s="214" t="s">
        <v>171</v>
      </c>
      <c r="E378" s="214" t="s">
        <v>372</v>
      </c>
      <c r="F378" s="214"/>
      <c r="G378" s="27">
        <f t="shared" ref="G378:L379" si="385">G379</f>
        <v>0</v>
      </c>
      <c r="H378" s="27">
        <v>0</v>
      </c>
      <c r="I378" s="27">
        <f t="shared" si="385"/>
        <v>0</v>
      </c>
      <c r="J378" s="27">
        <f t="shared" si="385"/>
        <v>0</v>
      </c>
      <c r="K378" s="27">
        <f t="shared" si="385"/>
        <v>0</v>
      </c>
      <c r="L378" s="27">
        <f t="shared" si="385"/>
        <v>0</v>
      </c>
      <c r="M378" s="27">
        <f t="shared" ref="M378:N379" si="386">M379</f>
        <v>0</v>
      </c>
      <c r="N378" s="27">
        <f t="shared" si="386"/>
        <v>0</v>
      </c>
      <c r="O378" s="27" t="e">
        <f t="shared" si="342"/>
        <v>#DIV/0!</v>
      </c>
    </row>
    <row r="379" spans="1:15" ht="47.25" hidden="1" customHeight="1">
      <c r="A379" s="26" t="s">
        <v>325</v>
      </c>
      <c r="B379" s="216">
        <v>903</v>
      </c>
      <c r="C379" s="214" t="s">
        <v>352</v>
      </c>
      <c r="D379" s="214" t="s">
        <v>171</v>
      </c>
      <c r="E379" s="214" t="s">
        <v>372</v>
      </c>
      <c r="F379" s="214" t="s">
        <v>326</v>
      </c>
      <c r="G379" s="27">
        <f t="shared" si="385"/>
        <v>0</v>
      </c>
      <c r="H379" s="27">
        <v>0</v>
      </c>
      <c r="I379" s="27">
        <f t="shared" si="385"/>
        <v>0</v>
      </c>
      <c r="J379" s="27">
        <f t="shared" si="385"/>
        <v>0</v>
      </c>
      <c r="K379" s="27">
        <f t="shared" si="385"/>
        <v>0</v>
      </c>
      <c r="L379" s="27">
        <f t="shared" si="385"/>
        <v>0</v>
      </c>
      <c r="M379" s="27">
        <f t="shared" si="386"/>
        <v>0</v>
      </c>
      <c r="N379" s="27">
        <f t="shared" si="386"/>
        <v>0</v>
      </c>
      <c r="O379" s="27" t="e">
        <f t="shared" si="342"/>
        <v>#DIV/0!</v>
      </c>
    </row>
    <row r="380" spans="1:15" ht="15.75" hidden="1" customHeight="1">
      <c r="A380" s="26" t="s">
        <v>327</v>
      </c>
      <c r="B380" s="216">
        <v>903</v>
      </c>
      <c r="C380" s="214" t="s">
        <v>352</v>
      </c>
      <c r="D380" s="214" t="s">
        <v>171</v>
      </c>
      <c r="E380" s="214" t="s">
        <v>372</v>
      </c>
      <c r="F380" s="214" t="s">
        <v>328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 t="e">
        <f t="shared" si="342"/>
        <v>#DIV/0!</v>
      </c>
    </row>
    <row r="381" spans="1:15" ht="31.5" hidden="1" customHeight="1">
      <c r="A381" s="26" t="s">
        <v>337</v>
      </c>
      <c r="B381" s="216">
        <v>903</v>
      </c>
      <c r="C381" s="214" t="s">
        <v>352</v>
      </c>
      <c r="D381" s="214" t="s">
        <v>171</v>
      </c>
      <c r="E381" s="214" t="s">
        <v>373</v>
      </c>
      <c r="F381" s="214"/>
      <c r="G381" s="27">
        <f t="shared" ref="G381:L382" si="387">G382</f>
        <v>0</v>
      </c>
      <c r="H381" s="27">
        <v>0</v>
      </c>
      <c r="I381" s="27">
        <f t="shared" si="387"/>
        <v>0</v>
      </c>
      <c r="J381" s="27">
        <f t="shared" si="387"/>
        <v>275</v>
      </c>
      <c r="K381" s="27">
        <f t="shared" si="387"/>
        <v>275</v>
      </c>
      <c r="L381" s="27">
        <f t="shared" si="387"/>
        <v>275</v>
      </c>
      <c r="M381" s="27">
        <f t="shared" ref="M381:N382" si="388">M382</f>
        <v>0</v>
      </c>
      <c r="N381" s="27">
        <f t="shared" si="388"/>
        <v>0</v>
      </c>
      <c r="O381" s="27" t="e">
        <f t="shared" si="342"/>
        <v>#DIV/0!</v>
      </c>
    </row>
    <row r="382" spans="1:15" ht="47.25" hidden="1" customHeight="1">
      <c r="A382" s="26" t="s">
        <v>325</v>
      </c>
      <c r="B382" s="216">
        <v>903</v>
      </c>
      <c r="C382" s="214" t="s">
        <v>352</v>
      </c>
      <c r="D382" s="214" t="s">
        <v>171</v>
      </c>
      <c r="E382" s="214" t="s">
        <v>373</v>
      </c>
      <c r="F382" s="214" t="s">
        <v>326</v>
      </c>
      <c r="G382" s="27">
        <f t="shared" si="387"/>
        <v>0</v>
      </c>
      <c r="H382" s="27">
        <v>0</v>
      </c>
      <c r="I382" s="27">
        <f t="shared" si="387"/>
        <v>0</v>
      </c>
      <c r="J382" s="27">
        <f t="shared" si="387"/>
        <v>275</v>
      </c>
      <c r="K382" s="27">
        <f t="shared" si="387"/>
        <v>275</v>
      </c>
      <c r="L382" s="27">
        <f t="shared" si="387"/>
        <v>275</v>
      </c>
      <c r="M382" s="27">
        <f t="shared" si="388"/>
        <v>0</v>
      </c>
      <c r="N382" s="27">
        <f t="shared" si="388"/>
        <v>0</v>
      </c>
      <c r="O382" s="27" t="e">
        <f t="shared" si="342"/>
        <v>#DIV/0!</v>
      </c>
    </row>
    <row r="383" spans="1:15" ht="15.75" hidden="1" customHeight="1">
      <c r="A383" s="26" t="s">
        <v>327</v>
      </c>
      <c r="B383" s="216">
        <v>903</v>
      </c>
      <c r="C383" s="214" t="s">
        <v>352</v>
      </c>
      <c r="D383" s="214" t="s">
        <v>171</v>
      </c>
      <c r="E383" s="214" t="s">
        <v>373</v>
      </c>
      <c r="F383" s="214" t="s">
        <v>328</v>
      </c>
      <c r="G383" s="27">
        <v>0</v>
      </c>
      <c r="H383" s="27">
        <v>0</v>
      </c>
      <c r="I383" s="27">
        <v>0</v>
      </c>
      <c r="J383" s="27">
        <v>275</v>
      </c>
      <c r="K383" s="27">
        <v>275</v>
      </c>
      <c r="L383" s="27">
        <v>275</v>
      </c>
      <c r="M383" s="27">
        <v>0</v>
      </c>
      <c r="N383" s="27">
        <v>0</v>
      </c>
      <c r="O383" s="27" t="e">
        <f t="shared" si="342"/>
        <v>#DIV/0!</v>
      </c>
    </row>
    <row r="384" spans="1:15" ht="47.25" hidden="1" customHeight="1">
      <c r="A384" s="37" t="s">
        <v>374</v>
      </c>
      <c r="B384" s="216">
        <v>903</v>
      </c>
      <c r="C384" s="214" t="s">
        <v>352</v>
      </c>
      <c r="D384" s="214" t="s">
        <v>171</v>
      </c>
      <c r="E384" s="214" t="s">
        <v>375</v>
      </c>
      <c r="F384" s="214"/>
      <c r="G384" s="27">
        <f t="shared" ref="G384:L385" si="389">G385</f>
        <v>0</v>
      </c>
      <c r="H384" s="27"/>
      <c r="I384" s="27">
        <f t="shared" si="389"/>
        <v>0</v>
      </c>
      <c r="J384" s="27">
        <f t="shared" si="389"/>
        <v>0</v>
      </c>
      <c r="K384" s="27">
        <f t="shared" si="389"/>
        <v>0</v>
      </c>
      <c r="L384" s="27">
        <f t="shared" si="389"/>
        <v>0</v>
      </c>
      <c r="M384" s="27">
        <f t="shared" ref="M384:N385" si="390">M385</f>
        <v>0</v>
      </c>
      <c r="N384" s="27">
        <f t="shared" si="390"/>
        <v>0</v>
      </c>
      <c r="O384" s="27" t="e">
        <f t="shared" si="342"/>
        <v>#DIV/0!</v>
      </c>
    </row>
    <row r="385" spans="1:15" ht="47.25" hidden="1" customHeight="1">
      <c r="A385" s="26" t="s">
        <v>325</v>
      </c>
      <c r="B385" s="216">
        <v>903</v>
      </c>
      <c r="C385" s="214" t="s">
        <v>352</v>
      </c>
      <c r="D385" s="214" t="s">
        <v>171</v>
      </c>
      <c r="E385" s="214" t="s">
        <v>375</v>
      </c>
      <c r="F385" s="214" t="s">
        <v>326</v>
      </c>
      <c r="G385" s="27">
        <f t="shared" si="389"/>
        <v>0</v>
      </c>
      <c r="H385" s="27"/>
      <c r="I385" s="27">
        <f t="shared" si="389"/>
        <v>0</v>
      </c>
      <c r="J385" s="27">
        <f t="shared" si="389"/>
        <v>0</v>
      </c>
      <c r="K385" s="27">
        <f t="shared" si="389"/>
        <v>0</v>
      </c>
      <c r="L385" s="27">
        <f t="shared" si="389"/>
        <v>0</v>
      </c>
      <c r="M385" s="27">
        <f t="shared" si="390"/>
        <v>0</v>
      </c>
      <c r="N385" s="27">
        <f t="shared" si="390"/>
        <v>0</v>
      </c>
      <c r="O385" s="27" t="e">
        <f t="shared" si="342"/>
        <v>#DIV/0!</v>
      </c>
    </row>
    <row r="386" spans="1:15" ht="15.75" hidden="1" customHeight="1">
      <c r="A386" s="26" t="s">
        <v>327</v>
      </c>
      <c r="B386" s="216">
        <v>903</v>
      </c>
      <c r="C386" s="214" t="s">
        <v>352</v>
      </c>
      <c r="D386" s="214" t="s">
        <v>171</v>
      </c>
      <c r="E386" s="214" t="s">
        <v>375</v>
      </c>
      <c r="F386" s="214" t="s">
        <v>328</v>
      </c>
      <c r="G386" s="27">
        <v>0</v>
      </c>
      <c r="H386" s="27"/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 t="e">
        <f t="shared" si="342"/>
        <v>#DIV/0!</v>
      </c>
    </row>
    <row r="387" spans="1:15" ht="47.25" customHeight="1">
      <c r="A387" s="70" t="s">
        <v>871</v>
      </c>
      <c r="B387" s="216">
        <v>903</v>
      </c>
      <c r="C387" s="214" t="s">
        <v>352</v>
      </c>
      <c r="D387" s="214" t="s">
        <v>171</v>
      </c>
      <c r="E387" s="214" t="s">
        <v>884</v>
      </c>
      <c r="F387" s="214"/>
      <c r="G387" s="27">
        <f>G388</f>
        <v>0</v>
      </c>
      <c r="H387" s="27">
        <v>0</v>
      </c>
      <c r="I387" s="27">
        <f t="shared" ref="I387:L388" si="391">I388</f>
        <v>0</v>
      </c>
      <c r="J387" s="27">
        <f t="shared" si="391"/>
        <v>650.20000000000005</v>
      </c>
      <c r="K387" s="27">
        <f t="shared" si="391"/>
        <v>650.20000000000005</v>
      </c>
      <c r="L387" s="27">
        <f t="shared" si="391"/>
        <v>650.20000000000005</v>
      </c>
      <c r="M387" s="27">
        <f t="shared" ref="M387:N388" si="392">M388</f>
        <v>650.20000000000005</v>
      </c>
      <c r="N387" s="27">
        <f t="shared" si="392"/>
        <v>650.20000000000005</v>
      </c>
      <c r="O387" s="27">
        <f t="shared" si="342"/>
        <v>100</v>
      </c>
    </row>
    <row r="388" spans="1:15" ht="54" customHeight="1">
      <c r="A388" s="31" t="s">
        <v>325</v>
      </c>
      <c r="B388" s="216">
        <v>903</v>
      </c>
      <c r="C388" s="214" t="s">
        <v>352</v>
      </c>
      <c r="D388" s="214" t="s">
        <v>171</v>
      </c>
      <c r="E388" s="214" t="s">
        <v>884</v>
      </c>
      <c r="F388" s="214" t="s">
        <v>326</v>
      </c>
      <c r="G388" s="27">
        <f>G389</f>
        <v>0</v>
      </c>
      <c r="H388" s="27">
        <v>0</v>
      </c>
      <c r="I388" s="27">
        <f t="shared" si="391"/>
        <v>0</v>
      </c>
      <c r="J388" s="27">
        <f t="shared" si="391"/>
        <v>650.20000000000005</v>
      </c>
      <c r="K388" s="27">
        <f t="shared" si="391"/>
        <v>650.20000000000005</v>
      </c>
      <c r="L388" s="27">
        <f t="shared" si="391"/>
        <v>650.20000000000005</v>
      </c>
      <c r="M388" s="27">
        <f t="shared" si="392"/>
        <v>650.20000000000005</v>
      </c>
      <c r="N388" s="27">
        <f t="shared" si="392"/>
        <v>650.20000000000005</v>
      </c>
      <c r="O388" s="27">
        <f t="shared" si="342"/>
        <v>100</v>
      </c>
    </row>
    <row r="389" spans="1:15" ht="15.75" customHeight="1">
      <c r="A389" s="258" t="s">
        <v>327</v>
      </c>
      <c r="B389" s="216">
        <v>903</v>
      </c>
      <c r="C389" s="214" t="s">
        <v>352</v>
      </c>
      <c r="D389" s="214" t="s">
        <v>171</v>
      </c>
      <c r="E389" s="214" t="s">
        <v>884</v>
      </c>
      <c r="F389" s="214" t="s">
        <v>328</v>
      </c>
      <c r="G389" s="27">
        <v>0</v>
      </c>
      <c r="H389" s="27">
        <v>0</v>
      </c>
      <c r="I389" s="27">
        <v>0</v>
      </c>
      <c r="J389" s="27">
        <v>650.20000000000005</v>
      </c>
      <c r="K389" s="27">
        <v>650.20000000000005</v>
      </c>
      <c r="L389" s="27">
        <v>650.20000000000005</v>
      </c>
      <c r="M389" s="27">
        <v>650.20000000000005</v>
      </c>
      <c r="N389" s="27">
        <v>650.20000000000005</v>
      </c>
      <c r="O389" s="27">
        <f t="shared" si="342"/>
        <v>100</v>
      </c>
    </row>
    <row r="390" spans="1:15" ht="60" hidden="1" customHeight="1">
      <c r="A390" s="31" t="s">
        <v>376</v>
      </c>
      <c r="B390" s="216">
        <v>903</v>
      </c>
      <c r="C390" s="214" t="s">
        <v>352</v>
      </c>
      <c r="D390" s="214" t="s">
        <v>171</v>
      </c>
      <c r="E390" s="217" t="s">
        <v>377</v>
      </c>
      <c r="F390" s="214"/>
      <c r="G390" s="27">
        <f>G391</f>
        <v>200</v>
      </c>
      <c r="H390" s="27">
        <f>H391</f>
        <v>0</v>
      </c>
      <c r="I390" s="27">
        <f t="shared" ref="I390:L390" si="393">I391</f>
        <v>200</v>
      </c>
      <c r="J390" s="27">
        <f t="shared" si="393"/>
        <v>0</v>
      </c>
      <c r="K390" s="27">
        <f t="shared" si="393"/>
        <v>0</v>
      </c>
      <c r="L390" s="27">
        <f t="shared" si="393"/>
        <v>0</v>
      </c>
      <c r="M390" s="27">
        <f t="shared" ref="M390:N392" si="394">M391</f>
        <v>0</v>
      </c>
      <c r="N390" s="27">
        <f t="shared" si="394"/>
        <v>0</v>
      </c>
      <c r="O390" s="27" t="e">
        <f t="shared" si="342"/>
        <v>#DIV/0!</v>
      </c>
    </row>
    <row r="391" spans="1:15" ht="47.25" hidden="1">
      <c r="A391" s="26" t="s">
        <v>378</v>
      </c>
      <c r="B391" s="216">
        <v>903</v>
      </c>
      <c r="C391" s="214" t="s">
        <v>352</v>
      </c>
      <c r="D391" s="214" t="s">
        <v>171</v>
      </c>
      <c r="E391" s="217" t="s">
        <v>379</v>
      </c>
      <c r="F391" s="214"/>
      <c r="G391" s="27">
        <f t="shared" ref="G391:L392" si="395">G392</f>
        <v>200</v>
      </c>
      <c r="H391" s="27">
        <f t="shared" si="395"/>
        <v>0</v>
      </c>
      <c r="I391" s="27">
        <f t="shared" si="395"/>
        <v>200</v>
      </c>
      <c r="J391" s="27">
        <f t="shared" si="395"/>
        <v>0</v>
      </c>
      <c r="K391" s="27">
        <f t="shared" si="395"/>
        <v>0</v>
      </c>
      <c r="L391" s="27">
        <f t="shared" si="395"/>
        <v>0</v>
      </c>
      <c r="M391" s="27">
        <f t="shared" si="394"/>
        <v>0</v>
      </c>
      <c r="N391" s="27">
        <f t="shared" si="394"/>
        <v>0</v>
      </c>
      <c r="O391" s="27" t="e">
        <f t="shared" si="342"/>
        <v>#DIV/0!</v>
      </c>
    </row>
    <row r="392" spans="1:15" ht="47.25" hidden="1">
      <c r="A392" s="26" t="s">
        <v>325</v>
      </c>
      <c r="B392" s="216">
        <v>903</v>
      </c>
      <c r="C392" s="214" t="s">
        <v>352</v>
      </c>
      <c r="D392" s="214" t="s">
        <v>171</v>
      </c>
      <c r="E392" s="217" t="s">
        <v>379</v>
      </c>
      <c r="F392" s="214" t="s">
        <v>326</v>
      </c>
      <c r="G392" s="27">
        <f>G393</f>
        <v>200</v>
      </c>
      <c r="H392" s="27">
        <f>H393</f>
        <v>0</v>
      </c>
      <c r="I392" s="27">
        <f t="shared" si="395"/>
        <v>200</v>
      </c>
      <c r="J392" s="27">
        <f t="shared" si="395"/>
        <v>0</v>
      </c>
      <c r="K392" s="27">
        <f t="shared" si="395"/>
        <v>0</v>
      </c>
      <c r="L392" s="27">
        <f t="shared" si="395"/>
        <v>0</v>
      </c>
      <c r="M392" s="27">
        <f t="shared" si="394"/>
        <v>0</v>
      </c>
      <c r="N392" s="27">
        <f t="shared" si="394"/>
        <v>0</v>
      </c>
      <c r="O392" s="27" t="e">
        <f t="shared" si="342"/>
        <v>#DIV/0!</v>
      </c>
    </row>
    <row r="393" spans="1:15" ht="15.75" hidden="1">
      <c r="A393" s="26" t="s">
        <v>327</v>
      </c>
      <c r="B393" s="216">
        <v>903</v>
      </c>
      <c r="C393" s="214" t="s">
        <v>352</v>
      </c>
      <c r="D393" s="214" t="s">
        <v>171</v>
      </c>
      <c r="E393" s="217" t="s">
        <v>379</v>
      </c>
      <c r="F393" s="214" t="s">
        <v>328</v>
      </c>
      <c r="G393" s="27">
        <v>200</v>
      </c>
      <c r="H393" s="27">
        <v>0</v>
      </c>
      <c r="I393" s="27">
        <v>200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 t="e">
        <f t="shared" si="342"/>
        <v>#DIV/0!</v>
      </c>
    </row>
    <row r="394" spans="1:15" ht="15.75">
      <c r="A394" s="26" t="s">
        <v>174</v>
      </c>
      <c r="B394" s="216">
        <v>903</v>
      </c>
      <c r="C394" s="214" t="s">
        <v>352</v>
      </c>
      <c r="D394" s="214" t="s">
        <v>171</v>
      </c>
      <c r="E394" s="214" t="s">
        <v>175</v>
      </c>
      <c r="F394" s="214"/>
      <c r="G394" s="27">
        <f>G395</f>
        <v>2137.9</v>
      </c>
      <c r="H394" s="27">
        <f>H395</f>
        <v>1044.5999999999999</v>
      </c>
      <c r="I394" s="27">
        <f t="shared" ref="I394:L394" si="396">I395</f>
        <v>2137.9</v>
      </c>
      <c r="J394" s="27">
        <f t="shared" si="396"/>
        <v>2133.9</v>
      </c>
      <c r="K394" s="27">
        <f t="shared" si="396"/>
        <v>2133.9</v>
      </c>
      <c r="L394" s="27">
        <f t="shared" si="396"/>
        <v>2133.9</v>
      </c>
      <c r="M394" s="27">
        <f t="shared" ref="M394:N394" si="397">M395</f>
        <v>2084.3000000000002</v>
      </c>
      <c r="N394" s="27">
        <f t="shared" si="397"/>
        <v>391.6</v>
      </c>
      <c r="O394" s="27">
        <f t="shared" si="342"/>
        <v>18.788082329798971</v>
      </c>
    </row>
    <row r="395" spans="1:15" ht="31.5">
      <c r="A395" s="26" t="s">
        <v>238</v>
      </c>
      <c r="B395" s="216">
        <v>903</v>
      </c>
      <c r="C395" s="214" t="s">
        <v>352</v>
      </c>
      <c r="D395" s="214" t="s">
        <v>171</v>
      </c>
      <c r="E395" s="214" t="s">
        <v>239</v>
      </c>
      <c r="F395" s="214"/>
      <c r="G395" s="27">
        <f>G396+G401+G406+G409+G412</f>
        <v>2137.9</v>
      </c>
      <c r="H395" s="27">
        <f>H396+H401+H406+H409+H412</f>
        <v>1044.5999999999999</v>
      </c>
      <c r="I395" s="27">
        <f t="shared" ref="I395:L395" si="398">I396+I401+I406+I409+I412</f>
        <v>2137.9</v>
      </c>
      <c r="J395" s="27">
        <f t="shared" si="398"/>
        <v>2133.9</v>
      </c>
      <c r="K395" s="27">
        <f t="shared" si="398"/>
        <v>2133.9</v>
      </c>
      <c r="L395" s="27">
        <f t="shared" si="398"/>
        <v>2133.9</v>
      </c>
      <c r="M395" s="27">
        <f t="shared" ref="M395:N395" si="399">M396+M401+M406+M409+M412</f>
        <v>2084.3000000000002</v>
      </c>
      <c r="N395" s="27">
        <f t="shared" si="399"/>
        <v>391.6</v>
      </c>
      <c r="O395" s="27">
        <f t="shared" si="342"/>
        <v>18.788082329798971</v>
      </c>
    </row>
    <row r="396" spans="1:15" ht="31.5" hidden="1" customHeight="1">
      <c r="A396" s="38" t="s">
        <v>380</v>
      </c>
      <c r="B396" s="222">
        <v>903</v>
      </c>
      <c r="C396" s="214" t="s">
        <v>352</v>
      </c>
      <c r="D396" s="214" t="s">
        <v>171</v>
      </c>
      <c r="E396" s="214" t="s">
        <v>381</v>
      </c>
      <c r="F396" s="214"/>
      <c r="G396" s="27">
        <f t="shared" ref="G396:L396" si="400">G397+G399</f>
        <v>0</v>
      </c>
      <c r="H396" s="27">
        <f t="shared" si="400"/>
        <v>0</v>
      </c>
      <c r="I396" s="27">
        <f t="shared" si="400"/>
        <v>0</v>
      </c>
      <c r="J396" s="27">
        <f t="shared" si="400"/>
        <v>0</v>
      </c>
      <c r="K396" s="27">
        <f t="shared" si="400"/>
        <v>0</v>
      </c>
      <c r="L396" s="27">
        <f t="shared" si="400"/>
        <v>0</v>
      </c>
      <c r="M396" s="27">
        <f t="shared" ref="M396:N396" si="401">M397+M399</f>
        <v>0</v>
      </c>
      <c r="N396" s="27">
        <f t="shared" si="401"/>
        <v>0</v>
      </c>
      <c r="O396" s="27" t="e">
        <f t="shared" si="342"/>
        <v>#DIV/0!</v>
      </c>
    </row>
    <row r="397" spans="1:15" ht="31.5" hidden="1" customHeight="1">
      <c r="A397" s="26" t="s">
        <v>184</v>
      </c>
      <c r="B397" s="222">
        <v>903</v>
      </c>
      <c r="C397" s="214" t="s">
        <v>352</v>
      </c>
      <c r="D397" s="214" t="s">
        <v>171</v>
      </c>
      <c r="E397" s="214" t="s">
        <v>381</v>
      </c>
      <c r="F397" s="214" t="s">
        <v>185</v>
      </c>
      <c r="G397" s="27">
        <f t="shared" ref="G397:L397" si="402">G398</f>
        <v>0</v>
      </c>
      <c r="H397" s="27">
        <f t="shared" si="402"/>
        <v>0</v>
      </c>
      <c r="I397" s="27">
        <f t="shared" si="402"/>
        <v>0</v>
      </c>
      <c r="J397" s="27">
        <f t="shared" si="402"/>
        <v>0</v>
      </c>
      <c r="K397" s="27">
        <f t="shared" si="402"/>
        <v>0</v>
      </c>
      <c r="L397" s="27">
        <f t="shared" si="402"/>
        <v>0</v>
      </c>
      <c r="M397" s="27">
        <f t="shared" ref="M397:N397" si="403">M398</f>
        <v>0</v>
      </c>
      <c r="N397" s="27">
        <f t="shared" si="403"/>
        <v>0</v>
      </c>
      <c r="O397" s="27" t="e">
        <f t="shared" ref="O397:O460" si="404">N397/M397*100</f>
        <v>#DIV/0!</v>
      </c>
    </row>
    <row r="398" spans="1:15" ht="47.25" hidden="1" customHeight="1">
      <c r="A398" s="26" t="s">
        <v>186</v>
      </c>
      <c r="B398" s="216">
        <v>903</v>
      </c>
      <c r="C398" s="214" t="s">
        <v>352</v>
      </c>
      <c r="D398" s="214" t="s">
        <v>171</v>
      </c>
      <c r="E398" s="214" t="s">
        <v>381</v>
      </c>
      <c r="F398" s="214" t="s">
        <v>187</v>
      </c>
      <c r="G398" s="27">
        <f>1.4-1.4</f>
        <v>0</v>
      </c>
      <c r="H398" s="27">
        <f>1.4-1.4</f>
        <v>0</v>
      </c>
      <c r="I398" s="27">
        <f t="shared" ref="I398:L398" si="405">1.4-1.4</f>
        <v>0</v>
      </c>
      <c r="J398" s="27">
        <f t="shared" si="405"/>
        <v>0</v>
      </c>
      <c r="K398" s="27">
        <f t="shared" si="405"/>
        <v>0</v>
      </c>
      <c r="L398" s="27">
        <f t="shared" si="405"/>
        <v>0</v>
      </c>
      <c r="M398" s="27">
        <f t="shared" ref="M398:N398" si="406">1.4-1.4</f>
        <v>0</v>
      </c>
      <c r="N398" s="27">
        <f t="shared" si="406"/>
        <v>0</v>
      </c>
      <c r="O398" s="27" t="e">
        <f t="shared" si="404"/>
        <v>#DIV/0!</v>
      </c>
    </row>
    <row r="399" spans="1:15" ht="47.25" hidden="1" customHeight="1">
      <c r="A399" s="26" t="s">
        <v>325</v>
      </c>
      <c r="B399" s="216">
        <v>903</v>
      </c>
      <c r="C399" s="214" t="s">
        <v>352</v>
      </c>
      <c r="D399" s="214" t="s">
        <v>171</v>
      </c>
      <c r="E399" s="214" t="s">
        <v>381</v>
      </c>
      <c r="F399" s="214" t="s">
        <v>326</v>
      </c>
      <c r="G399" s="27">
        <f t="shared" ref="G399:L399" si="407">G400</f>
        <v>0</v>
      </c>
      <c r="H399" s="27">
        <f t="shared" si="407"/>
        <v>0</v>
      </c>
      <c r="I399" s="27">
        <f t="shared" si="407"/>
        <v>0</v>
      </c>
      <c r="J399" s="27">
        <f t="shared" si="407"/>
        <v>0</v>
      </c>
      <c r="K399" s="27">
        <f t="shared" si="407"/>
        <v>0</v>
      </c>
      <c r="L399" s="27">
        <f t="shared" si="407"/>
        <v>0</v>
      </c>
      <c r="M399" s="27">
        <f t="shared" ref="M399:N399" si="408">M400</f>
        <v>0</v>
      </c>
      <c r="N399" s="27">
        <f t="shared" si="408"/>
        <v>0</v>
      </c>
      <c r="O399" s="27" t="e">
        <f t="shared" si="404"/>
        <v>#DIV/0!</v>
      </c>
    </row>
    <row r="400" spans="1:15" ht="15.75" hidden="1" customHeight="1">
      <c r="A400" s="26" t="s">
        <v>327</v>
      </c>
      <c r="B400" s="216">
        <v>903</v>
      </c>
      <c r="C400" s="214" t="s">
        <v>352</v>
      </c>
      <c r="D400" s="214" t="s">
        <v>171</v>
      </c>
      <c r="E400" s="214" t="s">
        <v>381</v>
      </c>
      <c r="F400" s="214" t="s">
        <v>328</v>
      </c>
      <c r="G400" s="27">
        <f>2.9-2.9</f>
        <v>0</v>
      </c>
      <c r="H400" s="27">
        <f>2.9-2.9</f>
        <v>0</v>
      </c>
      <c r="I400" s="27">
        <f t="shared" ref="I400:L400" si="409">2.9-2.9</f>
        <v>0</v>
      </c>
      <c r="J400" s="27">
        <f t="shared" si="409"/>
        <v>0</v>
      </c>
      <c r="K400" s="27">
        <f t="shared" si="409"/>
        <v>0</v>
      </c>
      <c r="L400" s="27">
        <f t="shared" si="409"/>
        <v>0</v>
      </c>
      <c r="M400" s="27">
        <f t="shared" ref="M400:N400" si="410">2.9-2.9</f>
        <v>0</v>
      </c>
      <c r="N400" s="27">
        <f t="shared" si="410"/>
        <v>0</v>
      </c>
      <c r="O400" s="27" t="e">
        <f t="shared" si="404"/>
        <v>#DIV/0!</v>
      </c>
    </row>
    <row r="401" spans="1:15" ht="31.5">
      <c r="A401" s="26" t="s">
        <v>382</v>
      </c>
      <c r="B401" s="216">
        <v>903</v>
      </c>
      <c r="C401" s="214" t="s">
        <v>352</v>
      </c>
      <c r="D401" s="214" t="s">
        <v>171</v>
      </c>
      <c r="E401" s="214" t="s">
        <v>383</v>
      </c>
      <c r="F401" s="214"/>
      <c r="G401" s="27">
        <f>G402+G404</f>
        <v>177.3</v>
      </c>
      <c r="H401" s="27">
        <f>H402+H404</f>
        <v>0</v>
      </c>
      <c r="I401" s="27">
        <f t="shared" ref="I401:L401" si="411">I402+I404</f>
        <v>177.3</v>
      </c>
      <c r="J401" s="27">
        <f t="shared" si="411"/>
        <v>177.3</v>
      </c>
      <c r="K401" s="27">
        <f t="shared" si="411"/>
        <v>177.3</v>
      </c>
      <c r="L401" s="27">
        <f t="shared" si="411"/>
        <v>177.3</v>
      </c>
      <c r="M401" s="27">
        <f t="shared" ref="M401:N401" si="412">M402+M404</f>
        <v>158.5</v>
      </c>
      <c r="N401" s="27">
        <f t="shared" si="412"/>
        <v>158.5</v>
      </c>
      <c r="O401" s="27">
        <f t="shared" si="404"/>
        <v>100</v>
      </c>
    </row>
    <row r="402" spans="1:15" ht="31.5" hidden="1" customHeight="1">
      <c r="A402" s="26" t="s">
        <v>184</v>
      </c>
      <c r="B402" s="216">
        <v>903</v>
      </c>
      <c r="C402" s="214" t="s">
        <v>352</v>
      </c>
      <c r="D402" s="214" t="s">
        <v>171</v>
      </c>
      <c r="E402" s="214" t="s">
        <v>383</v>
      </c>
      <c r="F402" s="214" t="s">
        <v>185</v>
      </c>
      <c r="G402" s="27">
        <f t="shared" ref="G402:L402" si="413">G403</f>
        <v>0</v>
      </c>
      <c r="H402" s="27">
        <f t="shared" si="413"/>
        <v>0</v>
      </c>
      <c r="I402" s="27">
        <f t="shared" si="413"/>
        <v>0</v>
      </c>
      <c r="J402" s="27">
        <f t="shared" si="413"/>
        <v>0</v>
      </c>
      <c r="K402" s="27">
        <f t="shared" si="413"/>
        <v>0</v>
      </c>
      <c r="L402" s="27">
        <f t="shared" si="413"/>
        <v>0</v>
      </c>
      <c r="M402" s="27">
        <f t="shared" ref="M402:N402" si="414">M403</f>
        <v>0</v>
      </c>
      <c r="N402" s="27">
        <f t="shared" si="414"/>
        <v>0</v>
      </c>
      <c r="O402" s="27" t="e">
        <f t="shared" si="404"/>
        <v>#DIV/0!</v>
      </c>
    </row>
    <row r="403" spans="1:15" ht="47.25" hidden="1" customHeight="1">
      <c r="A403" s="26" t="s">
        <v>186</v>
      </c>
      <c r="B403" s="216">
        <v>903</v>
      </c>
      <c r="C403" s="214" t="s">
        <v>352</v>
      </c>
      <c r="D403" s="214" t="s">
        <v>171</v>
      </c>
      <c r="E403" s="214" t="s">
        <v>383</v>
      </c>
      <c r="F403" s="223">
        <v>240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 t="e">
        <f t="shared" si="404"/>
        <v>#DIV/0!</v>
      </c>
    </row>
    <row r="404" spans="1:15" ht="47.25">
      <c r="A404" s="26" t="s">
        <v>325</v>
      </c>
      <c r="B404" s="216">
        <v>903</v>
      </c>
      <c r="C404" s="214" t="s">
        <v>352</v>
      </c>
      <c r="D404" s="214" t="s">
        <v>171</v>
      </c>
      <c r="E404" s="214" t="s">
        <v>383</v>
      </c>
      <c r="F404" s="214" t="s">
        <v>326</v>
      </c>
      <c r="G404" s="27">
        <f t="shared" ref="G404:L404" si="415">G405</f>
        <v>177.3</v>
      </c>
      <c r="H404" s="27">
        <f t="shared" si="415"/>
        <v>0</v>
      </c>
      <c r="I404" s="27">
        <f t="shared" si="415"/>
        <v>177.3</v>
      </c>
      <c r="J404" s="27">
        <f t="shared" si="415"/>
        <v>177.3</v>
      </c>
      <c r="K404" s="27">
        <f t="shared" si="415"/>
        <v>177.3</v>
      </c>
      <c r="L404" s="27">
        <f t="shared" si="415"/>
        <v>177.3</v>
      </c>
      <c r="M404" s="27">
        <f t="shared" ref="M404:N404" si="416">M405</f>
        <v>158.5</v>
      </c>
      <c r="N404" s="27">
        <f t="shared" si="416"/>
        <v>158.5</v>
      </c>
      <c r="O404" s="27">
        <f t="shared" si="404"/>
        <v>100</v>
      </c>
    </row>
    <row r="405" spans="1:15" ht="15.75">
      <c r="A405" s="26" t="s">
        <v>327</v>
      </c>
      <c r="B405" s="216">
        <v>903</v>
      </c>
      <c r="C405" s="214" t="s">
        <v>352</v>
      </c>
      <c r="D405" s="214" t="s">
        <v>171</v>
      </c>
      <c r="E405" s="214" t="s">
        <v>383</v>
      </c>
      <c r="F405" s="214" t="s">
        <v>328</v>
      </c>
      <c r="G405" s="27">
        <f>274.5-97.2</f>
        <v>177.3</v>
      </c>
      <c r="H405" s="27">
        <v>0</v>
      </c>
      <c r="I405" s="27">
        <f t="shared" ref="I405:L405" si="417">274.5-97.2</f>
        <v>177.3</v>
      </c>
      <c r="J405" s="27">
        <f t="shared" si="417"/>
        <v>177.3</v>
      </c>
      <c r="K405" s="27">
        <f t="shared" si="417"/>
        <v>177.3</v>
      </c>
      <c r="L405" s="27">
        <f t="shared" si="417"/>
        <v>177.3</v>
      </c>
      <c r="M405" s="27">
        <f>'прил.№1 доходы'!I107</f>
        <v>158.5</v>
      </c>
      <c r="N405" s="27">
        <v>158.5</v>
      </c>
      <c r="O405" s="27">
        <f t="shared" si="404"/>
        <v>100</v>
      </c>
    </row>
    <row r="406" spans="1:15" ht="78.75">
      <c r="A406" s="26" t="s">
        <v>384</v>
      </c>
      <c r="B406" s="216">
        <v>903</v>
      </c>
      <c r="C406" s="214" t="s">
        <v>352</v>
      </c>
      <c r="D406" s="214" t="s">
        <v>171</v>
      </c>
      <c r="E406" s="214" t="s">
        <v>385</v>
      </c>
      <c r="F406" s="214"/>
      <c r="G406" s="27">
        <f t="shared" ref="G406:L407" si="418">G407</f>
        <v>263.3</v>
      </c>
      <c r="H406" s="27">
        <f t="shared" si="418"/>
        <v>123.8</v>
      </c>
      <c r="I406" s="27">
        <f t="shared" si="418"/>
        <v>263.3</v>
      </c>
      <c r="J406" s="27">
        <f t="shared" si="418"/>
        <v>263.3</v>
      </c>
      <c r="K406" s="27">
        <f t="shared" si="418"/>
        <v>263.3</v>
      </c>
      <c r="L406" s="27">
        <f t="shared" si="418"/>
        <v>263.3</v>
      </c>
      <c r="M406" s="27">
        <f t="shared" ref="M406:N407" si="419">M407</f>
        <v>273.7</v>
      </c>
      <c r="N406" s="27">
        <f t="shared" si="419"/>
        <v>45.8</v>
      </c>
      <c r="O406" s="27">
        <f t="shared" si="404"/>
        <v>16.733649981731823</v>
      </c>
    </row>
    <row r="407" spans="1:15" ht="47.25">
      <c r="A407" s="26" t="s">
        <v>325</v>
      </c>
      <c r="B407" s="216">
        <v>903</v>
      </c>
      <c r="C407" s="214" t="s">
        <v>352</v>
      </c>
      <c r="D407" s="214" t="s">
        <v>171</v>
      </c>
      <c r="E407" s="214" t="s">
        <v>385</v>
      </c>
      <c r="F407" s="214" t="s">
        <v>326</v>
      </c>
      <c r="G407" s="27">
        <f>G408</f>
        <v>263.3</v>
      </c>
      <c r="H407" s="27">
        <f>H408</f>
        <v>123.8</v>
      </c>
      <c r="I407" s="27">
        <f t="shared" si="418"/>
        <v>263.3</v>
      </c>
      <c r="J407" s="27">
        <f t="shared" si="418"/>
        <v>263.3</v>
      </c>
      <c r="K407" s="27">
        <f t="shared" si="418"/>
        <v>263.3</v>
      </c>
      <c r="L407" s="27">
        <f t="shared" si="418"/>
        <v>263.3</v>
      </c>
      <c r="M407" s="27">
        <f t="shared" si="419"/>
        <v>273.7</v>
      </c>
      <c r="N407" s="27">
        <f t="shared" si="419"/>
        <v>45.8</v>
      </c>
      <c r="O407" s="27">
        <f t="shared" si="404"/>
        <v>16.733649981731823</v>
      </c>
    </row>
    <row r="408" spans="1:15" ht="15.75">
      <c r="A408" s="26" t="s">
        <v>327</v>
      </c>
      <c r="B408" s="216">
        <v>903</v>
      </c>
      <c r="C408" s="214" t="s">
        <v>352</v>
      </c>
      <c r="D408" s="214" t="s">
        <v>171</v>
      </c>
      <c r="E408" s="214" t="s">
        <v>385</v>
      </c>
      <c r="F408" s="214" t="s">
        <v>328</v>
      </c>
      <c r="G408" s="27">
        <f>247.6+15.7</f>
        <v>263.3</v>
      </c>
      <c r="H408" s="27">
        <v>123.8</v>
      </c>
      <c r="I408" s="27">
        <f t="shared" ref="I408:L408" si="420">247.6+15.7</f>
        <v>263.3</v>
      </c>
      <c r="J408" s="27">
        <f t="shared" si="420"/>
        <v>263.3</v>
      </c>
      <c r="K408" s="27">
        <f t="shared" si="420"/>
        <v>263.3</v>
      </c>
      <c r="L408" s="27">
        <f t="shared" si="420"/>
        <v>263.3</v>
      </c>
      <c r="M408" s="27">
        <f>'прил.№1 доходы'!I133</f>
        <v>273.7</v>
      </c>
      <c r="N408" s="27">
        <v>45.8</v>
      </c>
      <c r="O408" s="27">
        <f t="shared" si="404"/>
        <v>16.733649981731823</v>
      </c>
    </row>
    <row r="409" spans="1:15" ht="110.25">
      <c r="A409" s="33" t="s">
        <v>346</v>
      </c>
      <c r="B409" s="216">
        <v>903</v>
      </c>
      <c r="C409" s="214" t="s">
        <v>352</v>
      </c>
      <c r="D409" s="214" t="s">
        <v>171</v>
      </c>
      <c r="E409" s="214" t="s">
        <v>347</v>
      </c>
      <c r="F409" s="214"/>
      <c r="G409" s="27">
        <f t="shared" ref="G409:L410" si="421">G410</f>
        <v>1693.3000000000002</v>
      </c>
      <c r="H409" s="27">
        <f t="shared" si="421"/>
        <v>916.8</v>
      </c>
      <c r="I409" s="27">
        <f t="shared" si="421"/>
        <v>1693.3000000000002</v>
      </c>
      <c r="J409" s="27">
        <f t="shared" si="421"/>
        <v>1693.3000000000002</v>
      </c>
      <c r="K409" s="27">
        <f t="shared" si="421"/>
        <v>1693.3000000000002</v>
      </c>
      <c r="L409" s="27">
        <f t="shared" si="421"/>
        <v>1693.3000000000002</v>
      </c>
      <c r="M409" s="27">
        <f t="shared" ref="M409:N410" si="422">M410</f>
        <v>1648.8000000000002</v>
      </c>
      <c r="N409" s="27">
        <f t="shared" si="422"/>
        <v>187.3</v>
      </c>
      <c r="O409" s="27">
        <f t="shared" si="404"/>
        <v>11.359776807375061</v>
      </c>
    </row>
    <row r="410" spans="1:15" ht="47.25">
      <c r="A410" s="26" t="s">
        <v>325</v>
      </c>
      <c r="B410" s="216">
        <v>903</v>
      </c>
      <c r="C410" s="214" t="s">
        <v>352</v>
      </c>
      <c r="D410" s="214" t="s">
        <v>171</v>
      </c>
      <c r="E410" s="214" t="s">
        <v>347</v>
      </c>
      <c r="F410" s="214" t="s">
        <v>326</v>
      </c>
      <c r="G410" s="27">
        <f>G411</f>
        <v>1693.3000000000002</v>
      </c>
      <c r="H410" s="27">
        <f>H411</f>
        <v>916.8</v>
      </c>
      <c r="I410" s="27">
        <f t="shared" si="421"/>
        <v>1693.3000000000002</v>
      </c>
      <c r="J410" s="27">
        <f t="shared" si="421"/>
        <v>1693.3000000000002</v>
      </c>
      <c r="K410" s="27">
        <f t="shared" si="421"/>
        <v>1693.3000000000002</v>
      </c>
      <c r="L410" s="27">
        <f t="shared" si="421"/>
        <v>1693.3000000000002</v>
      </c>
      <c r="M410" s="27">
        <f t="shared" si="422"/>
        <v>1648.8000000000002</v>
      </c>
      <c r="N410" s="27">
        <f t="shared" si="422"/>
        <v>187.3</v>
      </c>
      <c r="O410" s="27">
        <f t="shared" si="404"/>
        <v>11.359776807375061</v>
      </c>
    </row>
    <row r="411" spans="1:15" ht="15.75">
      <c r="A411" s="26" t="s">
        <v>327</v>
      </c>
      <c r="B411" s="216">
        <v>903</v>
      </c>
      <c r="C411" s="214" t="s">
        <v>352</v>
      </c>
      <c r="D411" s="214" t="s">
        <v>171</v>
      </c>
      <c r="E411" s="214" t="s">
        <v>347</v>
      </c>
      <c r="F411" s="214" t="s">
        <v>328</v>
      </c>
      <c r="G411" s="27">
        <f>1929.4-236.1</f>
        <v>1693.3000000000002</v>
      </c>
      <c r="H411" s="27">
        <v>916.8</v>
      </c>
      <c r="I411" s="27">
        <f t="shared" ref="I411:L411" si="423">1929.4-236.1</f>
        <v>1693.3000000000002</v>
      </c>
      <c r="J411" s="27">
        <f t="shared" si="423"/>
        <v>1693.3000000000002</v>
      </c>
      <c r="K411" s="27">
        <f t="shared" si="423"/>
        <v>1693.3000000000002</v>
      </c>
      <c r="L411" s="27">
        <f t="shared" si="423"/>
        <v>1693.3000000000002</v>
      </c>
      <c r="M411" s="27">
        <f>1929.4-236.1-44.5</f>
        <v>1648.8000000000002</v>
      </c>
      <c r="N411" s="27">
        <v>187.3</v>
      </c>
      <c r="O411" s="27">
        <f t="shared" si="404"/>
        <v>11.359776807375061</v>
      </c>
    </row>
    <row r="412" spans="1:15" ht="15.75">
      <c r="A412" s="33" t="s">
        <v>769</v>
      </c>
      <c r="B412" s="216">
        <v>903</v>
      </c>
      <c r="C412" s="214" t="s">
        <v>352</v>
      </c>
      <c r="D412" s="214" t="s">
        <v>171</v>
      </c>
      <c r="E412" s="214" t="s">
        <v>770</v>
      </c>
      <c r="F412" s="214"/>
      <c r="G412" s="27">
        <f>G413</f>
        <v>4</v>
      </c>
      <c r="H412" s="27">
        <f>H413</f>
        <v>4</v>
      </c>
      <c r="I412" s="27">
        <f t="shared" ref="I412:L413" si="424">I413</f>
        <v>4</v>
      </c>
      <c r="J412" s="27">
        <f t="shared" si="424"/>
        <v>0</v>
      </c>
      <c r="K412" s="27">
        <f t="shared" si="424"/>
        <v>0</v>
      </c>
      <c r="L412" s="27">
        <f t="shared" si="424"/>
        <v>0</v>
      </c>
      <c r="M412" s="27">
        <f t="shared" ref="M412:N413" si="425">M413</f>
        <v>3.3</v>
      </c>
      <c r="N412" s="27">
        <f t="shared" si="425"/>
        <v>0</v>
      </c>
      <c r="O412" s="27">
        <f t="shared" si="404"/>
        <v>0</v>
      </c>
    </row>
    <row r="413" spans="1:15" ht="47.25">
      <c r="A413" s="26" t="s">
        <v>325</v>
      </c>
      <c r="B413" s="216">
        <v>903</v>
      </c>
      <c r="C413" s="214" t="s">
        <v>352</v>
      </c>
      <c r="D413" s="214" t="s">
        <v>171</v>
      </c>
      <c r="E413" s="214" t="s">
        <v>770</v>
      </c>
      <c r="F413" s="214" t="s">
        <v>326</v>
      </c>
      <c r="G413" s="27">
        <f>G414</f>
        <v>4</v>
      </c>
      <c r="H413" s="27">
        <f>H414</f>
        <v>4</v>
      </c>
      <c r="I413" s="27">
        <f t="shared" si="424"/>
        <v>4</v>
      </c>
      <c r="J413" s="27">
        <f t="shared" si="424"/>
        <v>0</v>
      </c>
      <c r="K413" s="27">
        <f t="shared" si="424"/>
        <v>0</v>
      </c>
      <c r="L413" s="27">
        <f t="shared" si="424"/>
        <v>0</v>
      </c>
      <c r="M413" s="27">
        <f t="shared" si="425"/>
        <v>3.3</v>
      </c>
      <c r="N413" s="27">
        <f t="shared" si="425"/>
        <v>0</v>
      </c>
      <c r="O413" s="27">
        <f t="shared" si="404"/>
        <v>0</v>
      </c>
    </row>
    <row r="414" spans="1:15" ht="15.75">
      <c r="A414" s="26" t="s">
        <v>327</v>
      </c>
      <c r="B414" s="216">
        <v>903</v>
      </c>
      <c r="C414" s="214" t="s">
        <v>352</v>
      </c>
      <c r="D414" s="214" t="s">
        <v>171</v>
      </c>
      <c r="E414" s="214" t="s">
        <v>770</v>
      </c>
      <c r="F414" s="214" t="s">
        <v>328</v>
      </c>
      <c r="G414" s="27">
        <v>4</v>
      </c>
      <c r="H414" s="27">
        <v>4</v>
      </c>
      <c r="I414" s="27">
        <v>4</v>
      </c>
      <c r="J414" s="27">
        <v>0</v>
      </c>
      <c r="K414" s="27">
        <v>0</v>
      </c>
      <c r="L414" s="27">
        <v>0</v>
      </c>
      <c r="M414" s="27">
        <v>3.3</v>
      </c>
      <c r="N414" s="27">
        <v>0</v>
      </c>
      <c r="O414" s="27">
        <f t="shared" si="404"/>
        <v>0</v>
      </c>
    </row>
    <row r="415" spans="1:15" ht="31.5">
      <c r="A415" s="24" t="s">
        <v>386</v>
      </c>
      <c r="B415" s="213">
        <v>903</v>
      </c>
      <c r="C415" s="215" t="s">
        <v>352</v>
      </c>
      <c r="D415" s="215" t="s">
        <v>203</v>
      </c>
      <c r="E415" s="215"/>
      <c r="F415" s="215"/>
      <c r="G415" s="22">
        <f t="shared" ref="G415:M415" si="426">G416+G439+G435</f>
        <v>17278.8</v>
      </c>
      <c r="H415" s="22">
        <f t="shared" si="426"/>
        <v>12491.900000000001</v>
      </c>
      <c r="I415" s="22">
        <f t="shared" si="426"/>
        <v>17713.184313725491</v>
      </c>
      <c r="J415" s="22">
        <f t="shared" si="426"/>
        <v>19592.400000000001</v>
      </c>
      <c r="K415" s="22">
        <f t="shared" si="426"/>
        <v>19708.099999999999</v>
      </c>
      <c r="L415" s="22">
        <f t="shared" si="426"/>
        <v>19816.199999999997</v>
      </c>
      <c r="M415" s="22">
        <f t="shared" si="426"/>
        <v>16632.400000000001</v>
      </c>
      <c r="N415" s="22">
        <f t="shared" ref="N415" si="427">N416+N439+N435</f>
        <v>3486.8999999999996</v>
      </c>
      <c r="O415" s="22">
        <f t="shared" si="404"/>
        <v>20.964503018205427</v>
      </c>
    </row>
    <row r="416" spans="1:15" ht="47.25" hidden="1">
      <c r="A416" s="26" t="s">
        <v>387</v>
      </c>
      <c r="B416" s="216">
        <v>903</v>
      </c>
      <c r="C416" s="214" t="s">
        <v>352</v>
      </c>
      <c r="D416" s="214" t="s">
        <v>203</v>
      </c>
      <c r="E416" s="214" t="s">
        <v>388</v>
      </c>
      <c r="F416" s="214"/>
      <c r="G416" s="27">
        <f t="shared" ref="G416:M416" si="428">G417+G423+G429+G420+G426+G432</f>
        <v>125</v>
      </c>
      <c r="H416" s="27">
        <f t="shared" si="428"/>
        <v>0</v>
      </c>
      <c r="I416" s="27">
        <f t="shared" si="428"/>
        <v>125</v>
      </c>
      <c r="J416" s="27">
        <f t="shared" si="428"/>
        <v>0</v>
      </c>
      <c r="K416" s="27">
        <f t="shared" si="428"/>
        <v>0</v>
      </c>
      <c r="L416" s="27">
        <f t="shared" si="428"/>
        <v>0</v>
      </c>
      <c r="M416" s="27">
        <f t="shared" si="428"/>
        <v>0</v>
      </c>
      <c r="N416" s="27">
        <f t="shared" ref="N416" si="429">N417+N423+N429+N420+N426+N432</f>
        <v>0</v>
      </c>
      <c r="O416" s="22" t="e">
        <f t="shared" si="404"/>
        <v>#DIV/0!</v>
      </c>
    </row>
    <row r="417" spans="1:15" ht="31.5" hidden="1" customHeight="1">
      <c r="A417" s="26" t="s">
        <v>389</v>
      </c>
      <c r="B417" s="216">
        <v>903</v>
      </c>
      <c r="C417" s="214" t="s">
        <v>352</v>
      </c>
      <c r="D417" s="214" t="s">
        <v>203</v>
      </c>
      <c r="E417" s="214" t="s">
        <v>390</v>
      </c>
      <c r="F417" s="214"/>
      <c r="G417" s="27">
        <f>G418</f>
        <v>0</v>
      </c>
      <c r="H417" s="27">
        <f>H418</f>
        <v>0</v>
      </c>
      <c r="I417" s="27">
        <f t="shared" ref="I417:L418" si="430">I418</f>
        <v>0</v>
      </c>
      <c r="J417" s="27">
        <f t="shared" si="430"/>
        <v>0</v>
      </c>
      <c r="K417" s="27">
        <f t="shared" si="430"/>
        <v>0</v>
      </c>
      <c r="L417" s="27">
        <f t="shared" si="430"/>
        <v>0</v>
      </c>
      <c r="M417" s="27">
        <f t="shared" ref="M417:N418" si="431">M418</f>
        <v>0</v>
      </c>
      <c r="N417" s="27">
        <f t="shared" si="431"/>
        <v>0</v>
      </c>
      <c r="O417" s="22" t="e">
        <f t="shared" si="404"/>
        <v>#DIV/0!</v>
      </c>
    </row>
    <row r="418" spans="1:15" ht="31.5" hidden="1" customHeight="1">
      <c r="A418" s="26" t="s">
        <v>184</v>
      </c>
      <c r="B418" s="216">
        <v>903</v>
      </c>
      <c r="C418" s="214" t="s">
        <v>352</v>
      </c>
      <c r="D418" s="214" t="s">
        <v>203</v>
      </c>
      <c r="E418" s="214" t="s">
        <v>390</v>
      </c>
      <c r="F418" s="214" t="s">
        <v>185</v>
      </c>
      <c r="G418" s="27">
        <f>G419</f>
        <v>0</v>
      </c>
      <c r="H418" s="27">
        <f>H419</f>
        <v>0</v>
      </c>
      <c r="I418" s="27">
        <f t="shared" si="430"/>
        <v>0</v>
      </c>
      <c r="J418" s="27">
        <f t="shared" si="430"/>
        <v>0</v>
      </c>
      <c r="K418" s="27">
        <f t="shared" si="430"/>
        <v>0</v>
      </c>
      <c r="L418" s="27">
        <f t="shared" si="430"/>
        <v>0</v>
      </c>
      <c r="M418" s="27">
        <f t="shared" si="431"/>
        <v>0</v>
      </c>
      <c r="N418" s="27">
        <f t="shared" si="431"/>
        <v>0</v>
      </c>
      <c r="O418" s="22" t="e">
        <f t="shared" si="404"/>
        <v>#DIV/0!</v>
      </c>
    </row>
    <row r="419" spans="1:15" ht="47.25" hidden="1" customHeight="1">
      <c r="A419" s="26" t="s">
        <v>186</v>
      </c>
      <c r="B419" s="216">
        <v>903</v>
      </c>
      <c r="C419" s="214" t="s">
        <v>352</v>
      </c>
      <c r="D419" s="214" t="s">
        <v>203</v>
      </c>
      <c r="E419" s="214" t="s">
        <v>390</v>
      </c>
      <c r="F419" s="214" t="s">
        <v>187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2" t="e">
        <f t="shared" si="404"/>
        <v>#DIV/0!</v>
      </c>
    </row>
    <row r="420" spans="1:15" ht="47.25" hidden="1" customHeight="1">
      <c r="A420" s="121" t="s">
        <v>931</v>
      </c>
      <c r="B420" s="216">
        <v>903</v>
      </c>
      <c r="C420" s="214" t="s">
        <v>352</v>
      </c>
      <c r="D420" s="214" t="s">
        <v>203</v>
      </c>
      <c r="E420" s="214" t="s">
        <v>390</v>
      </c>
      <c r="F420" s="214"/>
      <c r="G420" s="27">
        <f>G421</f>
        <v>0</v>
      </c>
      <c r="H420" s="27">
        <f t="shared" ref="H420:N421" si="432">H421</f>
        <v>0</v>
      </c>
      <c r="I420" s="27">
        <f t="shared" si="432"/>
        <v>0</v>
      </c>
      <c r="J420" s="27">
        <f t="shared" si="432"/>
        <v>0</v>
      </c>
      <c r="K420" s="27">
        <f t="shared" si="432"/>
        <v>0</v>
      </c>
      <c r="L420" s="27">
        <f t="shared" si="432"/>
        <v>0</v>
      </c>
      <c r="M420" s="27">
        <f t="shared" si="432"/>
        <v>0</v>
      </c>
      <c r="N420" s="27">
        <f t="shared" si="432"/>
        <v>0</v>
      </c>
      <c r="O420" s="22" t="e">
        <f t="shared" si="404"/>
        <v>#DIV/0!</v>
      </c>
    </row>
    <row r="421" spans="1:15" ht="47.25" hidden="1" customHeight="1">
      <c r="A421" s="26" t="s">
        <v>184</v>
      </c>
      <c r="B421" s="216">
        <v>903</v>
      </c>
      <c r="C421" s="214" t="s">
        <v>352</v>
      </c>
      <c r="D421" s="214" t="s">
        <v>203</v>
      </c>
      <c r="E421" s="214" t="s">
        <v>390</v>
      </c>
      <c r="F421" s="214" t="s">
        <v>185</v>
      </c>
      <c r="G421" s="27">
        <f>G422</f>
        <v>0</v>
      </c>
      <c r="H421" s="27">
        <f t="shared" si="432"/>
        <v>0</v>
      </c>
      <c r="I421" s="27">
        <f t="shared" si="432"/>
        <v>0</v>
      </c>
      <c r="J421" s="27">
        <f t="shared" si="432"/>
        <v>0</v>
      </c>
      <c r="K421" s="27">
        <f t="shared" si="432"/>
        <v>0</v>
      </c>
      <c r="L421" s="27">
        <f t="shared" si="432"/>
        <v>0</v>
      </c>
      <c r="M421" s="27">
        <f t="shared" si="432"/>
        <v>0</v>
      </c>
      <c r="N421" s="27">
        <f t="shared" si="432"/>
        <v>0</v>
      </c>
      <c r="O421" s="22" t="e">
        <f t="shared" si="404"/>
        <v>#DIV/0!</v>
      </c>
    </row>
    <row r="422" spans="1:15" ht="47.25" hidden="1" customHeight="1">
      <c r="A422" s="26" t="s">
        <v>186</v>
      </c>
      <c r="B422" s="216">
        <v>903</v>
      </c>
      <c r="C422" s="214" t="s">
        <v>352</v>
      </c>
      <c r="D422" s="214" t="s">
        <v>203</v>
      </c>
      <c r="E422" s="214" t="s">
        <v>390</v>
      </c>
      <c r="F422" s="214" t="s">
        <v>187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2" t="e">
        <f t="shared" si="404"/>
        <v>#DIV/0!</v>
      </c>
    </row>
    <row r="423" spans="1:15" ht="31.5" hidden="1">
      <c r="A423" s="26" t="s">
        <v>391</v>
      </c>
      <c r="B423" s="216">
        <v>903</v>
      </c>
      <c r="C423" s="214" t="s">
        <v>352</v>
      </c>
      <c r="D423" s="214" t="s">
        <v>203</v>
      </c>
      <c r="E423" s="214" t="s">
        <v>392</v>
      </c>
      <c r="F423" s="214"/>
      <c r="G423" s="27">
        <f>G424</f>
        <v>20</v>
      </c>
      <c r="H423" s="27">
        <f>H424</f>
        <v>0</v>
      </c>
      <c r="I423" s="27">
        <f t="shared" ref="I423:L424" si="433">I424</f>
        <v>20</v>
      </c>
      <c r="J423" s="27">
        <f t="shared" si="433"/>
        <v>0</v>
      </c>
      <c r="K423" s="27">
        <f t="shared" si="433"/>
        <v>0</v>
      </c>
      <c r="L423" s="27">
        <f t="shared" si="433"/>
        <v>0</v>
      </c>
      <c r="M423" s="27">
        <f t="shared" ref="M423:N424" si="434">M424</f>
        <v>0</v>
      </c>
      <c r="N423" s="27">
        <f t="shared" si="434"/>
        <v>0</v>
      </c>
      <c r="O423" s="22" t="e">
        <f t="shared" si="404"/>
        <v>#DIV/0!</v>
      </c>
    </row>
    <row r="424" spans="1:15" ht="31.5" hidden="1">
      <c r="A424" s="26" t="s">
        <v>184</v>
      </c>
      <c r="B424" s="216">
        <v>903</v>
      </c>
      <c r="C424" s="214" t="s">
        <v>352</v>
      </c>
      <c r="D424" s="214" t="s">
        <v>203</v>
      </c>
      <c r="E424" s="214" t="s">
        <v>392</v>
      </c>
      <c r="F424" s="214" t="s">
        <v>185</v>
      </c>
      <c r="G424" s="27">
        <f>G425</f>
        <v>20</v>
      </c>
      <c r="H424" s="27">
        <f>H425</f>
        <v>0</v>
      </c>
      <c r="I424" s="27">
        <f t="shared" si="433"/>
        <v>20</v>
      </c>
      <c r="J424" s="27">
        <f t="shared" si="433"/>
        <v>0</v>
      </c>
      <c r="K424" s="27">
        <f t="shared" si="433"/>
        <v>0</v>
      </c>
      <c r="L424" s="27">
        <f t="shared" si="433"/>
        <v>0</v>
      </c>
      <c r="M424" s="27">
        <f t="shared" si="434"/>
        <v>0</v>
      </c>
      <c r="N424" s="27">
        <f t="shared" si="434"/>
        <v>0</v>
      </c>
      <c r="O424" s="22" t="e">
        <f t="shared" si="404"/>
        <v>#DIV/0!</v>
      </c>
    </row>
    <row r="425" spans="1:15" ht="47.25" hidden="1">
      <c r="A425" s="26" t="s">
        <v>186</v>
      </c>
      <c r="B425" s="216">
        <v>903</v>
      </c>
      <c r="C425" s="214" t="s">
        <v>352</v>
      </c>
      <c r="D425" s="214" t="s">
        <v>203</v>
      </c>
      <c r="E425" s="214" t="s">
        <v>392</v>
      </c>
      <c r="F425" s="214" t="s">
        <v>187</v>
      </c>
      <c r="G425" s="27">
        <v>20</v>
      </c>
      <c r="H425" s="27">
        <v>0</v>
      </c>
      <c r="I425" s="27">
        <v>20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2" t="e">
        <f t="shared" si="404"/>
        <v>#DIV/0!</v>
      </c>
    </row>
    <row r="426" spans="1:15" ht="47.25" hidden="1">
      <c r="A426" s="33" t="s">
        <v>932</v>
      </c>
      <c r="B426" s="216">
        <v>903</v>
      </c>
      <c r="C426" s="214" t="s">
        <v>352</v>
      </c>
      <c r="D426" s="214" t="s">
        <v>203</v>
      </c>
      <c r="E426" s="214" t="s">
        <v>929</v>
      </c>
      <c r="F426" s="214"/>
      <c r="G426" s="27">
        <f>G427</f>
        <v>0</v>
      </c>
      <c r="H426" s="27">
        <f t="shared" ref="H426:N427" si="435">H427</f>
        <v>0</v>
      </c>
      <c r="I426" s="27">
        <f t="shared" si="435"/>
        <v>0</v>
      </c>
      <c r="J426" s="27">
        <f t="shared" si="435"/>
        <v>0</v>
      </c>
      <c r="K426" s="27">
        <f t="shared" si="435"/>
        <v>0</v>
      </c>
      <c r="L426" s="27">
        <f t="shared" si="435"/>
        <v>0</v>
      </c>
      <c r="M426" s="27">
        <f t="shared" si="435"/>
        <v>0</v>
      </c>
      <c r="N426" s="27">
        <f t="shared" si="435"/>
        <v>0</v>
      </c>
      <c r="O426" s="22" t="e">
        <f t="shared" si="404"/>
        <v>#DIV/0!</v>
      </c>
    </row>
    <row r="427" spans="1:15" ht="31.5" hidden="1">
      <c r="A427" s="26" t="s">
        <v>184</v>
      </c>
      <c r="B427" s="216">
        <v>903</v>
      </c>
      <c r="C427" s="214" t="s">
        <v>352</v>
      </c>
      <c r="D427" s="214" t="s">
        <v>203</v>
      </c>
      <c r="E427" s="214" t="s">
        <v>929</v>
      </c>
      <c r="F427" s="214" t="s">
        <v>185</v>
      </c>
      <c r="G427" s="27">
        <f>G428</f>
        <v>0</v>
      </c>
      <c r="H427" s="27">
        <f t="shared" si="435"/>
        <v>0</v>
      </c>
      <c r="I427" s="27">
        <f t="shared" si="435"/>
        <v>0</v>
      </c>
      <c r="J427" s="27">
        <f t="shared" si="435"/>
        <v>0</v>
      </c>
      <c r="K427" s="27">
        <f t="shared" si="435"/>
        <v>0</v>
      </c>
      <c r="L427" s="27">
        <f t="shared" si="435"/>
        <v>0</v>
      </c>
      <c r="M427" s="27">
        <f t="shared" si="435"/>
        <v>0</v>
      </c>
      <c r="N427" s="27">
        <f t="shared" si="435"/>
        <v>0</v>
      </c>
      <c r="O427" s="22" t="e">
        <f t="shared" si="404"/>
        <v>#DIV/0!</v>
      </c>
    </row>
    <row r="428" spans="1:15" ht="47.25" hidden="1">
      <c r="A428" s="26" t="s">
        <v>186</v>
      </c>
      <c r="B428" s="216">
        <v>903</v>
      </c>
      <c r="C428" s="214" t="s">
        <v>352</v>
      </c>
      <c r="D428" s="214" t="s">
        <v>203</v>
      </c>
      <c r="E428" s="214" t="s">
        <v>929</v>
      </c>
      <c r="F428" s="214" t="s">
        <v>187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2" t="e">
        <f t="shared" si="404"/>
        <v>#DIV/0!</v>
      </c>
    </row>
    <row r="429" spans="1:15" ht="63" hidden="1">
      <c r="A429" s="26" t="s">
        <v>808</v>
      </c>
      <c r="B429" s="216">
        <v>903</v>
      </c>
      <c r="C429" s="214" t="s">
        <v>352</v>
      </c>
      <c r="D429" s="214" t="s">
        <v>203</v>
      </c>
      <c r="E429" s="214" t="s">
        <v>934</v>
      </c>
      <c r="F429" s="214"/>
      <c r="G429" s="27">
        <f>G430</f>
        <v>105</v>
      </c>
      <c r="H429" s="27">
        <f>H430</f>
        <v>0</v>
      </c>
      <c r="I429" s="27">
        <f t="shared" ref="I429:L430" si="436">I430</f>
        <v>105</v>
      </c>
      <c r="J429" s="27">
        <f t="shared" si="436"/>
        <v>0</v>
      </c>
      <c r="K429" s="27">
        <f t="shared" si="436"/>
        <v>0</v>
      </c>
      <c r="L429" s="27">
        <f t="shared" si="436"/>
        <v>0</v>
      </c>
      <c r="M429" s="27">
        <f t="shared" ref="M429:N430" si="437">M430</f>
        <v>0</v>
      </c>
      <c r="N429" s="27">
        <f t="shared" si="437"/>
        <v>0</v>
      </c>
      <c r="O429" s="22" t="e">
        <f t="shared" si="404"/>
        <v>#DIV/0!</v>
      </c>
    </row>
    <row r="430" spans="1:15" ht="31.5" hidden="1">
      <c r="A430" s="26" t="s">
        <v>184</v>
      </c>
      <c r="B430" s="216">
        <v>903</v>
      </c>
      <c r="C430" s="214" t="s">
        <v>352</v>
      </c>
      <c r="D430" s="214" t="s">
        <v>203</v>
      </c>
      <c r="E430" s="214" t="s">
        <v>934</v>
      </c>
      <c r="F430" s="214" t="s">
        <v>185</v>
      </c>
      <c r="G430" s="27">
        <f>G431</f>
        <v>105</v>
      </c>
      <c r="H430" s="27">
        <f>H431</f>
        <v>0</v>
      </c>
      <c r="I430" s="27">
        <f t="shared" si="436"/>
        <v>105</v>
      </c>
      <c r="J430" s="27">
        <f t="shared" si="436"/>
        <v>0</v>
      </c>
      <c r="K430" s="27">
        <f t="shared" si="436"/>
        <v>0</v>
      </c>
      <c r="L430" s="27">
        <f t="shared" si="436"/>
        <v>0</v>
      </c>
      <c r="M430" s="27">
        <f t="shared" si="437"/>
        <v>0</v>
      </c>
      <c r="N430" s="27">
        <f t="shared" si="437"/>
        <v>0</v>
      </c>
      <c r="O430" s="22" t="e">
        <f t="shared" si="404"/>
        <v>#DIV/0!</v>
      </c>
    </row>
    <row r="431" spans="1:15" ht="47.25" hidden="1">
      <c r="A431" s="26" t="s">
        <v>186</v>
      </c>
      <c r="B431" s="216">
        <v>903</v>
      </c>
      <c r="C431" s="214" t="s">
        <v>352</v>
      </c>
      <c r="D431" s="214" t="s">
        <v>203</v>
      </c>
      <c r="E431" s="214" t="s">
        <v>934</v>
      </c>
      <c r="F431" s="214" t="s">
        <v>187</v>
      </c>
      <c r="G431" s="27">
        <f>55+50</f>
        <v>105</v>
      </c>
      <c r="H431" s="27">
        <v>0</v>
      </c>
      <c r="I431" s="27">
        <f t="shared" ref="I431" si="438">55+50</f>
        <v>105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2" t="e">
        <f t="shared" si="404"/>
        <v>#DIV/0!</v>
      </c>
    </row>
    <row r="432" spans="1:15" ht="31.5" hidden="1">
      <c r="A432" s="33" t="s">
        <v>933</v>
      </c>
      <c r="B432" s="216">
        <v>903</v>
      </c>
      <c r="C432" s="214" t="s">
        <v>352</v>
      </c>
      <c r="D432" s="214" t="s">
        <v>203</v>
      </c>
      <c r="E432" s="214" t="s">
        <v>930</v>
      </c>
      <c r="F432" s="214"/>
      <c r="G432" s="27">
        <f>G433</f>
        <v>0</v>
      </c>
      <c r="H432" s="27">
        <f t="shared" ref="H432:N433" si="439">H433</f>
        <v>0</v>
      </c>
      <c r="I432" s="27">
        <f t="shared" si="439"/>
        <v>0</v>
      </c>
      <c r="J432" s="27">
        <f t="shared" si="439"/>
        <v>0</v>
      </c>
      <c r="K432" s="27">
        <f t="shared" si="439"/>
        <v>0</v>
      </c>
      <c r="L432" s="27">
        <f t="shared" si="439"/>
        <v>0</v>
      </c>
      <c r="M432" s="27">
        <f t="shared" si="439"/>
        <v>0</v>
      </c>
      <c r="N432" s="27">
        <f t="shared" si="439"/>
        <v>0</v>
      </c>
      <c r="O432" s="22" t="e">
        <f t="shared" si="404"/>
        <v>#DIV/0!</v>
      </c>
    </row>
    <row r="433" spans="1:15" ht="31.5" hidden="1">
      <c r="A433" s="26" t="s">
        <v>184</v>
      </c>
      <c r="B433" s="216">
        <v>903</v>
      </c>
      <c r="C433" s="214" t="s">
        <v>352</v>
      </c>
      <c r="D433" s="214" t="s">
        <v>203</v>
      </c>
      <c r="E433" s="214" t="s">
        <v>930</v>
      </c>
      <c r="F433" s="214" t="s">
        <v>185</v>
      </c>
      <c r="G433" s="27">
        <f>G434</f>
        <v>0</v>
      </c>
      <c r="H433" s="27">
        <f t="shared" si="439"/>
        <v>0</v>
      </c>
      <c r="I433" s="27">
        <f t="shared" si="439"/>
        <v>0</v>
      </c>
      <c r="J433" s="27">
        <f t="shared" si="439"/>
        <v>0</v>
      </c>
      <c r="K433" s="27">
        <f t="shared" si="439"/>
        <v>0</v>
      </c>
      <c r="L433" s="27">
        <f t="shared" si="439"/>
        <v>0</v>
      </c>
      <c r="M433" s="27">
        <f t="shared" si="439"/>
        <v>0</v>
      </c>
      <c r="N433" s="27">
        <f t="shared" si="439"/>
        <v>0</v>
      </c>
      <c r="O433" s="22" t="e">
        <f t="shared" si="404"/>
        <v>#DIV/0!</v>
      </c>
    </row>
    <row r="434" spans="1:15" ht="47.25" hidden="1">
      <c r="A434" s="26" t="s">
        <v>186</v>
      </c>
      <c r="B434" s="216">
        <v>903</v>
      </c>
      <c r="C434" s="214" t="s">
        <v>352</v>
      </c>
      <c r="D434" s="214" t="s">
        <v>203</v>
      </c>
      <c r="E434" s="214" t="s">
        <v>930</v>
      </c>
      <c r="F434" s="214" t="s">
        <v>187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2" t="e">
        <f t="shared" si="404"/>
        <v>#DIV/0!</v>
      </c>
    </row>
    <row r="435" spans="1:15" ht="63" hidden="1">
      <c r="A435" s="31" t="s">
        <v>807</v>
      </c>
      <c r="B435" s="216">
        <v>903</v>
      </c>
      <c r="C435" s="214" t="s">
        <v>352</v>
      </c>
      <c r="D435" s="214" t="s">
        <v>203</v>
      </c>
      <c r="E435" s="214" t="s">
        <v>805</v>
      </c>
      <c r="F435" s="214"/>
      <c r="G435" s="27">
        <f>G436</f>
        <v>5</v>
      </c>
      <c r="H435" s="27">
        <f t="shared" ref="H435:H437" si="440">H436</f>
        <v>0</v>
      </c>
      <c r="I435" s="27">
        <f t="shared" ref="I435:L437" si="441">I436</f>
        <v>5</v>
      </c>
      <c r="J435" s="27">
        <f t="shared" si="441"/>
        <v>0</v>
      </c>
      <c r="K435" s="27">
        <f t="shared" si="441"/>
        <v>0</v>
      </c>
      <c r="L435" s="27">
        <f t="shared" si="441"/>
        <v>0</v>
      </c>
      <c r="M435" s="27">
        <f t="shared" ref="M435:N437" si="442">M436</f>
        <v>0</v>
      </c>
      <c r="N435" s="27">
        <f t="shared" si="442"/>
        <v>0</v>
      </c>
      <c r="O435" s="22" t="e">
        <f t="shared" si="404"/>
        <v>#DIV/0!</v>
      </c>
    </row>
    <row r="436" spans="1:15" ht="31.5" hidden="1">
      <c r="A436" s="26" t="s">
        <v>422</v>
      </c>
      <c r="B436" s="216">
        <v>903</v>
      </c>
      <c r="C436" s="214" t="s">
        <v>352</v>
      </c>
      <c r="D436" s="214" t="s">
        <v>203</v>
      </c>
      <c r="E436" s="214" t="s">
        <v>813</v>
      </c>
      <c r="F436" s="214"/>
      <c r="G436" s="27">
        <f>G437</f>
        <v>5</v>
      </c>
      <c r="H436" s="27">
        <f t="shared" si="440"/>
        <v>0</v>
      </c>
      <c r="I436" s="27">
        <f t="shared" si="441"/>
        <v>5</v>
      </c>
      <c r="J436" s="27">
        <f t="shared" si="441"/>
        <v>0</v>
      </c>
      <c r="K436" s="27">
        <f t="shared" si="441"/>
        <v>0</v>
      </c>
      <c r="L436" s="27">
        <f t="shared" si="441"/>
        <v>0</v>
      </c>
      <c r="M436" s="27">
        <f t="shared" si="442"/>
        <v>0</v>
      </c>
      <c r="N436" s="27">
        <f t="shared" si="442"/>
        <v>0</v>
      </c>
      <c r="O436" s="22" t="e">
        <f t="shared" si="404"/>
        <v>#DIV/0!</v>
      </c>
    </row>
    <row r="437" spans="1:15" ht="31.5" hidden="1">
      <c r="A437" s="26" t="s">
        <v>184</v>
      </c>
      <c r="B437" s="216">
        <v>903</v>
      </c>
      <c r="C437" s="214" t="s">
        <v>352</v>
      </c>
      <c r="D437" s="214" t="s">
        <v>203</v>
      </c>
      <c r="E437" s="214" t="s">
        <v>813</v>
      </c>
      <c r="F437" s="214" t="s">
        <v>185</v>
      </c>
      <c r="G437" s="27">
        <f>G438</f>
        <v>5</v>
      </c>
      <c r="H437" s="27">
        <f t="shared" si="440"/>
        <v>0</v>
      </c>
      <c r="I437" s="27">
        <f t="shared" si="441"/>
        <v>5</v>
      </c>
      <c r="J437" s="27">
        <f t="shared" si="441"/>
        <v>0</v>
      </c>
      <c r="K437" s="27">
        <f t="shared" si="441"/>
        <v>0</v>
      </c>
      <c r="L437" s="27">
        <f t="shared" si="441"/>
        <v>0</v>
      </c>
      <c r="M437" s="27">
        <f t="shared" si="442"/>
        <v>0</v>
      </c>
      <c r="N437" s="27">
        <f t="shared" si="442"/>
        <v>0</v>
      </c>
      <c r="O437" s="22" t="e">
        <f t="shared" si="404"/>
        <v>#DIV/0!</v>
      </c>
    </row>
    <row r="438" spans="1:15" ht="47.25" hidden="1">
      <c r="A438" s="26" t="s">
        <v>186</v>
      </c>
      <c r="B438" s="216">
        <v>903</v>
      </c>
      <c r="C438" s="214" t="s">
        <v>352</v>
      </c>
      <c r="D438" s="214" t="s">
        <v>203</v>
      </c>
      <c r="E438" s="214" t="s">
        <v>813</v>
      </c>
      <c r="F438" s="214" t="s">
        <v>187</v>
      </c>
      <c r="G438" s="27">
        <v>5</v>
      </c>
      <c r="H438" s="27">
        <v>0</v>
      </c>
      <c r="I438" s="27">
        <v>5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2" t="e">
        <f t="shared" si="404"/>
        <v>#DIV/0!</v>
      </c>
    </row>
    <row r="439" spans="1:15" ht="15.75">
      <c r="A439" s="26" t="s">
        <v>174</v>
      </c>
      <c r="B439" s="216">
        <v>903</v>
      </c>
      <c r="C439" s="214" t="s">
        <v>352</v>
      </c>
      <c r="D439" s="214" t="s">
        <v>203</v>
      </c>
      <c r="E439" s="214" t="s">
        <v>175</v>
      </c>
      <c r="F439" s="214"/>
      <c r="G439" s="27">
        <f t="shared" ref="G439:L439" si="443">G440+G446</f>
        <v>17148.8</v>
      </c>
      <c r="H439" s="27">
        <f t="shared" si="443"/>
        <v>12491.900000000001</v>
      </c>
      <c r="I439" s="27">
        <f t="shared" si="443"/>
        <v>17583.184313725491</v>
      </c>
      <c r="J439" s="27">
        <f t="shared" si="443"/>
        <v>19592.400000000001</v>
      </c>
      <c r="K439" s="27">
        <f t="shared" si="443"/>
        <v>19708.099999999999</v>
      </c>
      <c r="L439" s="27">
        <f t="shared" si="443"/>
        <v>19816.199999999997</v>
      </c>
      <c r="M439" s="27">
        <f t="shared" ref="M439:N439" si="444">M440+M446</f>
        <v>16632.400000000001</v>
      </c>
      <c r="N439" s="27">
        <f t="shared" si="444"/>
        <v>3486.8999999999996</v>
      </c>
      <c r="O439" s="27">
        <f t="shared" si="404"/>
        <v>20.964503018205427</v>
      </c>
    </row>
    <row r="440" spans="1:15" ht="31.5">
      <c r="A440" s="26" t="s">
        <v>176</v>
      </c>
      <c r="B440" s="216">
        <v>903</v>
      </c>
      <c r="C440" s="214" t="s">
        <v>352</v>
      </c>
      <c r="D440" s="214" t="s">
        <v>203</v>
      </c>
      <c r="E440" s="214" t="s">
        <v>177</v>
      </c>
      <c r="F440" s="214"/>
      <c r="G440" s="27">
        <f>G441</f>
        <v>6754.9</v>
      </c>
      <c r="H440" s="27">
        <f>H441</f>
        <v>5148.5</v>
      </c>
      <c r="I440" s="27">
        <f t="shared" ref="I440:L440" si="445">I441</f>
        <v>7268.4705882352946</v>
      </c>
      <c r="J440" s="27">
        <f t="shared" si="445"/>
        <v>8328</v>
      </c>
      <c r="K440" s="27">
        <f t="shared" si="445"/>
        <v>8328</v>
      </c>
      <c r="L440" s="27">
        <f t="shared" si="445"/>
        <v>8328</v>
      </c>
      <c r="M440" s="27">
        <f t="shared" ref="M440:N440" si="446">M441</f>
        <v>6254.9</v>
      </c>
      <c r="N440" s="27">
        <f t="shared" si="446"/>
        <v>1622.2</v>
      </c>
      <c r="O440" s="27">
        <f t="shared" si="404"/>
        <v>25.934867064221649</v>
      </c>
    </row>
    <row r="441" spans="1:15" ht="47.25">
      <c r="A441" s="26" t="s">
        <v>178</v>
      </c>
      <c r="B441" s="216">
        <v>903</v>
      </c>
      <c r="C441" s="214" t="s">
        <v>352</v>
      </c>
      <c r="D441" s="214" t="s">
        <v>203</v>
      </c>
      <c r="E441" s="214" t="s">
        <v>179</v>
      </c>
      <c r="F441" s="214"/>
      <c r="G441" s="27">
        <f t="shared" ref="G441:L441" si="447">G442+G444</f>
        <v>6754.9</v>
      </c>
      <c r="H441" s="27">
        <f t="shared" si="447"/>
        <v>5148.5</v>
      </c>
      <c r="I441" s="27">
        <f t="shared" si="447"/>
        <v>7268.4705882352946</v>
      </c>
      <c r="J441" s="27">
        <f t="shared" si="447"/>
        <v>8328</v>
      </c>
      <c r="K441" s="27">
        <f t="shared" si="447"/>
        <v>8328</v>
      </c>
      <c r="L441" s="27">
        <f t="shared" si="447"/>
        <v>8328</v>
      </c>
      <c r="M441" s="27">
        <f t="shared" ref="M441:N441" si="448">M442+M444</f>
        <v>6254.9</v>
      </c>
      <c r="N441" s="27">
        <f t="shared" si="448"/>
        <v>1622.2</v>
      </c>
      <c r="O441" s="27">
        <f t="shared" si="404"/>
        <v>25.934867064221649</v>
      </c>
    </row>
    <row r="442" spans="1:15" ht="94.5">
      <c r="A442" s="26" t="s">
        <v>180</v>
      </c>
      <c r="B442" s="216">
        <v>903</v>
      </c>
      <c r="C442" s="214" t="s">
        <v>352</v>
      </c>
      <c r="D442" s="214" t="s">
        <v>203</v>
      </c>
      <c r="E442" s="214" t="s">
        <v>179</v>
      </c>
      <c r="F442" s="214" t="s">
        <v>181</v>
      </c>
      <c r="G442" s="27">
        <f>G443</f>
        <v>6754.9</v>
      </c>
      <c r="H442" s="27">
        <f>H443</f>
        <v>5148.5</v>
      </c>
      <c r="I442" s="27">
        <f t="shared" ref="I442:L442" si="449">I443</f>
        <v>7268.4705882352946</v>
      </c>
      <c r="J442" s="27">
        <f t="shared" si="449"/>
        <v>8114</v>
      </c>
      <c r="K442" s="27">
        <f t="shared" si="449"/>
        <v>8114</v>
      </c>
      <c r="L442" s="27">
        <f t="shared" si="449"/>
        <v>8114</v>
      </c>
      <c r="M442" s="27">
        <f t="shared" ref="M442:N442" si="450">M443</f>
        <v>6254.9</v>
      </c>
      <c r="N442" s="27">
        <f t="shared" si="450"/>
        <v>1622.2</v>
      </c>
      <c r="O442" s="27">
        <f t="shared" si="404"/>
        <v>25.934867064221649</v>
      </c>
    </row>
    <row r="443" spans="1:15" ht="31.5">
      <c r="A443" s="26" t="s">
        <v>182</v>
      </c>
      <c r="B443" s="216">
        <v>903</v>
      </c>
      <c r="C443" s="214" t="s">
        <v>352</v>
      </c>
      <c r="D443" s="214" t="s">
        <v>203</v>
      </c>
      <c r="E443" s="214" t="s">
        <v>179</v>
      </c>
      <c r="F443" s="214" t="s">
        <v>183</v>
      </c>
      <c r="G443" s="28">
        <v>6754.9</v>
      </c>
      <c r="H443" s="28">
        <v>5148.5</v>
      </c>
      <c r="I443" s="28">
        <f>H443/8.5*12</f>
        <v>7268.4705882352946</v>
      </c>
      <c r="J443" s="28">
        <v>8114</v>
      </c>
      <c r="K443" s="28">
        <f>J443</f>
        <v>8114</v>
      </c>
      <c r="L443" s="28">
        <f>K443</f>
        <v>8114</v>
      </c>
      <c r="M443" s="28">
        <v>6254.9</v>
      </c>
      <c r="N443" s="28">
        <v>1622.2</v>
      </c>
      <c r="O443" s="27">
        <f t="shared" si="404"/>
        <v>25.934867064221649</v>
      </c>
    </row>
    <row r="444" spans="1:15" ht="31.5" hidden="1" customHeight="1">
      <c r="A444" s="26" t="s">
        <v>184</v>
      </c>
      <c r="B444" s="216">
        <v>903</v>
      </c>
      <c r="C444" s="214" t="s">
        <v>352</v>
      </c>
      <c r="D444" s="214" t="s">
        <v>203</v>
      </c>
      <c r="E444" s="214" t="s">
        <v>179</v>
      </c>
      <c r="F444" s="214" t="s">
        <v>185</v>
      </c>
      <c r="G444" s="27">
        <f t="shared" ref="G444:L444" si="451">G445</f>
        <v>0</v>
      </c>
      <c r="H444" s="27">
        <f t="shared" si="451"/>
        <v>0</v>
      </c>
      <c r="I444" s="27">
        <f t="shared" si="451"/>
        <v>0</v>
      </c>
      <c r="J444" s="27">
        <f t="shared" si="451"/>
        <v>214</v>
      </c>
      <c r="K444" s="27">
        <f t="shared" si="451"/>
        <v>214</v>
      </c>
      <c r="L444" s="27">
        <f t="shared" si="451"/>
        <v>214</v>
      </c>
      <c r="M444" s="27">
        <f t="shared" ref="M444:N444" si="452">M445</f>
        <v>0</v>
      </c>
      <c r="N444" s="27">
        <f t="shared" si="452"/>
        <v>0</v>
      </c>
      <c r="O444" s="27" t="e">
        <f t="shared" si="404"/>
        <v>#DIV/0!</v>
      </c>
    </row>
    <row r="445" spans="1:15" ht="47.25" hidden="1" customHeight="1">
      <c r="A445" s="26" t="s">
        <v>186</v>
      </c>
      <c r="B445" s="216">
        <v>903</v>
      </c>
      <c r="C445" s="214" t="s">
        <v>352</v>
      </c>
      <c r="D445" s="214" t="s">
        <v>203</v>
      </c>
      <c r="E445" s="214" t="s">
        <v>179</v>
      </c>
      <c r="F445" s="214" t="s">
        <v>187</v>
      </c>
      <c r="G445" s="27">
        <v>0</v>
      </c>
      <c r="H445" s="27">
        <v>0</v>
      </c>
      <c r="I445" s="27">
        <v>0</v>
      </c>
      <c r="J445" s="27">
        <v>214</v>
      </c>
      <c r="K445" s="27">
        <f>J445</f>
        <v>214</v>
      </c>
      <c r="L445" s="27">
        <f>K445</f>
        <v>214</v>
      </c>
      <c r="M445" s="27">
        <v>0</v>
      </c>
      <c r="N445" s="27">
        <v>0</v>
      </c>
      <c r="O445" s="27" t="e">
        <f t="shared" si="404"/>
        <v>#DIV/0!</v>
      </c>
    </row>
    <row r="446" spans="1:15" ht="15.75">
      <c r="A446" s="26" t="s">
        <v>194</v>
      </c>
      <c r="B446" s="216">
        <v>903</v>
      </c>
      <c r="C446" s="214" t="s">
        <v>352</v>
      </c>
      <c r="D446" s="214" t="s">
        <v>203</v>
      </c>
      <c r="E446" s="214" t="s">
        <v>195</v>
      </c>
      <c r="F446" s="214"/>
      <c r="G446" s="27">
        <f>G447</f>
        <v>10393.9</v>
      </c>
      <c r="H446" s="27">
        <f>H447</f>
        <v>7343.4000000000005</v>
      </c>
      <c r="I446" s="27">
        <f t="shared" ref="I446:L446" si="453">I447</f>
        <v>10314.713725490197</v>
      </c>
      <c r="J446" s="27">
        <f t="shared" si="453"/>
        <v>11264.400000000001</v>
      </c>
      <c r="K446" s="27">
        <f t="shared" si="453"/>
        <v>11380.099999999999</v>
      </c>
      <c r="L446" s="27">
        <f t="shared" si="453"/>
        <v>11488.199999999999</v>
      </c>
      <c r="M446" s="27">
        <f t="shared" ref="M446:N446" si="454">M447</f>
        <v>10377.5</v>
      </c>
      <c r="N446" s="27">
        <f t="shared" si="454"/>
        <v>1864.6999999999998</v>
      </c>
      <c r="O446" s="27">
        <f t="shared" si="404"/>
        <v>17.96868224524211</v>
      </c>
    </row>
    <row r="447" spans="1:15" ht="31.5">
      <c r="A447" s="26" t="s">
        <v>393</v>
      </c>
      <c r="B447" s="216">
        <v>903</v>
      </c>
      <c r="C447" s="214" t="s">
        <v>352</v>
      </c>
      <c r="D447" s="214" t="s">
        <v>203</v>
      </c>
      <c r="E447" s="214" t="s">
        <v>394</v>
      </c>
      <c r="F447" s="214"/>
      <c r="G447" s="27">
        <f t="shared" ref="G447:L447" si="455">G448+G450+G452</f>
        <v>10393.9</v>
      </c>
      <c r="H447" s="27">
        <f t="shared" si="455"/>
        <v>7343.4000000000005</v>
      </c>
      <c r="I447" s="27">
        <f t="shared" si="455"/>
        <v>10314.713725490197</v>
      </c>
      <c r="J447" s="27">
        <f t="shared" si="455"/>
        <v>11264.400000000001</v>
      </c>
      <c r="K447" s="27">
        <f t="shared" si="455"/>
        <v>11380.099999999999</v>
      </c>
      <c r="L447" s="27">
        <f t="shared" si="455"/>
        <v>11488.199999999999</v>
      </c>
      <c r="M447" s="27">
        <f t="shared" ref="M447:N447" si="456">M448+M450+M452</f>
        <v>10377.5</v>
      </c>
      <c r="N447" s="27">
        <f t="shared" si="456"/>
        <v>1864.6999999999998</v>
      </c>
      <c r="O447" s="27">
        <f t="shared" si="404"/>
        <v>17.96868224524211</v>
      </c>
    </row>
    <row r="448" spans="1:15" ht="94.5">
      <c r="A448" s="26" t="s">
        <v>180</v>
      </c>
      <c r="B448" s="216">
        <v>903</v>
      </c>
      <c r="C448" s="214" t="s">
        <v>352</v>
      </c>
      <c r="D448" s="214" t="s">
        <v>203</v>
      </c>
      <c r="E448" s="214" t="s">
        <v>394</v>
      </c>
      <c r="F448" s="214" t="s">
        <v>181</v>
      </c>
      <c r="G448" s="27">
        <f>G449</f>
        <v>8721.4</v>
      </c>
      <c r="H448" s="27">
        <f>H449</f>
        <v>6453.8</v>
      </c>
      <c r="I448" s="27">
        <f t="shared" ref="I448:L448" si="457">I449</f>
        <v>9111.2470588235301</v>
      </c>
      <c r="J448" s="27">
        <f t="shared" si="457"/>
        <v>9109.2000000000007</v>
      </c>
      <c r="K448" s="27">
        <f t="shared" si="457"/>
        <v>9200.2999999999993</v>
      </c>
      <c r="L448" s="27">
        <f t="shared" si="457"/>
        <v>9292.2999999999993</v>
      </c>
      <c r="M448" s="27">
        <f t="shared" ref="M448:N448" si="458">M449</f>
        <v>8721.4</v>
      </c>
      <c r="N448" s="27">
        <f t="shared" si="458"/>
        <v>1606.6</v>
      </c>
      <c r="O448" s="27">
        <f t="shared" si="404"/>
        <v>18.421354369711285</v>
      </c>
    </row>
    <row r="449" spans="1:18" ht="31.5">
      <c r="A449" s="26" t="s">
        <v>395</v>
      </c>
      <c r="B449" s="216">
        <v>903</v>
      </c>
      <c r="C449" s="214" t="s">
        <v>352</v>
      </c>
      <c r="D449" s="214" t="s">
        <v>203</v>
      </c>
      <c r="E449" s="214" t="s">
        <v>394</v>
      </c>
      <c r="F449" s="214" t="s">
        <v>262</v>
      </c>
      <c r="G449" s="28">
        <f>8596.3-84.9+210</f>
        <v>8721.4</v>
      </c>
      <c r="H449" s="28">
        <v>6453.8</v>
      </c>
      <c r="I449" s="28">
        <f>H449/8.5*12</f>
        <v>9111.2470588235301</v>
      </c>
      <c r="J449" s="28">
        <v>9109.2000000000007</v>
      </c>
      <c r="K449" s="28">
        <v>9200.2999999999993</v>
      </c>
      <c r="L449" s="28">
        <v>9292.2999999999993</v>
      </c>
      <c r="M449" s="28">
        <f t="shared" ref="M449" si="459">8596.3-84.9+210</f>
        <v>8721.4</v>
      </c>
      <c r="N449" s="28">
        <v>1606.6</v>
      </c>
      <c r="O449" s="27">
        <f t="shared" si="404"/>
        <v>18.421354369711285</v>
      </c>
    </row>
    <row r="450" spans="1:18" ht="31.5">
      <c r="A450" s="26" t="s">
        <v>184</v>
      </c>
      <c r="B450" s="216">
        <v>903</v>
      </c>
      <c r="C450" s="214" t="s">
        <v>352</v>
      </c>
      <c r="D450" s="214" t="s">
        <v>203</v>
      </c>
      <c r="E450" s="214" t="s">
        <v>394</v>
      </c>
      <c r="F450" s="214" t="s">
        <v>185</v>
      </c>
      <c r="G450" s="27">
        <f>G451</f>
        <v>1652.5</v>
      </c>
      <c r="H450" s="27">
        <f>H451</f>
        <v>887.6</v>
      </c>
      <c r="I450" s="27">
        <f t="shared" ref="I450:L450" si="460">I451</f>
        <v>1183.4666666666667</v>
      </c>
      <c r="J450" s="27">
        <f t="shared" si="460"/>
        <v>2135.1999999999998</v>
      </c>
      <c r="K450" s="27">
        <f t="shared" si="460"/>
        <v>2159.8000000000002</v>
      </c>
      <c r="L450" s="27">
        <f t="shared" si="460"/>
        <v>2175.9</v>
      </c>
      <c r="M450" s="27">
        <f t="shared" ref="M450:N450" si="461">M451</f>
        <v>1636.1</v>
      </c>
      <c r="N450" s="27">
        <f t="shared" si="461"/>
        <v>256</v>
      </c>
      <c r="O450" s="27">
        <f t="shared" si="404"/>
        <v>15.646965344416602</v>
      </c>
    </row>
    <row r="451" spans="1:18" ht="47.25">
      <c r="A451" s="26" t="s">
        <v>186</v>
      </c>
      <c r="B451" s="216">
        <v>903</v>
      </c>
      <c r="C451" s="214" t="s">
        <v>352</v>
      </c>
      <c r="D451" s="214" t="s">
        <v>203</v>
      </c>
      <c r="E451" s="214" t="s">
        <v>394</v>
      </c>
      <c r="F451" s="214" t="s">
        <v>187</v>
      </c>
      <c r="G451" s="28">
        <f>1663.9+135.6-147</f>
        <v>1652.5</v>
      </c>
      <c r="H451" s="28">
        <v>887.6</v>
      </c>
      <c r="I451" s="28">
        <f>H451/9*12</f>
        <v>1183.4666666666667</v>
      </c>
      <c r="J451" s="28">
        <f>2155.2-J453</f>
        <v>2135.1999999999998</v>
      </c>
      <c r="K451" s="28">
        <f>2179.8-K453</f>
        <v>2159.8000000000002</v>
      </c>
      <c r="L451" s="28">
        <f>2195.9-L453</f>
        <v>2175.9</v>
      </c>
      <c r="M451" s="28">
        <v>1636.1</v>
      </c>
      <c r="N451" s="28">
        <v>256</v>
      </c>
      <c r="O451" s="27">
        <f t="shared" si="404"/>
        <v>15.646965344416602</v>
      </c>
    </row>
    <row r="452" spans="1:18" ht="15.75">
      <c r="A452" s="26" t="s">
        <v>188</v>
      </c>
      <c r="B452" s="216">
        <v>903</v>
      </c>
      <c r="C452" s="214" t="s">
        <v>352</v>
      </c>
      <c r="D452" s="214" t="s">
        <v>203</v>
      </c>
      <c r="E452" s="214" t="s">
        <v>394</v>
      </c>
      <c r="F452" s="214" t="s">
        <v>198</v>
      </c>
      <c r="G452" s="27">
        <f>G453</f>
        <v>20</v>
      </c>
      <c r="H452" s="27">
        <f>H453</f>
        <v>2</v>
      </c>
      <c r="I452" s="27">
        <f t="shared" ref="I452:L452" si="462">I453</f>
        <v>20</v>
      </c>
      <c r="J452" s="27">
        <f t="shared" si="462"/>
        <v>20</v>
      </c>
      <c r="K452" s="27">
        <f t="shared" si="462"/>
        <v>20</v>
      </c>
      <c r="L452" s="27">
        <f t="shared" si="462"/>
        <v>20</v>
      </c>
      <c r="M452" s="27">
        <f t="shared" ref="M452:N452" si="463">M453</f>
        <v>20</v>
      </c>
      <c r="N452" s="27">
        <f t="shared" si="463"/>
        <v>2.1</v>
      </c>
      <c r="O452" s="27">
        <f t="shared" si="404"/>
        <v>10.500000000000002</v>
      </c>
    </row>
    <row r="453" spans="1:18" ht="15.75">
      <c r="A453" s="26" t="s">
        <v>622</v>
      </c>
      <c r="B453" s="216">
        <v>903</v>
      </c>
      <c r="C453" s="214" t="s">
        <v>352</v>
      </c>
      <c r="D453" s="214" t="s">
        <v>203</v>
      </c>
      <c r="E453" s="214" t="s">
        <v>394</v>
      </c>
      <c r="F453" s="214" t="s">
        <v>191</v>
      </c>
      <c r="G453" s="27">
        <v>20</v>
      </c>
      <c r="H453" s="27">
        <v>2</v>
      </c>
      <c r="I453" s="27">
        <v>20</v>
      </c>
      <c r="J453" s="27">
        <v>20</v>
      </c>
      <c r="K453" s="27">
        <v>20</v>
      </c>
      <c r="L453" s="27">
        <v>20</v>
      </c>
      <c r="M453" s="27">
        <v>20</v>
      </c>
      <c r="N453" s="27">
        <v>2.1</v>
      </c>
      <c r="O453" s="27">
        <f t="shared" si="404"/>
        <v>10.500000000000002</v>
      </c>
    </row>
    <row r="454" spans="1:18" ht="15.75">
      <c r="A454" s="24" t="s">
        <v>296</v>
      </c>
      <c r="B454" s="213">
        <v>903</v>
      </c>
      <c r="C454" s="215" t="s">
        <v>297</v>
      </c>
      <c r="D454" s="215"/>
      <c r="E454" s="215"/>
      <c r="F454" s="215"/>
      <c r="G454" s="22">
        <f>G455</f>
        <v>4625</v>
      </c>
      <c r="H454" s="22">
        <f t="shared" ref="H454:L454" si="464">H455</f>
        <v>2188</v>
      </c>
      <c r="I454" s="22">
        <f t="shared" si="464"/>
        <v>4625</v>
      </c>
      <c r="J454" s="22">
        <f t="shared" si="464"/>
        <v>5185</v>
      </c>
      <c r="K454" s="22">
        <f t="shared" si="464"/>
        <v>5300</v>
      </c>
      <c r="L454" s="22">
        <f t="shared" si="464"/>
        <v>5345</v>
      </c>
      <c r="M454" s="22">
        <f t="shared" ref="M454:N454" si="465">M455</f>
        <v>3753</v>
      </c>
      <c r="N454" s="22">
        <f t="shared" si="465"/>
        <v>727.8</v>
      </c>
      <c r="O454" s="22">
        <f t="shared" si="404"/>
        <v>19.392486011191046</v>
      </c>
    </row>
    <row r="455" spans="1:18" ht="15.75">
      <c r="A455" s="24" t="s">
        <v>305</v>
      </c>
      <c r="B455" s="213">
        <v>903</v>
      </c>
      <c r="C455" s="215" t="s">
        <v>297</v>
      </c>
      <c r="D455" s="215" t="s">
        <v>268</v>
      </c>
      <c r="E455" s="215"/>
      <c r="F455" s="215"/>
      <c r="G455" s="22">
        <f t="shared" ref="G455:L455" si="466">G456+G512</f>
        <v>4625</v>
      </c>
      <c r="H455" s="22">
        <f t="shared" ref="H455" si="467">H456+H512</f>
        <v>2188</v>
      </c>
      <c r="I455" s="22">
        <f t="shared" si="466"/>
        <v>4625</v>
      </c>
      <c r="J455" s="22">
        <f t="shared" si="466"/>
        <v>5185</v>
      </c>
      <c r="K455" s="22">
        <f t="shared" si="466"/>
        <v>5300</v>
      </c>
      <c r="L455" s="22">
        <f t="shared" si="466"/>
        <v>5345</v>
      </c>
      <c r="M455" s="22">
        <f t="shared" ref="M455:N455" si="468">M456+M512</f>
        <v>3753</v>
      </c>
      <c r="N455" s="22">
        <f t="shared" si="468"/>
        <v>727.8</v>
      </c>
      <c r="O455" s="22">
        <f t="shared" si="404"/>
        <v>19.392486011191046</v>
      </c>
      <c r="P455" s="138"/>
    </row>
    <row r="456" spans="1:18" ht="47.25">
      <c r="A456" s="26" t="s">
        <v>396</v>
      </c>
      <c r="B456" s="216">
        <v>903</v>
      </c>
      <c r="C456" s="214" t="s">
        <v>297</v>
      </c>
      <c r="D456" s="214" t="s">
        <v>268</v>
      </c>
      <c r="E456" s="214" t="s">
        <v>397</v>
      </c>
      <c r="F456" s="214"/>
      <c r="G456" s="27">
        <f>G457+G468+G472+G476+G482+G486+G490+G508</f>
        <v>3693</v>
      </c>
      <c r="H456" s="27">
        <f>H457+H468+H472+H476+H482+H486+H490+H508</f>
        <v>2188</v>
      </c>
      <c r="I456" s="27">
        <f t="shared" ref="I456:L456" si="469">I457+I468+I472+I476+I482+I486+I490+I508</f>
        <v>3693</v>
      </c>
      <c r="J456" s="27">
        <f t="shared" si="469"/>
        <v>5185</v>
      </c>
      <c r="K456" s="27">
        <f t="shared" si="469"/>
        <v>5300</v>
      </c>
      <c r="L456" s="27">
        <f t="shared" si="469"/>
        <v>5345</v>
      </c>
      <c r="M456" s="27">
        <f t="shared" ref="M456:N456" si="470">M457+M468+M472+M476+M482+M486+M490+M508</f>
        <v>3753</v>
      </c>
      <c r="N456" s="27">
        <f t="shared" si="470"/>
        <v>727.8</v>
      </c>
      <c r="O456" s="27">
        <f t="shared" si="404"/>
        <v>19.392486011191046</v>
      </c>
      <c r="P456" s="133"/>
      <c r="Q456" s="140"/>
      <c r="R456" s="140"/>
    </row>
    <row r="457" spans="1:18" ht="31.5">
      <c r="A457" s="26" t="s">
        <v>398</v>
      </c>
      <c r="B457" s="216">
        <v>903</v>
      </c>
      <c r="C457" s="214" t="s">
        <v>297</v>
      </c>
      <c r="D457" s="214" t="s">
        <v>268</v>
      </c>
      <c r="E457" s="214" t="s">
        <v>399</v>
      </c>
      <c r="F457" s="214"/>
      <c r="G457" s="27">
        <f>G461+G465+G464</f>
        <v>935</v>
      </c>
      <c r="H457" s="27">
        <f>H461+H465+H464</f>
        <v>561.29999999999995</v>
      </c>
      <c r="I457" s="27">
        <f t="shared" ref="I457:L457" si="471">I461+I465+I464</f>
        <v>935</v>
      </c>
      <c r="J457" s="27">
        <f t="shared" si="471"/>
        <v>985</v>
      </c>
      <c r="K457" s="27">
        <f t="shared" si="471"/>
        <v>1020</v>
      </c>
      <c r="L457" s="27">
        <f t="shared" si="471"/>
        <v>1035</v>
      </c>
      <c r="M457" s="27">
        <f>M458+M466</f>
        <v>1000</v>
      </c>
      <c r="N457" s="27">
        <f t="shared" ref="N457" si="472">N458+N466</f>
        <v>152.9</v>
      </c>
      <c r="O457" s="27">
        <f t="shared" si="404"/>
        <v>15.290000000000001</v>
      </c>
    </row>
    <row r="458" spans="1:18" ht="31.5">
      <c r="A458" s="26" t="s">
        <v>210</v>
      </c>
      <c r="B458" s="216">
        <v>903</v>
      </c>
      <c r="C458" s="214" t="s">
        <v>297</v>
      </c>
      <c r="D458" s="214" t="s">
        <v>268</v>
      </c>
      <c r="E458" s="214" t="s">
        <v>400</v>
      </c>
      <c r="F458" s="214"/>
      <c r="G458" s="27"/>
      <c r="H458" s="27"/>
      <c r="I458" s="27"/>
      <c r="J458" s="27"/>
      <c r="K458" s="27"/>
      <c r="L458" s="27"/>
      <c r="M458" s="27">
        <f>M461+M460+M463</f>
        <v>731.4</v>
      </c>
      <c r="N458" s="27">
        <f t="shared" ref="N458" si="473">N461+N460+N463</f>
        <v>152.9</v>
      </c>
      <c r="O458" s="27">
        <f t="shared" si="404"/>
        <v>20.905113480995354</v>
      </c>
    </row>
    <row r="459" spans="1:18" ht="94.5">
      <c r="A459" s="26" t="s">
        <v>180</v>
      </c>
      <c r="B459" s="216">
        <v>903</v>
      </c>
      <c r="C459" s="214" t="s">
        <v>297</v>
      </c>
      <c r="D459" s="214" t="s">
        <v>268</v>
      </c>
      <c r="E459" s="214" t="s">
        <v>400</v>
      </c>
      <c r="F459" s="214" t="s">
        <v>181</v>
      </c>
      <c r="G459" s="27"/>
      <c r="H459" s="27"/>
      <c r="I459" s="27"/>
      <c r="J459" s="27"/>
      <c r="K459" s="27"/>
      <c r="L459" s="27"/>
      <c r="M459" s="27">
        <f>M460</f>
        <v>40</v>
      </c>
      <c r="N459" s="27">
        <f t="shared" ref="N459" si="474">N460</f>
        <v>5</v>
      </c>
      <c r="O459" s="27">
        <f t="shared" si="404"/>
        <v>12.5</v>
      </c>
    </row>
    <row r="460" spans="1:18" ht="31.5">
      <c r="A460" s="26" t="s">
        <v>395</v>
      </c>
      <c r="B460" s="216">
        <v>903</v>
      </c>
      <c r="C460" s="214" t="s">
        <v>297</v>
      </c>
      <c r="D460" s="214" t="s">
        <v>268</v>
      </c>
      <c r="E460" s="214" t="s">
        <v>400</v>
      </c>
      <c r="F460" s="214" t="s">
        <v>262</v>
      </c>
      <c r="G460" s="27"/>
      <c r="H460" s="27"/>
      <c r="I460" s="27"/>
      <c r="J460" s="27"/>
      <c r="K460" s="27"/>
      <c r="L460" s="27"/>
      <c r="M460" s="27">
        <f>40</f>
        <v>40</v>
      </c>
      <c r="N460" s="27">
        <v>5</v>
      </c>
      <c r="O460" s="27">
        <f t="shared" si="404"/>
        <v>12.5</v>
      </c>
    </row>
    <row r="461" spans="1:18" ht="31.5">
      <c r="A461" s="26" t="s">
        <v>184</v>
      </c>
      <c r="B461" s="216">
        <v>903</v>
      </c>
      <c r="C461" s="214" t="s">
        <v>297</v>
      </c>
      <c r="D461" s="214" t="s">
        <v>268</v>
      </c>
      <c r="E461" s="214" t="s">
        <v>400</v>
      </c>
      <c r="F461" s="214" t="s">
        <v>185</v>
      </c>
      <c r="G461" s="27">
        <f>G462</f>
        <v>641.4</v>
      </c>
      <c r="H461" s="27">
        <f>H462</f>
        <v>267.7</v>
      </c>
      <c r="I461" s="27">
        <f t="shared" ref="I461:L461" si="475">I462</f>
        <v>641.4</v>
      </c>
      <c r="J461" s="27">
        <f t="shared" si="475"/>
        <v>641.4</v>
      </c>
      <c r="K461" s="27">
        <f t="shared" si="475"/>
        <v>641.4</v>
      </c>
      <c r="L461" s="27">
        <f t="shared" si="475"/>
        <v>641.4</v>
      </c>
      <c r="M461" s="27">
        <f t="shared" ref="M461:N461" si="476">M462</f>
        <v>666.4</v>
      </c>
      <c r="N461" s="27">
        <f t="shared" si="476"/>
        <v>122.9</v>
      </c>
      <c r="O461" s="27">
        <f t="shared" ref="O461:O524" si="477">N461/M461*100</f>
        <v>18.442376950780314</v>
      </c>
    </row>
    <row r="462" spans="1:18" ht="47.25">
      <c r="A462" s="26" t="s">
        <v>186</v>
      </c>
      <c r="B462" s="216">
        <v>903</v>
      </c>
      <c r="C462" s="214" t="s">
        <v>297</v>
      </c>
      <c r="D462" s="214" t="s">
        <v>268</v>
      </c>
      <c r="E462" s="214" t="s">
        <v>400</v>
      </c>
      <c r="F462" s="214" t="s">
        <v>187</v>
      </c>
      <c r="G462" s="27">
        <f>669.4-3-25</f>
        <v>641.4</v>
      </c>
      <c r="H462" s="27">
        <v>267.7</v>
      </c>
      <c r="I462" s="27">
        <f t="shared" ref="I462:L462" si="478">669.4-3-25</f>
        <v>641.4</v>
      </c>
      <c r="J462" s="27">
        <f t="shared" si="478"/>
        <v>641.4</v>
      </c>
      <c r="K462" s="27">
        <f t="shared" si="478"/>
        <v>641.4</v>
      </c>
      <c r="L462" s="27">
        <f t="shared" si="478"/>
        <v>641.4</v>
      </c>
      <c r="M462" s="27">
        <f>706.4-40</f>
        <v>666.4</v>
      </c>
      <c r="N462" s="27">
        <v>122.9</v>
      </c>
      <c r="O462" s="27">
        <f t="shared" si="477"/>
        <v>18.442376950780314</v>
      </c>
    </row>
    <row r="463" spans="1:18" ht="31.5">
      <c r="A463" s="26" t="s">
        <v>301</v>
      </c>
      <c r="B463" s="216">
        <v>903</v>
      </c>
      <c r="C463" s="214" t="s">
        <v>297</v>
      </c>
      <c r="D463" s="214" t="s">
        <v>268</v>
      </c>
      <c r="E463" s="214" t="s">
        <v>400</v>
      </c>
      <c r="F463" s="214" t="s">
        <v>302</v>
      </c>
      <c r="G463" s="27">
        <f t="shared" ref="G463:L463" si="479">G464</f>
        <v>25</v>
      </c>
      <c r="H463" s="27">
        <f t="shared" si="479"/>
        <v>25</v>
      </c>
      <c r="I463" s="27">
        <f t="shared" si="479"/>
        <v>25</v>
      </c>
      <c r="J463" s="27">
        <f t="shared" si="479"/>
        <v>75</v>
      </c>
      <c r="K463" s="27">
        <f t="shared" si="479"/>
        <v>110</v>
      </c>
      <c r="L463" s="27">
        <f t="shared" si="479"/>
        <v>125</v>
      </c>
      <c r="M463" s="27">
        <f t="shared" ref="M463:N463" si="480">M464</f>
        <v>25</v>
      </c>
      <c r="N463" s="27">
        <f t="shared" si="480"/>
        <v>25</v>
      </c>
      <c r="O463" s="27">
        <f t="shared" si="477"/>
        <v>100</v>
      </c>
    </row>
    <row r="464" spans="1:18" ht="31.5">
      <c r="A464" s="26" t="s">
        <v>401</v>
      </c>
      <c r="B464" s="216">
        <v>903</v>
      </c>
      <c r="C464" s="214" t="s">
        <v>297</v>
      </c>
      <c r="D464" s="214" t="s">
        <v>268</v>
      </c>
      <c r="E464" s="214" t="s">
        <v>400</v>
      </c>
      <c r="F464" s="214" t="s">
        <v>402</v>
      </c>
      <c r="G464" s="27">
        <v>25</v>
      </c>
      <c r="H464" s="27">
        <v>25</v>
      </c>
      <c r="I464" s="27">
        <v>25</v>
      </c>
      <c r="J464" s="27">
        <v>75</v>
      </c>
      <c r="K464" s="27">
        <v>110</v>
      </c>
      <c r="L464" s="27">
        <v>125</v>
      </c>
      <c r="M464" s="27">
        <v>25</v>
      </c>
      <c r="N464" s="27">
        <v>25</v>
      </c>
      <c r="O464" s="27">
        <f t="shared" si="477"/>
        <v>100</v>
      </c>
    </row>
    <row r="465" spans="1:15" ht="31.5">
      <c r="A465" s="26" t="s">
        <v>403</v>
      </c>
      <c r="B465" s="216">
        <v>903</v>
      </c>
      <c r="C465" s="214" t="s">
        <v>297</v>
      </c>
      <c r="D465" s="214" t="s">
        <v>268</v>
      </c>
      <c r="E465" s="214" t="s">
        <v>404</v>
      </c>
      <c r="F465" s="214"/>
      <c r="G465" s="27">
        <f>G466</f>
        <v>268.60000000000002</v>
      </c>
      <c r="H465" s="27">
        <f>H466</f>
        <v>268.60000000000002</v>
      </c>
      <c r="I465" s="27">
        <f t="shared" ref="I465:L466" si="481">I466</f>
        <v>268.60000000000002</v>
      </c>
      <c r="J465" s="27">
        <f t="shared" si="481"/>
        <v>268.60000000000002</v>
      </c>
      <c r="K465" s="27">
        <f t="shared" si="481"/>
        <v>268.60000000000002</v>
      </c>
      <c r="L465" s="27">
        <f t="shared" si="481"/>
        <v>268.60000000000002</v>
      </c>
      <c r="M465" s="27">
        <f t="shared" ref="M465:N466" si="482">M466</f>
        <v>268.60000000000002</v>
      </c>
      <c r="N465" s="27">
        <f t="shared" si="482"/>
        <v>0</v>
      </c>
      <c r="O465" s="27">
        <f t="shared" si="477"/>
        <v>0</v>
      </c>
    </row>
    <row r="466" spans="1:15" ht="47.25">
      <c r="A466" s="26" t="s">
        <v>325</v>
      </c>
      <c r="B466" s="216">
        <v>903</v>
      </c>
      <c r="C466" s="214" t="s">
        <v>297</v>
      </c>
      <c r="D466" s="214" t="s">
        <v>268</v>
      </c>
      <c r="E466" s="214" t="s">
        <v>404</v>
      </c>
      <c r="F466" s="214" t="s">
        <v>326</v>
      </c>
      <c r="G466" s="27">
        <f>G467</f>
        <v>268.60000000000002</v>
      </c>
      <c r="H466" s="27">
        <f>H467</f>
        <v>268.60000000000002</v>
      </c>
      <c r="I466" s="27">
        <f t="shared" si="481"/>
        <v>268.60000000000002</v>
      </c>
      <c r="J466" s="27">
        <f t="shared" si="481"/>
        <v>268.60000000000002</v>
      </c>
      <c r="K466" s="27">
        <f t="shared" si="481"/>
        <v>268.60000000000002</v>
      </c>
      <c r="L466" s="27">
        <f t="shared" si="481"/>
        <v>268.60000000000002</v>
      </c>
      <c r="M466" s="27">
        <f t="shared" si="482"/>
        <v>268.60000000000002</v>
      </c>
      <c r="N466" s="27">
        <f t="shared" si="482"/>
        <v>0</v>
      </c>
      <c r="O466" s="27">
        <f t="shared" si="477"/>
        <v>0</v>
      </c>
    </row>
    <row r="467" spans="1:15" ht="15.75">
      <c r="A467" s="26" t="s">
        <v>327</v>
      </c>
      <c r="B467" s="216">
        <v>903</v>
      </c>
      <c r="C467" s="214" t="s">
        <v>297</v>
      </c>
      <c r="D467" s="214" t="s">
        <v>268</v>
      </c>
      <c r="E467" s="214" t="s">
        <v>404</v>
      </c>
      <c r="F467" s="214" t="s">
        <v>328</v>
      </c>
      <c r="G467" s="27">
        <f>160.5+108.1</f>
        <v>268.60000000000002</v>
      </c>
      <c r="H467" s="27">
        <f>160.5+108.1</f>
        <v>268.60000000000002</v>
      </c>
      <c r="I467" s="27">
        <f t="shared" ref="I467:L467" si="483">160.5+108.1</f>
        <v>268.60000000000002</v>
      </c>
      <c r="J467" s="27">
        <f t="shared" si="483"/>
        <v>268.60000000000002</v>
      </c>
      <c r="K467" s="27">
        <f t="shared" si="483"/>
        <v>268.60000000000002</v>
      </c>
      <c r="L467" s="27">
        <f t="shared" si="483"/>
        <v>268.60000000000002</v>
      </c>
      <c r="M467" s="27">
        <f t="shared" ref="M467" si="484">160.5+108.1</f>
        <v>268.60000000000002</v>
      </c>
      <c r="N467" s="27">
        <v>0</v>
      </c>
      <c r="O467" s="27">
        <f t="shared" si="477"/>
        <v>0</v>
      </c>
    </row>
    <row r="468" spans="1:15" ht="31.5">
      <c r="A468" s="26" t="s">
        <v>405</v>
      </c>
      <c r="B468" s="216">
        <v>903</v>
      </c>
      <c r="C468" s="214" t="s">
        <v>297</v>
      </c>
      <c r="D468" s="214" t="s">
        <v>268</v>
      </c>
      <c r="E468" s="214" t="s">
        <v>406</v>
      </c>
      <c r="F468" s="214"/>
      <c r="G468" s="27">
        <f>G469</f>
        <v>63</v>
      </c>
      <c r="H468" s="27">
        <f t="shared" ref="H468:H470" si="485">H469</f>
        <v>0</v>
      </c>
      <c r="I468" s="27">
        <f t="shared" ref="I468:L470" si="486">I469</f>
        <v>63</v>
      </c>
      <c r="J468" s="27">
        <f t="shared" si="486"/>
        <v>63</v>
      </c>
      <c r="K468" s="27">
        <f t="shared" si="486"/>
        <v>63</v>
      </c>
      <c r="L468" s="27">
        <f t="shared" si="486"/>
        <v>63</v>
      </c>
      <c r="M468" s="27">
        <f t="shared" ref="M468:N470" si="487">M469</f>
        <v>148.4</v>
      </c>
      <c r="N468" s="27">
        <f t="shared" si="487"/>
        <v>0</v>
      </c>
      <c r="O468" s="27">
        <f t="shared" si="477"/>
        <v>0</v>
      </c>
    </row>
    <row r="469" spans="1:15" ht="31.5">
      <c r="A469" s="26" t="s">
        <v>210</v>
      </c>
      <c r="B469" s="216">
        <v>903</v>
      </c>
      <c r="C469" s="214" t="s">
        <v>297</v>
      </c>
      <c r="D469" s="214" t="s">
        <v>268</v>
      </c>
      <c r="E469" s="214" t="s">
        <v>407</v>
      </c>
      <c r="F469" s="214"/>
      <c r="G469" s="27">
        <f>G470</f>
        <v>63</v>
      </c>
      <c r="H469" s="27">
        <f t="shared" si="485"/>
        <v>0</v>
      </c>
      <c r="I469" s="27">
        <f t="shared" si="486"/>
        <v>63</v>
      </c>
      <c r="J469" s="27">
        <f t="shared" si="486"/>
        <v>63</v>
      </c>
      <c r="K469" s="27">
        <f t="shared" si="486"/>
        <v>63</v>
      </c>
      <c r="L469" s="27">
        <f t="shared" si="486"/>
        <v>63</v>
      </c>
      <c r="M469" s="27">
        <f t="shared" si="487"/>
        <v>148.4</v>
      </c>
      <c r="N469" s="27">
        <f t="shared" si="487"/>
        <v>0</v>
      </c>
      <c r="O469" s="27">
        <f t="shared" si="477"/>
        <v>0</v>
      </c>
    </row>
    <row r="470" spans="1:15" ht="31.5">
      <c r="A470" s="26" t="s">
        <v>301</v>
      </c>
      <c r="B470" s="216">
        <v>903</v>
      </c>
      <c r="C470" s="214" t="s">
        <v>297</v>
      </c>
      <c r="D470" s="214" t="s">
        <v>268</v>
      </c>
      <c r="E470" s="214" t="s">
        <v>407</v>
      </c>
      <c r="F470" s="214" t="s">
        <v>302</v>
      </c>
      <c r="G470" s="27">
        <f>G471</f>
        <v>63</v>
      </c>
      <c r="H470" s="27">
        <f t="shared" si="485"/>
        <v>0</v>
      </c>
      <c r="I470" s="27">
        <f t="shared" si="486"/>
        <v>63</v>
      </c>
      <c r="J470" s="27">
        <f t="shared" si="486"/>
        <v>63</v>
      </c>
      <c r="K470" s="27">
        <f t="shared" si="486"/>
        <v>63</v>
      </c>
      <c r="L470" s="27">
        <f t="shared" si="486"/>
        <v>63</v>
      </c>
      <c r="M470" s="27">
        <f t="shared" si="487"/>
        <v>148.4</v>
      </c>
      <c r="N470" s="27">
        <f t="shared" si="487"/>
        <v>0</v>
      </c>
      <c r="O470" s="27">
        <f t="shared" si="477"/>
        <v>0</v>
      </c>
    </row>
    <row r="471" spans="1:15" ht="31.5">
      <c r="A471" s="26" t="s">
        <v>303</v>
      </c>
      <c r="B471" s="216">
        <v>903</v>
      </c>
      <c r="C471" s="214" t="s">
        <v>297</v>
      </c>
      <c r="D471" s="214" t="s">
        <v>268</v>
      </c>
      <c r="E471" s="214" t="s">
        <v>407</v>
      </c>
      <c r="F471" s="214" t="s">
        <v>304</v>
      </c>
      <c r="G471" s="27">
        <f>60+3</f>
        <v>63</v>
      </c>
      <c r="H471" s="27">
        <v>0</v>
      </c>
      <c r="I471" s="27">
        <f t="shared" ref="I471:L471" si="488">60+3</f>
        <v>63</v>
      </c>
      <c r="J471" s="27">
        <f t="shared" si="488"/>
        <v>63</v>
      </c>
      <c r="K471" s="27">
        <f t="shared" si="488"/>
        <v>63</v>
      </c>
      <c r="L471" s="27">
        <f t="shared" si="488"/>
        <v>63</v>
      </c>
      <c r="M471" s="27">
        <v>148.4</v>
      </c>
      <c r="N471" s="27">
        <v>0</v>
      </c>
      <c r="O471" s="27">
        <f t="shared" si="477"/>
        <v>0</v>
      </c>
    </row>
    <row r="472" spans="1:15" ht="31.5">
      <c r="A472" s="26" t="s">
        <v>408</v>
      </c>
      <c r="B472" s="216">
        <v>903</v>
      </c>
      <c r="C472" s="216">
        <v>10</v>
      </c>
      <c r="D472" s="214" t="s">
        <v>268</v>
      </c>
      <c r="E472" s="214" t="s">
        <v>409</v>
      </c>
      <c r="F472" s="214"/>
      <c r="G472" s="27">
        <f t="shared" ref="G472:L474" si="489">G473</f>
        <v>420</v>
      </c>
      <c r="H472" s="27">
        <f t="shared" si="489"/>
        <v>300</v>
      </c>
      <c r="I472" s="27">
        <f t="shared" si="489"/>
        <v>420</v>
      </c>
      <c r="J472" s="27">
        <f t="shared" si="489"/>
        <v>420</v>
      </c>
      <c r="K472" s="27">
        <f t="shared" si="489"/>
        <v>420</v>
      </c>
      <c r="L472" s="27">
        <f t="shared" si="489"/>
        <v>420</v>
      </c>
      <c r="M472" s="27">
        <f t="shared" ref="M472:N474" si="490">M473</f>
        <v>420</v>
      </c>
      <c r="N472" s="27">
        <f t="shared" si="490"/>
        <v>110</v>
      </c>
      <c r="O472" s="27">
        <f t="shared" si="477"/>
        <v>26.190476190476193</v>
      </c>
    </row>
    <row r="473" spans="1:15" ht="31.5">
      <c r="A473" s="26" t="s">
        <v>210</v>
      </c>
      <c r="B473" s="216">
        <v>903</v>
      </c>
      <c r="C473" s="214" t="s">
        <v>297</v>
      </c>
      <c r="D473" s="214" t="s">
        <v>268</v>
      </c>
      <c r="E473" s="214" t="s">
        <v>410</v>
      </c>
      <c r="F473" s="214"/>
      <c r="G473" s="27">
        <f>G474</f>
        <v>420</v>
      </c>
      <c r="H473" s="27">
        <f>H474</f>
        <v>300</v>
      </c>
      <c r="I473" s="27">
        <f t="shared" si="489"/>
        <v>420</v>
      </c>
      <c r="J473" s="27">
        <f t="shared" si="489"/>
        <v>420</v>
      </c>
      <c r="K473" s="27">
        <f t="shared" si="489"/>
        <v>420</v>
      </c>
      <c r="L473" s="27">
        <f t="shared" si="489"/>
        <v>420</v>
      </c>
      <c r="M473" s="27">
        <f t="shared" si="490"/>
        <v>420</v>
      </c>
      <c r="N473" s="27">
        <f t="shared" si="490"/>
        <v>110</v>
      </c>
      <c r="O473" s="27">
        <f t="shared" si="477"/>
        <v>26.190476190476193</v>
      </c>
    </row>
    <row r="474" spans="1:15" ht="31.5">
      <c r="A474" s="26" t="s">
        <v>301</v>
      </c>
      <c r="B474" s="216">
        <v>903</v>
      </c>
      <c r="C474" s="214" t="s">
        <v>297</v>
      </c>
      <c r="D474" s="214" t="s">
        <v>268</v>
      </c>
      <c r="E474" s="214" t="s">
        <v>410</v>
      </c>
      <c r="F474" s="214" t="s">
        <v>302</v>
      </c>
      <c r="G474" s="27">
        <f t="shared" si="489"/>
        <v>420</v>
      </c>
      <c r="H474" s="27">
        <f t="shared" si="489"/>
        <v>300</v>
      </c>
      <c r="I474" s="27">
        <f t="shared" si="489"/>
        <v>420</v>
      </c>
      <c r="J474" s="27">
        <f t="shared" si="489"/>
        <v>420</v>
      </c>
      <c r="K474" s="27">
        <f t="shared" si="489"/>
        <v>420</v>
      </c>
      <c r="L474" s="27">
        <f t="shared" si="489"/>
        <v>420</v>
      </c>
      <c r="M474" s="27">
        <f t="shared" si="490"/>
        <v>420</v>
      </c>
      <c r="N474" s="27">
        <f t="shared" si="490"/>
        <v>110</v>
      </c>
      <c r="O474" s="27">
        <f t="shared" si="477"/>
        <v>26.190476190476193</v>
      </c>
    </row>
    <row r="475" spans="1:15" ht="31.5">
      <c r="A475" s="26" t="s">
        <v>401</v>
      </c>
      <c r="B475" s="216">
        <v>903</v>
      </c>
      <c r="C475" s="214" t="s">
        <v>297</v>
      </c>
      <c r="D475" s="214" t="s">
        <v>268</v>
      </c>
      <c r="E475" s="214" t="s">
        <v>410</v>
      </c>
      <c r="F475" s="214" t="s">
        <v>402</v>
      </c>
      <c r="G475" s="27">
        <v>420</v>
      </c>
      <c r="H475" s="27">
        <v>300</v>
      </c>
      <c r="I475" s="27">
        <v>420</v>
      </c>
      <c r="J475" s="27">
        <v>420</v>
      </c>
      <c r="K475" s="27">
        <v>420</v>
      </c>
      <c r="L475" s="27">
        <v>420</v>
      </c>
      <c r="M475" s="27">
        <v>420</v>
      </c>
      <c r="N475" s="27">
        <v>110</v>
      </c>
      <c r="O475" s="27">
        <f t="shared" si="477"/>
        <v>26.190476190476193</v>
      </c>
    </row>
    <row r="476" spans="1:15" ht="15.75">
      <c r="A476" s="26" t="s">
        <v>411</v>
      </c>
      <c r="B476" s="216">
        <v>903</v>
      </c>
      <c r="C476" s="216">
        <v>10</v>
      </c>
      <c r="D476" s="214" t="s">
        <v>268</v>
      </c>
      <c r="E476" s="214" t="s">
        <v>412</v>
      </c>
      <c r="F476" s="214"/>
      <c r="G476" s="27">
        <f>G477</f>
        <v>1595</v>
      </c>
      <c r="H476" s="27">
        <f>H477</f>
        <v>919.3</v>
      </c>
      <c r="I476" s="27">
        <f t="shared" ref="I476:L476" si="491">I477</f>
        <v>1595</v>
      </c>
      <c r="J476" s="27">
        <f t="shared" si="491"/>
        <v>1595</v>
      </c>
      <c r="K476" s="27">
        <f t="shared" si="491"/>
        <v>1595</v>
      </c>
      <c r="L476" s="27">
        <f t="shared" si="491"/>
        <v>1595</v>
      </c>
      <c r="M476" s="27">
        <f t="shared" ref="M476:N476" si="492">M477</f>
        <v>1504.6</v>
      </c>
      <c r="N476" s="27">
        <f t="shared" si="492"/>
        <v>331.2</v>
      </c>
      <c r="O476" s="27">
        <f t="shared" si="477"/>
        <v>22.012495015286458</v>
      </c>
    </row>
    <row r="477" spans="1:15" ht="31.5">
      <c r="A477" s="26" t="s">
        <v>210</v>
      </c>
      <c r="B477" s="216">
        <v>903</v>
      </c>
      <c r="C477" s="214" t="s">
        <v>297</v>
      </c>
      <c r="D477" s="214" t="s">
        <v>268</v>
      </c>
      <c r="E477" s="214" t="s">
        <v>413</v>
      </c>
      <c r="F477" s="214"/>
      <c r="G477" s="27">
        <f>G478+G480</f>
        <v>1595</v>
      </c>
      <c r="H477" s="27">
        <f>H478+H480</f>
        <v>919.3</v>
      </c>
      <c r="I477" s="27">
        <f t="shared" ref="I477:L477" si="493">I478+I480</f>
        <v>1595</v>
      </c>
      <c r="J477" s="27">
        <f t="shared" si="493"/>
        <v>1595</v>
      </c>
      <c r="K477" s="27">
        <f t="shared" si="493"/>
        <v>1595</v>
      </c>
      <c r="L477" s="27">
        <f t="shared" si="493"/>
        <v>1595</v>
      </c>
      <c r="M477" s="27">
        <f t="shared" ref="M477:N477" si="494">M478+M480</f>
        <v>1504.6</v>
      </c>
      <c r="N477" s="27">
        <f t="shared" si="494"/>
        <v>331.2</v>
      </c>
      <c r="O477" s="27">
        <f t="shared" si="477"/>
        <v>22.012495015286458</v>
      </c>
    </row>
    <row r="478" spans="1:15" ht="31.5">
      <c r="A478" s="26" t="s">
        <v>184</v>
      </c>
      <c r="B478" s="216">
        <v>903</v>
      </c>
      <c r="C478" s="214" t="s">
        <v>297</v>
      </c>
      <c r="D478" s="214" t="s">
        <v>268</v>
      </c>
      <c r="E478" s="214" t="s">
        <v>413</v>
      </c>
      <c r="F478" s="214" t="s">
        <v>185</v>
      </c>
      <c r="G478" s="27">
        <f>G479</f>
        <v>547</v>
      </c>
      <c r="H478" s="27">
        <f>H479</f>
        <v>40.299999999999997</v>
      </c>
      <c r="I478" s="27">
        <f t="shared" ref="I478:L478" si="495">I479</f>
        <v>547</v>
      </c>
      <c r="J478" s="27">
        <f t="shared" si="495"/>
        <v>547</v>
      </c>
      <c r="K478" s="27">
        <f t="shared" si="495"/>
        <v>547</v>
      </c>
      <c r="L478" s="27">
        <f t="shared" si="495"/>
        <v>547</v>
      </c>
      <c r="M478" s="27">
        <f t="shared" ref="M478:N478" si="496">M479</f>
        <v>456.6</v>
      </c>
      <c r="N478" s="27">
        <f t="shared" si="496"/>
        <v>0</v>
      </c>
      <c r="O478" s="27">
        <f t="shared" si="477"/>
        <v>0</v>
      </c>
    </row>
    <row r="479" spans="1:15" ht="47.25">
      <c r="A479" s="26" t="s">
        <v>186</v>
      </c>
      <c r="B479" s="216">
        <v>903</v>
      </c>
      <c r="C479" s="214" t="s">
        <v>297</v>
      </c>
      <c r="D479" s="214" t="s">
        <v>268</v>
      </c>
      <c r="E479" s="214" t="s">
        <v>413</v>
      </c>
      <c r="F479" s="214" t="s">
        <v>187</v>
      </c>
      <c r="G479" s="27">
        <f>552-50+45</f>
        <v>547</v>
      </c>
      <c r="H479" s="27">
        <v>40.299999999999997</v>
      </c>
      <c r="I479" s="27">
        <f t="shared" ref="I479:L479" si="497">552-50+45</f>
        <v>547</v>
      </c>
      <c r="J479" s="27">
        <f t="shared" si="497"/>
        <v>547</v>
      </c>
      <c r="K479" s="27">
        <f t="shared" si="497"/>
        <v>547</v>
      </c>
      <c r="L479" s="27">
        <f t="shared" si="497"/>
        <v>547</v>
      </c>
      <c r="M479" s="27">
        <v>456.6</v>
      </c>
      <c r="N479" s="27">
        <v>0</v>
      </c>
      <c r="O479" s="27">
        <f t="shared" si="477"/>
        <v>0</v>
      </c>
    </row>
    <row r="480" spans="1:15" ht="31.5">
      <c r="A480" s="26" t="s">
        <v>301</v>
      </c>
      <c r="B480" s="216">
        <v>903</v>
      </c>
      <c r="C480" s="214" t="s">
        <v>297</v>
      </c>
      <c r="D480" s="214" t="s">
        <v>268</v>
      </c>
      <c r="E480" s="214" t="s">
        <v>413</v>
      </c>
      <c r="F480" s="214" t="s">
        <v>302</v>
      </c>
      <c r="G480" s="27">
        <f>G481</f>
        <v>1048</v>
      </c>
      <c r="H480" s="27">
        <f>H481</f>
        <v>879</v>
      </c>
      <c r="I480" s="27">
        <f t="shared" ref="I480:L480" si="498">I481</f>
        <v>1048</v>
      </c>
      <c r="J480" s="27">
        <f t="shared" si="498"/>
        <v>1048</v>
      </c>
      <c r="K480" s="27">
        <f t="shared" si="498"/>
        <v>1048</v>
      </c>
      <c r="L480" s="27">
        <f t="shared" si="498"/>
        <v>1048</v>
      </c>
      <c r="M480" s="27">
        <f t="shared" ref="M480:N480" si="499">M481</f>
        <v>1048</v>
      </c>
      <c r="N480" s="27">
        <f t="shared" si="499"/>
        <v>331.2</v>
      </c>
      <c r="O480" s="27">
        <f t="shared" si="477"/>
        <v>31.603053435114504</v>
      </c>
    </row>
    <row r="481" spans="1:15" ht="31.5">
      <c r="A481" s="26" t="s">
        <v>401</v>
      </c>
      <c r="B481" s="216">
        <v>903</v>
      </c>
      <c r="C481" s="214" t="s">
        <v>297</v>
      </c>
      <c r="D481" s="214" t="s">
        <v>268</v>
      </c>
      <c r="E481" s="214" t="s">
        <v>413</v>
      </c>
      <c r="F481" s="214" t="s">
        <v>402</v>
      </c>
      <c r="G481" s="27">
        <v>1048</v>
      </c>
      <c r="H481" s="27">
        <v>879</v>
      </c>
      <c r="I481" s="27">
        <v>1048</v>
      </c>
      <c r="J481" s="27">
        <v>1048</v>
      </c>
      <c r="K481" s="27">
        <v>1048</v>
      </c>
      <c r="L481" s="27">
        <v>1048</v>
      </c>
      <c r="M481" s="27">
        <v>1048</v>
      </c>
      <c r="N481" s="27">
        <v>331.2</v>
      </c>
      <c r="O481" s="27">
        <f t="shared" si="477"/>
        <v>31.603053435114504</v>
      </c>
    </row>
    <row r="482" spans="1:15" ht="37.5" customHeight="1">
      <c r="A482" s="26" t="s">
        <v>414</v>
      </c>
      <c r="B482" s="216">
        <v>903</v>
      </c>
      <c r="C482" s="214" t="s">
        <v>297</v>
      </c>
      <c r="D482" s="214" t="s">
        <v>268</v>
      </c>
      <c r="E482" s="214" t="s">
        <v>415</v>
      </c>
      <c r="F482" s="214"/>
      <c r="G482" s="27">
        <f>G483</f>
        <v>335</v>
      </c>
      <c r="H482" s="27">
        <f t="shared" ref="H482:H484" si="500">H483</f>
        <v>200</v>
      </c>
      <c r="I482" s="27">
        <f t="shared" ref="I482:L484" si="501">I483</f>
        <v>335</v>
      </c>
      <c r="J482" s="27">
        <f t="shared" si="501"/>
        <v>1882</v>
      </c>
      <c r="K482" s="27">
        <f t="shared" si="501"/>
        <v>1962</v>
      </c>
      <c r="L482" s="27">
        <f t="shared" si="501"/>
        <v>1992</v>
      </c>
      <c r="M482" s="27">
        <f t="shared" ref="M482:N484" si="502">M483</f>
        <v>250</v>
      </c>
      <c r="N482" s="27">
        <f t="shared" si="502"/>
        <v>120</v>
      </c>
      <c r="O482" s="27">
        <f t="shared" si="477"/>
        <v>48</v>
      </c>
    </row>
    <row r="483" spans="1:15" ht="31.5">
      <c r="A483" s="26" t="s">
        <v>210</v>
      </c>
      <c r="B483" s="216">
        <v>903</v>
      </c>
      <c r="C483" s="214" t="s">
        <v>297</v>
      </c>
      <c r="D483" s="214" t="s">
        <v>268</v>
      </c>
      <c r="E483" s="214" t="s">
        <v>416</v>
      </c>
      <c r="F483" s="214"/>
      <c r="G483" s="27">
        <f>G484</f>
        <v>335</v>
      </c>
      <c r="H483" s="27">
        <f t="shared" si="500"/>
        <v>200</v>
      </c>
      <c r="I483" s="27">
        <f t="shared" si="501"/>
        <v>335</v>
      </c>
      <c r="J483" s="27">
        <f t="shared" si="501"/>
        <v>1882</v>
      </c>
      <c r="K483" s="27">
        <f t="shared" si="501"/>
        <v>1962</v>
      </c>
      <c r="L483" s="27">
        <f t="shared" si="501"/>
        <v>1992</v>
      </c>
      <c r="M483" s="27">
        <f t="shared" si="502"/>
        <v>250</v>
      </c>
      <c r="N483" s="27">
        <f t="shared" si="502"/>
        <v>120</v>
      </c>
      <c r="O483" s="27">
        <f t="shared" si="477"/>
        <v>48</v>
      </c>
    </row>
    <row r="484" spans="1:15" ht="31.5">
      <c r="A484" s="26" t="s">
        <v>301</v>
      </c>
      <c r="B484" s="216">
        <v>903</v>
      </c>
      <c r="C484" s="214" t="s">
        <v>297</v>
      </c>
      <c r="D484" s="214" t="s">
        <v>268</v>
      </c>
      <c r="E484" s="214" t="s">
        <v>416</v>
      </c>
      <c r="F484" s="214" t="s">
        <v>302</v>
      </c>
      <c r="G484" s="27">
        <f>G485</f>
        <v>335</v>
      </c>
      <c r="H484" s="27">
        <f t="shared" si="500"/>
        <v>200</v>
      </c>
      <c r="I484" s="27">
        <f t="shared" si="501"/>
        <v>335</v>
      </c>
      <c r="J484" s="27">
        <f t="shared" si="501"/>
        <v>1882</v>
      </c>
      <c r="K484" s="27">
        <f t="shared" si="501"/>
        <v>1962</v>
      </c>
      <c r="L484" s="27">
        <f t="shared" si="501"/>
        <v>1992</v>
      </c>
      <c r="M484" s="27">
        <f t="shared" si="502"/>
        <v>250</v>
      </c>
      <c r="N484" s="27">
        <f t="shared" si="502"/>
        <v>120</v>
      </c>
      <c r="O484" s="27">
        <f t="shared" si="477"/>
        <v>48</v>
      </c>
    </row>
    <row r="485" spans="1:15" ht="31.5">
      <c r="A485" s="26" t="s">
        <v>401</v>
      </c>
      <c r="B485" s="216">
        <v>903</v>
      </c>
      <c r="C485" s="214" t="s">
        <v>297</v>
      </c>
      <c r="D485" s="214" t="s">
        <v>268</v>
      </c>
      <c r="E485" s="214" t="s">
        <v>416</v>
      </c>
      <c r="F485" s="214" t="s">
        <v>402</v>
      </c>
      <c r="G485" s="27">
        <f>400-65</f>
        <v>335</v>
      </c>
      <c r="H485" s="27">
        <v>200</v>
      </c>
      <c r="I485" s="27">
        <f t="shared" ref="I485" si="503">400-65</f>
        <v>335</v>
      </c>
      <c r="J485" s="27">
        <f>400-65+1442+60+45</f>
        <v>1882</v>
      </c>
      <c r="K485" s="27">
        <f>400-65+1522+60+45</f>
        <v>1962</v>
      </c>
      <c r="L485" s="27">
        <f>400-65+1552+60+45</f>
        <v>1992</v>
      </c>
      <c r="M485" s="27">
        <v>250</v>
      </c>
      <c r="N485" s="27">
        <v>120</v>
      </c>
      <c r="O485" s="27">
        <f t="shared" si="477"/>
        <v>48</v>
      </c>
    </row>
    <row r="486" spans="1:15" ht="49.5" customHeight="1">
      <c r="A486" s="26" t="s">
        <v>417</v>
      </c>
      <c r="B486" s="216">
        <v>903</v>
      </c>
      <c r="C486" s="214" t="s">
        <v>297</v>
      </c>
      <c r="D486" s="214" t="s">
        <v>268</v>
      </c>
      <c r="E486" s="214" t="s">
        <v>418</v>
      </c>
      <c r="F486" s="214"/>
      <c r="G486" s="27">
        <f>G487</f>
        <v>210</v>
      </c>
      <c r="H486" s="27">
        <f t="shared" ref="H486:H488" si="504">H487</f>
        <v>112.8</v>
      </c>
      <c r="I486" s="27">
        <f t="shared" ref="I486:L488" si="505">I487</f>
        <v>210</v>
      </c>
      <c r="J486" s="27">
        <f t="shared" si="505"/>
        <v>210</v>
      </c>
      <c r="K486" s="27">
        <f t="shared" si="505"/>
        <v>210</v>
      </c>
      <c r="L486" s="27">
        <f t="shared" si="505"/>
        <v>210</v>
      </c>
      <c r="M486" s="27">
        <f t="shared" ref="M486:N488" si="506">M487</f>
        <v>210</v>
      </c>
      <c r="N486" s="27">
        <f t="shared" si="506"/>
        <v>0</v>
      </c>
      <c r="O486" s="27">
        <f t="shared" si="477"/>
        <v>0</v>
      </c>
    </row>
    <row r="487" spans="1:15" ht="31.5">
      <c r="A487" s="26" t="s">
        <v>210</v>
      </c>
      <c r="B487" s="216">
        <v>903</v>
      </c>
      <c r="C487" s="214" t="s">
        <v>297</v>
      </c>
      <c r="D487" s="214" t="s">
        <v>268</v>
      </c>
      <c r="E487" s="214" t="s">
        <v>419</v>
      </c>
      <c r="F487" s="214"/>
      <c r="G487" s="27">
        <f>G488</f>
        <v>210</v>
      </c>
      <c r="H487" s="27">
        <f t="shared" si="504"/>
        <v>112.8</v>
      </c>
      <c r="I487" s="27">
        <f t="shared" si="505"/>
        <v>210</v>
      </c>
      <c r="J487" s="27">
        <f t="shared" si="505"/>
        <v>210</v>
      </c>
      <c r="K487" s="27">
        <f t="shared" si="505"/>
        <v>210</v>
      </c>
      <c r="L487" s="27">
        <f t="shared" si="505"/>
        <v>210</v>
      </c>
      <c r="M487" s="27">
        <f t="shared" si="506"/>
        <v>210</v>
      </c>
      <c r="N487" s="27">
        <f t="shared" si="506"/>
        <v>0</v>
      </c>
      <c r="O487" s="27">
        <f t="shared" si="477"/>
        <v>0</v>
      </c>
    </row>
    <row r="488" spans="1:15" ht="31.5">
      <c r="A488" s="26" t="s">
        <v>184</v>
      </c>
      <c r="B488" s="216">
        <v>903</v>
      </c>
      <c r="C488" s="214" t="s">
        <v>297</v>
      </c>
      <c r="D488" s="214" t="s">
        <v>268</v>
      </c>
      <c r="E488" s="214" t="s">
        <v>419</v>
      </c>
      <c r="F488" s="214" t="s">
        <v>185</v>
      </c>
      <c r="G488" s="27">
        <f>G489</f>
        <v>210</v>
      </c>
      <c r="H488" s="27">
        <f t="shared" si="504"/>
        <v>112.8</v>
      </c>
      <c r="I488" s="27">
        <f t="shared" si="505"/>
        <v>210</v>
      </c>
      <c r="J488" s="27">
        <f t="shared" si="505"/>
        <v>210</v>
      </c>
      <c r="K488" s="27">
        <f t="shared" si="505"/>
        <v>210</v>
      </c>
      <c r="L488" s="27">
        <f t="shared" si="505"/>
        <v>210</v>
      </c>
      <c r="M488" s="27">
        <f t="shared" si="506"/>
        <v>210</v>
      </c>
      <c r="N488" s="27">
        <f t="shared" si="506"/>
        <v>0</v>
      </c>
      <c r="O488" s="27">
        <f t="shared" si="477"/>
        <v>0</v>
      </c>
    </row>
    <row r="489" spans="1:15" ht="47.25">
      <c r="A489" s="26" t="s">
        <v>186</v>
      </c>
      <c r="B489" s="216">
        <v>903</v>
      </c>
      <c r="C489" s="214" t="s">
        <v>297</v>
      </c>
      <c r="D489" s="214" t="s">
        <v>268</v>
      </c>
      <c r="E489" s="214" t="s">
        <v>419</v>
      </c>
      <c r="F489" s="214" t="s">
        <v>187</v>
      </c>
      <c r="G489" s="27">
        <f>150+60</f>
        <v>210</v>
      </c>
      <c r="H489" s="27">
        <v>112.8</v>
      </c>
      <c r="I489" s="27">
        <f t="shared" ref="I489:L489" si="507">150+60</f>
        <v>210</v>
      </c>
      <c r="J489" s="27">
        <f t="shared" si="507"/>
        <v>210</v>
      </c>
      <c r="K489" s="27">
        <f t="shared" si="507"/>
        <v>210</v>
      </c>
      <c r="L489" s="27">
        <f t="shared" si="507"/>
        <v>210</v>
      </c>
      <c r="M489" s="27">
        <f t="shared" ref="M489" si="508">150+60</f>
        <v>210</v>
      </c>
      <c r="N489" s="27">
        <v>0</v>
      </c>
      <c r="O489" s="27">
        <f t="shared" si="477"/>
        <v>0</v>
      </c>
    </row>
    <row r="490" spans="1:15" ht="63">
      <c r="A490" s="26" t="s">
        <v>420</v>
      </c>
      <c r="B490" s="216">
        <v>903</v>
      </c>
      <c r="C490" s="214" t="s">
        <v>297</v>
      </c>
      <c r="D490" s="214" t="s">
        <v>268</v>
      </c>
      <c r="E490" s="214" t="s">
        <v>421</v>
      </c>
      <c r="F490" s="214"/>
      <c r="G490" s="27">
        <f t="shared" ref="G490:L490" si="509">G491+G503+G497+G500</f>
        <v>30</v>
      </c>
      <c r="H490" s="27">
        <f t="shared" si="509"/>
        <v>0</v>
      </c>
      <c r="I490" s="27">
        <f t="shared" si="509"/>
        <v>30</v>
      </c>
      <c r="J490" s="27">
        <f t="shared" si="509"/>
        <v>30</v>
      </c>
      <c r="K490" s="27">
        <f t="shared" si="509"/>
        <v>30</v>
      </c>
      <c r="L490" s="27">
        <f t="shared" si="509"/>
        <v>30</v>
      </c>
      <c r="M490" s="27">
        <f t="shared" ref="M490:N490" si="510">M491+M503+M497+M500</f>
        <v>20</v>
      </c>
      <c r="N490" s="27">
        <f t="shared" si="510"/>
        <v>0</v>
      </c>
      <c r="O490" s="27">
        <f t="shared" si="477"/>
        <v>0</v>
      </c>
    </row>
    <row r="491" spans="1:15" ht="33.75" customHeight="1">
      <c r="A491" s="26" t="s">
        <v>422</v>
      </c>
      <c r="B491" s="216">
        <v>903</v>
      </c>
      <c r="C491" s="214" t="s">
        <v>297</v>
      </c>
      <c r="D491" s="214" t="s">
        <v>268</v>
      </c>
      <c r="E491" s="214" t="s">
        <v>423</v>
      </c>
      <c r="F491" s="214"/>
      <c r="G491" s="27">
        <f>G492</f>
        <v>20</v>
      </c>
      <c r="H491" s="27">
        <f>H492</f>
        <v>0</v>
      </c>
      <c r="I491" s="27">
        <f t="shared" ref="I491:L491" si="511">I492</f>
        <v>20</v>
      </c>
      <c r="J491" s="27">
        <f t="shared" si="511"/>
        <v>20</v>
      </c>
      <c r="K491" s="27">
        <f t="shared" si="511"/>
        <v>20</v>
      </c>
      <c r="L491" s="27">
        <f t="shared" si="511"/>
        <v>20</v>
      </c>
      <c r="M491" s="27">
        <f t="shared" ref="M491:N492" si="512">M492</f>
        <v>10</v>
      </c>
      <c r="N491" s="27">
        <f t="shared" si="512"/>
        <v>0</v>
      </c>
      <c r="O491" s="27">
        <f t="shared" si="477"/>
        <v>0</v>
      </c>
    </row>
    <row r="492" spans="1:15" ht="47.25">
      <c r="A492" s="26" t="s">
        <v>325</v>
      </c>
      <c r="B492" s="216">
        <v>903</v>
      </c>
      <c r="C492" s="214" t="s">
        <v>297</v>
      </c>
      <c r="D492" s="214" t="s">
        <v>268</v>
      </c>
      <c r="E492" s="214" t="s">
        <v>423</v>
      </c>
      <c r="F492" s="214" t="s">
        <v>326</v>
      </c>
      <c r="G492" s="27">
        <f t="shared" ref="G492:L492" si="513">G493</f>
        <v>20</v>
      </c>
      <c r="H492" s="27">
        <f t="shared" si="513"/>
        <v>0</v>
      </c>
      <c r="I492" s="27">
        <f t="shared" si="513"/>
        <v>20</v>
      </c>
      <c r="J492" s="27">
        <f t="shared" si="513"/>
        <v>20</v>
      </c>
      <c r="K492" s="27">
        <f t="shared" si="513"/>
        <v>20</v>
      </c>
      <c r="L492" s="27">
        <f t="shared" si="513"/>
        <v>20</v>
      </c>
      <c r="M492" s="27">
        <f t="shared" si="512"/>
        <v>10</v>
      </c>
      <c r="N492" s="27">
        <f t="shared" si="512"/>
        <v>0</v>
      </c>
      <c r="O492" s="27">
        <f t="shared" si="477"/>
        <v>0</v>
      </c>
    </row>
    <row r="493" spans="1:15" ht="47.25" customHeight="1">
      <c r="A493" s="41" t="s">
        <v>424</v>
      </c>
      <c r="B493" s="216">
        <v>903</v>
      </c>
      <c r="C493" s="214" t="s">
        <v>297</v>
      </c>
      <c r="D493" s="214" t="s">
        <v>268</v>
      </c>
      <c r="E493" s="214" t="s">
        <v>423</v>
      </c>
      <c r="F493" s="214" t="s">
        <v>425</v>
      </c>
      <c r="G493" s="27">
        <f>30-10</f>
        <v>20</v>
      </c>
      <c r="H493" s="27">
        <v>0</v>
      </c>
      <c r="I493" s="27">
        <f t="shared" ref="I493:L493" si="514">30-10</f>
        <v>20</v>
      </c>
      <c r="J493" s="27">
        <f t="shared" si="514"/>
        <v>20</v>
      </c>
      <c r="K493" s="27">
        <f t="shared" si="514"/>
        <v>20</v>
      </c>
      <c r="L493" s="27">
        <f t="shared" si="514"/>
        <v>20</v>
      </c>
      <c r="M493" s="27">
        <v>10</v>
      </c>
      <c r="N493" s="27">
        <v>0</v>
      </c>
      <c r="O493" s="27">
        <f t="shared" si="477"/>
        <v>0</v>
      </c>
    </row>
    <row r="494" spans="1:15" ht="15.75" hidden="1" customHeight="1">
      <c r="A494" s="41"/>
      <c r="B494" s="216"/>
      <c r="C494" s="214"/>
      <c r="D494" s="214"/>
      <c r="E494" s="214"/>
      <c r="F494" s="214"/>
      <c r="G494" s="27"/>
      <c r="H494" s="27"/>
      <c r="I494" s="27"/>
      <c r="J494" s="27"/>
      <c r="K494" s="27"/>
      <c r="L494" s="27"/>
      <c r="M494" s="27"/>
      <c r="N494" s="27"/>
      <c r="O494" s="27" t="e">
        <f t="shared" si="477"/>
        <v>#DIV/0!</v>
      </c>
    </row>
    <row r="495" spans="1:15" ht="15.75" hidden="1" customHeight="1">
      <c r="A495" s="41"/>
      <c r="B495" s="216"/>
      <c r="C495" s="214"/>
      <c r="D495" s="214"/>
      <c r="E495" s="214"/>
      <c r="F495" s="214"/>
      <c r="G495" s="27"/>
      <c r="H495" s="27"/>
      <c r="I495" s="27"/>
      <c r="J495" s="27"/>
      <c r="K495" s="27"/>
      <c r="L495" s="27"/>
      <c r="M495" s="27"/>
      <c r="N495" s="27"/>
      <c r="O495" s="27" t="e">
        <f t="shared" si="477"/>
        <v>#DIV/0!</v>
      </c>
    </row>
    <row r="496" spans="1:15" ht="15.75" hidden="1" customHeight="1">
      <c r="A496" s="41"/>
      <c r="B496" s="216"/>
      <c r="C496" s="214"/>
      <c r="D496" s="214"/>
      <c r="E496" s="214"/>
      <c r="F496" s="214"/>
      <c r="G496" s="27"/>
      <c r="H496" s="27"/>
      <c r="I496" s="27"/>
      <c r="J496" s="27"/>
      <c r="K496" s="27"/>
      <c r="L496" s="27"/>
      <c r="M496" s="27"/>
      <c r="N496" s="27"/>
      <c r="O496" s="27" t="e">
        <f t="shared" si="477"/>
        <v>#DIV/0!</v>
      </c>
    </row>
    <row r="497" spans="1:15" ht="126" hidden="1" customHeight="1">
      <c r="A497" s="26" t="s">
        <v>426</v>
      </c>
      <c r="B497" s="216">
        <v>903</v>
      </c>
      <c r="C497" s="214" t="s">
        <v>297</v>
      </c>
      <c r="D497" s="214" t="s">
        <v>268</v>
      </c>
      <c r="E497" s="214" t="s">
        <v>427</v>
      </c>
      <c r="F497" s="214"/>
      <c r="G497" s="27">
        <f t="shared" ref="G497:L498" si="515">G498</f>
        <v>0</v>
      </c>
      <c r="H497" s="27">
        <f t="shared" si="515"/>
        <v>0</v>
      </c>
      <c r="I497" s="27">
        <f t="shared" si="515"/>
        <v>0</v>
      </c>
      <c r="J497" s="27">
        <f t="shared" si="515"/>
        <v>0</v>
      </c>
      <c r="K497" s="27">
        <f t="shared" si="515"/>
        <v>0</v>
      </c>
      <c r="L497" s="27">
        <f t="shared" si="515"/>
        <v>0</v>
      </c>
      <c r="M497" s="27">
        <f t="shared" ref="M497:N498" si="516">M498</f>
        <v>0</v>
      </c>
      <c r="N497" s="27">
        <f t="shared" si="516"/>
        <v>0</v>
      </c>
      <c r="O497" s="27" t="e">
        <f t="shared" si="477"/>
        <v>#DIV/0!</v>
      </c>
    </row>
    <row r="498" spans="1:15" ht="15.75" hidden="1" customHeight="1">
      <c r="A498" s="26" t="s">
        <v>188</v>
      </c>
      <c r="B498" s="216">
        <v>903</v>
      </c>
      <c r="C498" s="214" t="s">
        <v>297</v>
      </c>
      <c r="D498" s="214" t="s">
        <v>268</v>
      </c>
      <c r="E498" s="214" t="s">
        <v>427</v>
      </c>
      <c r="F498" s="214" t="s">
        <v>198</v>
      </c>
      <c r="G498" s="27">
        <f t="shared" si="515"/>
        <v>0</v>
      </c>
      <c r="H498" s="27">
        <f t="shared" si="515"/>
        <v>0</v>
      </c>
      <c r="I498" s="27">
        <f t="shared" si="515"/>
        <v>0</v>
      </c>
      <c r="J498" s="27">
        <f t="shared" si="515"/>
        <v>0</v>
      </c>
      <c r="K498" s="27">
        <f t="shared" si="515"/>
        <v>0</v>
      </c>
      <c r="L498" s="27">
        <f t="shared" si="515"/>
        <v>0</v>
      </c>
      <c r="M498" s="27">
        <f t="shared" si="516"/>
        <v>0</v>
      </c>
      <c r="N498" s="27">
        <f t="shared" si="516"/>
        <v>0</v>
      </c>
      <c r="O498" s="27" t="e">
        <f t="shared" si="477"/>
        <v>#DIV/0!</v>
      </c>
    </row>
    <row r="499" spans="1:15" ht="63" hidden="1" customHeight="1">
      <c r="A499" s="26" t="s">
        <v>237</v>
      </c>
      <c r="B499" s="216">
        <v>903</v>
      </c>
      <c r="C499" s="214" t="s">
        <v>297</v>
      </c>
      <c r="D499" s="214" t="s">
        <v>268</v>
      </c>
      <c r="E499" s="214" t="s">
        <v>427</v>
      </c>
      <c r="F499" s="214" t="s">
        <v>213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 t="e">
        <f t="shared" si="477"/>
        <v>#DIV/0!</v>
      </c>
    </row>
    <row r="500" spans="1:15" ht="50.25" customHeight="1">
      <c r="A500" s="26" t="s">
        <v>428</v>
      </c>
      <c r="B500" s="216">
        <v>903</v>
      </c>
      <c r="C500" s="214" t="s">
        <v>297</v>
      </c>
      <c r="D500" s="214" t="s">
        <v>268</v>
      </c>
      <c r="E500" s="214" t="s">
        <v>429</v>
      </c>
      <c r="F500" s="214"/>
      <c r="G500" s="27">
        <f t="shared" ref="G500:L501" si="517">G501</f>
        <v>10</v>
      </c>
      <c r="H500" s="27">
        <f t="shared" si="517"/>
        <v>0</v>
      </c>
      <c r="I500" s="27">
        <f t="shared" si="517"/>
        <v>10</v>
      </c>
      <c r="J500" s="27">
        <f t="shared" si="517"/>
        <v>10</v>
      </c>
      <c r="K500" s="27">
        <f t="shared" si="517"/>
        <v>10</v>
      </c>
      <c r="L500" s="27">
        <f t="shared" si="517"/>
        <v>10</v>
      </c>
      <c r="M500" s="27">
        <f t="shared" ref="M500:N501" si="518">M501</f>
        <v>10</v>
      </c>
      <c r="N500" s="27">
        <f t="shared" si="518"/>
        <v>0</v>
      </c>
      <c r="O500" s="27">
        <f t="shared" si="477"/>
        <v>0</v>
      </c>
    </row>
    <row r="501" spans="1:15" ht="31.5">
      <c r="A501" s="26" t="s">
        <v>301</v>
      </c>
      <c r="B501" s="216">
        <v>903</v>
      </c>
      <c r="C501" s="214" t="s">
        <v>297</v>
      </c>
      <c r="D501" s="214" t="s">
        <v>268</v>
      </c>
      <c r="E501" s="214" t="s">
        <v>429</v>
      </c>
      <c r="F501" s="214" t="s">
        <v>302</v>
      </c>
      <c r="G501" s="27">
        <f t="shared" si="517"/>
        <v>10</v>
      </c>
      <c r="H501" s="27">
        <f t="shared" si="517"/>
        <v>0</v>
      </c>
      <c r="I501" s="27">
        <f t="shared" si="517"/>
        <v>10</v>
      </c>
      <c r="J501" s="27">
        <f t="shared" si="517"/>
        <v>10</v>
      </c>
      <c r="K501" s="27">
        <f t="shared" si="517"/>
        <v>10</v>
      </c>
      <c r="L501" s="27">
        <f t="shared" si="517"/>
        <v>10</v>
      </c>
      <c r="M501" s="27">
        <f t="shared" si="518"/>
        <v>10</v>
      </c>
      <c r="N501" s="27">
        <f t="shared" si="518"/>
        <v>0</v>
      </c>
      <c r="O501" s="27">
        <f t="shared" si="477"/>
        <v>0</v>
      </c>
    </row>
    <row r="502" spans="1:15" ht="31.5">
      <c r="A502" s="26" t="s">
        <v>303</v>
      </c>
      <c r="B502" s="216">
        <v>903</v>
      </c>
      <c r="C502" s="214" t="s">
        <v>297</v>
      </c>
      <c r="D502" s="214" t="s">
        <v>268</v>
      </c>
      <c r="E502" s="214" t="s">
        <v>429</v>
      </c>
      <c r="F502" s="214" t="s">
        <v>304</v>
      </c>
      <c r="G502" s="27">
        <v>10</v>
      </c>
      <c r="H502" s="27">
        <v>0</v>
      </c>
      <c r="I502" s="27">
        <v>10</v>
      </c>
      <c r="J502" s="27">
        <v>10</v>
      </c>
      <c r="K502" s="27">
        <v>10</v>
      </c>
      <c r="L502" s="27">
        <v>10</v>
      </c>
      <c r="M502" s="27">
        <v>10</v>
      </c>
      <c r="N502" s="27">
        <v>0</v>
      </c>
      <c r="O502" s="27">
        <f t="shared" si="477"/>
        <v>0</v>
      </c>
    </row>
    <row r="503" spans="1:15" ht="31.5" hidden="1" customHeight="1">
      <c r="A503" s="26" t="s">
        <v>430</v>
      </c>
      <c r="B503" s="216">
        <v>903</v>
      </c>
      <c r="C503" s="214" t="s">
        <v>297</v>
      </c>
      <c r="D503" s="214" t="s">
        <v>268</v>
      </c>
      <c r="E503" s="214" t="s">
        <v>431</v>
      </c>
      <c r="F503" s="214"/>
      <c r="G503" s="27">
        <f t="shared" ref="G503:L503" si="519">G504+G506</f>
        <v>0</v>
      </c>
      <c r="H503" s="27">
        <f t="shared" si="519"/>
        <v>0</v>
      </c>
      <c r="I503" s="27">
        <f t="shared" si="519"/>
        <v>0</v>
      </c>
      <c r="J503" s="27">
        <f t="shared" si="519"/>
        <v>0</v>
      </c>
      <c r="K503" s="27">
        <f t="shared" si="519"/>
        <v>0</v>
      </c>
      <c r="L503" s="27">
        <f t="shared" si="519"/>
        <v>0</v>
      </c>
      <c r="M503" s="27">
        <f t="shared" ref="M503:N503" si="520">M504+M506</f>
        <v>0</v>
      </c>
      <c r="N503" s="27">
        <f t="shared" si="520"/>
        <v>0</v>
      </c>
      <c r="O503" s="27" t="e">
        <f t="shared" si="477"/>
        <v>#DIV/0!</v>
      </c>
    </row>
    <row r="504" spans="1:15" ht="31.5" hidden="1" customHeight="1">
      <c r="A504" s="26" t="s">
        <v>184</v>
      </c>
      <c r="B504" s="216">
        <v>903</v>
      </c>
      <c r="C504" s="214" t="s">
        <v>297</v>
      </c>
      <c r="D504" s="214" t="s">
        <v>268</v>
      </c>
      <c r="E504" s="214" t="s">
        <v>431</v>
      </c>
      <c r="F504" s="214" t="s">
        <v>185</v>
      </c>
      <c r="G504" s="27">
        <f t="shared" ref="G504:L504" si="521">G505</f>
        <v>0</v>
      </c>
      <c r="H504" s="27">
        <f t="shared" si="521"/>
        <v>0</v>
      </c>
      <c r="I504" s="27">
        <f t="shared" si="521"/>
        <v>0</v>
      </c>
      <c r="J504" s="27">
        <f t="shared" si="521"/>
        <v>0</v>
      </c>
      <c r="K504" s="27">
        <f t="shared" si="521"/>
        <v>0</v>
      </c>
      <c r="L504" s="27">
        <f t="shared" si="521"/>
        <v>0</v>
      </c>
      <c r="M504" s="27">
        <f t="shared" ref="M504:N504" si="522">M505</f>
        <v>0</v>
      </c>
      <c r="N504" s="27">
        <f t="shared" si="522"/>
        <v>0</v>
      </c>
      <c r="O504" s="27" t="e">
        <f t="shared" si="477"/>
        <v>#DIV/0!</v>
      </c>
    </row>
    <row r="505" spans="1:15" ht="47.25" hidden="1" customHeight="1">
      <c r="A505" s="26" t="s">
        <v>186</v>
      </c>
      <c r="B505" s="216">
        <v>903</v>
      </c>
      <c r="C505" s="214" t="s">
        <v>297</v>
      </c>
      <c r="D505" s="214" t="s">
        <v>268</v>
      </c>
      <c r="E505" s="214" t="s">
        <v>431</v>
      </c>
      <c r="F505" s="214" t="s">
        <v>187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 t="e">
        <f t="shared" si="477"/>
        <v>#DIV/0!</v>
      </c>
    </row>
    <row r="506" spans="1:15" ht="15.75" hidden="1" customHeight="1">
      <c r="A506" s="26" t="s">
        <v>188</v>
      </c>
      <c r="B506" s="216">
        <v>903</v>
      </c>
      <c r="C506" s="214" t="s">
        <v>297</v>
      </c>
      <c r="D506" s="214" t="s">
        <v>268</v>
      </c>
      <c r="E506" s="214" t="s">
        <v>432</v>
      </c>
      <c r="F506" s="214" t="s">
        <v>198</v>
      </c>
      <c r="G506" s="27">
        <f t="shared" ref="G506:L506" si="523">G507</f>
        <v>0</v>
      </c>
      <c r="H506" s="27">
        <f t="shared" si="523"/>
        <v>0</v>
      </c>
      <c r="I506" s="27">
        <f t="shared" si="523"/>
        <v>0</v>
      </c>
      <c r="J506" s="27">
        <f t="shared" si="523"/>
        <v>0</v>
      </c>
      <c r="K506" s="27">
        <f t="shared" si="523"/>
        <v>0</v>
      </c>
      <c r="L506" s="27">
        <f t="shared" si="523"/>
        <v>0</v>
      </c>
      <c r="M506" s="27">
        <f t="shared" ref="M506:N506" si="524">M507</f>
        <v>0</v>
      </c>
      <c r="N506" s="27">
        <f t="shared" si="524"/>
        <v>0</v>
      </c>
      <c r="O506" s="27" t="e">
        <f t="shared" si="477"/>
        <v>#DIV/0!</v>
      </c>
    </row>
    <row r="507" spans="1:15" ht="63" hidden="1" customHeight="1">
      <c r="A507" s="26" t="s">
        <v>237</v>
      </c>
      <c r="B507" s="216">
        <v>903</v>
      </c>
      <c r="C507" s="214" t="s">
        <v>297</v>
      </c>
      <c r="D507" s="214" t="s">
        <v>268</v>
      </c>
      <c r="E507" s="214" t="s">
        <v>432</v>
      </c>
      <c r="F507" s="214" t="s">
        <v>213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 t="e">
        <f t="shared" si="477"/>
        <v>#DIV/0!</v>
      </c>
    </row>
    <row r="508" spans="1:15" ht="94.5">
      <c r="A508" s="31" t="s">
        <v>433</v>
      </c>
      <c r="B508" s="216">
        <v>903</v>
      </c>
      <c r="C508" s="217" t="s">
        <v>297</v>
      </c>
      <c r="D508" s="217" t="s">
        <v>268</v>
      </c>
      <c r="E508" s="217" t="s">
        <v>434</v>
      </c>
      <c r="F508" s="217"/>
      <c r="G508" s="27">
        <f>G509</f>
        <v>105</v>
      </c>
      <c r="H508" s="27">
        <f t="shared" ref="H508:H510" si="525">H509</f>
        <v>94.6</v>
      </c>
      <c r="I508" s="27">
        <f t="shared" ref="I508:L510" si="526">I509</f>
        <v>105</v>
      </c>
      <c r="J508" s="27">
        <f t="shared" si="526"/>
        <v>0</v>
      </c>
      <c r="K508" s="27">
        <f t="shared" si="526"/>
        <v>0</v>
      </c>
      <c r="L508" s="27">
        <f t="shared" si="526"/>
        <v>0</v>
      </c>
      <c r="M508" s="27">
        <f t="shared" ref="M508:N510" si="527">M509</f>
        <v>200</v>
      </c>
      <c r="N508" s="27">
        <f t="shared" si="527"/>
        <v>13.7</v>
      </c>
      <c r="O508" s="27">
        <f t="shared" si="477"/>
        <v>6.8499999999999988</v>
      </c>
    </row>
    <row r="509" spans="1:15" ht="31.5">
      <c r="A509" s="31" t="s">
        <v>210</v>
      </c>
      <c r="B509" s="216">
        <v>903</v>
      </c>
      <c r="C509" s="217" t="s">
        <v>297</v>
      </c>
      <c r="D509" s="217" t="s">
        <v>268</v>
      </c>
      <c r="E509" s="217" t="s">
        <v>435</v>
      </c>
      <c r="F509" s="217"/>
      <c r="G509" s="27">
        <f>G510</f>
        <v>105</v>
      </c>
      <c r="H509" s="27">
        <f t="shared" si="525"/>
        <v>94.6</v>
      </c>
      <c r="I509" s="27">
        <f t="shared" si="526"/>
        <v>105</v>
      </c>
      <c r="J509" s="27">
        <f t="shared" si="526"/>
        <v>0</v>
      </c>
      <c r="K509" s="27">
        <f t="shared" si="526"/>
        <v>0</v>
      </c>
      <c r="L509" s="27">
        <f t="shared" si="526"/>
        <v>0</v>
      </c>
      <c r="M509" s="27">
        <f t="shared" si="527"/>
        <v>200</v>
      </c>
      <c r="N509" s="27">
        <f t="shared" si="527"/>
        <v>13.7</v>
      </c>
      <c r="O509" s="27">
        <f t="shared" si="477"/>
        <v>6.8499999999999988</v>
      </c>
    </row>
    <row r="510" spans="1:15" ht="31.5">
      <c r="A510" s="31" t="s">
        <v>184</v>
      </c>
      <c r="B510" s="216">
        <v>903</v>
      </c>
      <c r="C510" s="217" t="s">
        <v>297</v>
      </c>
      <c r="D510" s="217" t="s">
        <v>268</v>
      </c>
      <c r="E510" s="217" t="s">
        <v>435</v>
      </c>
      <c r="F510" s="217" t="s">
        <v>185</v>
      </c>
      <c r="G510" s="27">
        <f>G511</f>
        <v>105</v>
      </c>
      <c r="H510" s="27">
        <f t="shared" si="525"/>
        <v>94.6</v>
      </c>
      <c r="I510" s="27">
        <f t="shared" si="526"/>
        <v>105</v>
      </c>
      <c r="J510" s="27">
        <f t="shared" si="526"/>
        <v>0</v>
      </c>
      <c r="K510" s="27">
        <f t="shared" si="526"/>
        <v>0</v>
      </c>
      <c r="L510" s="27">
        <f t="shared" si="526"/>
        <v>0</v>
      </c>
      <c r="M510" s="27">
        <f t="shared" si="527"/>
        <v>200</v>
      </c>
      <c r="N510" s="27">
        <f t="shared" si="527"/>
        <v>13.7</v>
      </c>
      <c r="O510" s="27">
        <f t="shared" si="477"/>
        <v>6.8499999999999988</v>
      </c>
    </row>
    <row r="511" spans="1:15" ht="47.25">
      <c r="A511" s="31" t="s">
        <v>186</v>
      </c>
      <c r="B511" s="216">
        <v>903</v>
      </c>
      <c r="C511" s="217" t="s">
        <v>297</v>
      </c>
      <c r="D511" s="217" t="s">
        <v>268</v>
      </c>
      <c r="E511" s="217" t="s">
        <v>435</v>
      </c>
      <c r="F511" s="217" t="s">
        <v>187</v>
      </c>
      <c r="G511" s="27">
        <f>50+55</f>
        <v>105</v>
      </c>
      <c r="H511" s="27">
        <v>94.6</v>
      </c>
      <c r="I511" s="27">
        <f t="shared" ref="I511" si="528">50+55</f>
        <v>105</v>
      </c>
      <c r="J511" s="27">
        <v>0</v>
      </c>
      <c r="K511" s="27">
        <v>0</v>
      </c>
      <c r="L511" s="27">
        <v>0</v>
      </c>
      <c r="M511" s="27">
        <v>200</v>
      </c>
      <c r="N511" s="27">
        <v>13.7</v>
      </c>
      <c r="O511" s="27">
        <f t="shared" si="477"/>
        <v>6.8499999999999988</v>
      </c>
    </row>
    <row r="512" spans="1:15" ht="15.75" hidden="1">
      <c r="A512" s="26" t="s">
        <v>174</v>
      </c>
      <c r="B512" s="216">
        <v>903</v>
      </c>
      <c r="C512" s="214" t="s">
        <v>297</v>
      </c>
      <c r="D512" s="214" t="s">
        <v>268</v>
      </c>
      <c r="E512" s="214" t="s">
        <v>175</v>
      </c>
      <c r="F512" s="214"/>
      <c r="G512" s="27">
        <f>G513+G524</f>
        <v>932</v>
      </c>
      <c r="H512" s="27">
        <f>H513+H524</f>
        <v>0</v>
      </c>
      <c r="I512" s="27">
        <f t="shared" ref="I512:L512" si="529">I513+I524</f>
        <v>932</v>
      </c>
      <c r="J512" s="27">
        <f t="shared" si="529"/>
        <v>0</v>
      </c>
      <c r="K512" s="27">
        <f t="shared" si="529"/>
        <v>0</v>
      </c>
      <c r="L512" s="27">
        <f t="shared" si="529"/>
        <v>0</v>
      </c>
      <c r="M512" s="27">
        <f t="shared" ref="M512:N512" si="530">M513+M524</f>
        <v>0</v>
      </c>
      <c r="N512" s="27">
        <f t="shared" si="530"/>
        <v>0</v>
      </c>
      <c r="O512" s="22" t="e">
        <f t="shared" si="477"/>
        <v>#DIV/0!</v>
      </c>
    </row>
    <row r="513" spans="1:15" ht="31.5" hidden="1">
      <c r="A513" s="26" t="s">
        <v>238</v>
      </c>
      <c r="B513" s="216">
        <v>903</v>
      </c>
      <c r="C513" s="214" t="s">
        <v>297</v>
      </c>
      <c r="D513" s="214" t="s">
        <v>268</v>
      </c>
      <c r="E513" s="214" t="s">
        <v>239</v>
      </c>
      <c r="F513" s="214"/>
      <c r="G513" s="27">
        <f>G520+G514+G517</f>
        <v>932</v>
      </c>
      <c r="H513" s="27">
        <f>H520+H514+H517</f>
        <v>0</v>
      </c>
      <c r="I513" s="27">
        <f t="shared" ref="I513:L513" si="531">I520+I514+I517</f>
        <v>932</v>
      </c>
      <c r="J513" s="27">
        <f t="shared" si="531"/>
        <v>0</v>
      </c>
      <c r="K513" s="27">
        <f t="shared" si="531"/>
        <v>0</v>
      </c>
      <c r="L513" s="27">
        <f t="shared" si="531"/>
        <v>0</v>
      </c>
      <c r="M513" s="27">
        <f t="shared" ref="M513:N513" si="532">M520+M514+M517</f>
        <v>0</v>
      </c>
      <c r="N513" s="27">
        <f t="shared" si="532"/>
        <v>0</v>
      </c>
      <c r="O513" s="22" t="e">
        <f t="shared" si="477"/>
        <v>#DIV/0!</v>
      </c>
    </row>
    <row r="514" spans="1:15" ht="15.75" hidden="1">
      <c r="A514" s="26" t="s">
        <v>436</v>
      </c>
      <c r="B514" s="216">
        <v>903</v>
      </c>
      <c r="C514" s="214" t="s">
        <v>297</v>
      </c>
      <c r="D514" s="214" t="s">
        <v>268</v>
      </c>
      <c r="E514" s="214" t="s">
        <v>437</v>
      </c>
      <c r="F514" s="214"/>
      <c r="G514" s="27">
        <f t="shared" ref="G514:L515" si="533">G515</f>
        <v>372.6</v>
      </c>
      <c r="H514" s="27">
        <f t="shared" si="533"/>
        <v>0</v>
      </c>
      <c r="I514" s="27">
        <f t="shared" si="533"/>
        <v>372.6</v>
      </c>
      <c r="J514" s="27">
        <f t="shared" si="533"/>
        <v>0</v>
      </c>
      <c r="K514" s="27">
        <f t="shared" si="533"/>
        <v>0</v>
      </c>
      <c r="L514" s="27">
        <f t="shared" si="533"/>
        <v>0</v>
      </c>
      <c r="M514" s="27">
        <f t="shared" ref="M514:N515" si="534">M515</f>
        <v>0</v>
      </c>
      <c r="N514" s="27">
        <f t="shared" si="534"/>
        <v>0</v>
      </c>
      <c r="O514" s="22" t="e">
        <f t="shared" si="477"/>
        <v>#DIV/0!</v>
      </c>
    </row>
    <row r="515" spans="1:15" ht="31.5" hidden="1">
      <c r="A515" s="26" t="s">
        <v>301</v>
      </c>
      <c r="B515" s="216">
        <v>903</v>
      </c>
      <c r="C515" s="214" t="s">
        <v>297</v>
      </c>
      <c r="D515" s="214" t="s">
        <v>268</v>
      </c>
      <c r="E515" s="214" t="s">
        <v>437</v>
      </c>
      <c r="F515" s="214" t="s">
        <v>302</v>
      </c>
      <c r="G515" s="27">
        <f t="shared" si="533"/>
        <v>372.6</v>
      </c>
      <c r="H515" s="27">
        <f t="shared" si="533"/>
        <v>0</v>
      </c>
      <c r="I515" s="27">
        <f t="shared" si="533"/>
        <v>372.6</v>
      </c>
      <c r="J515" s="27">
        <f t="shared" si="533"/>
        <v>0</v>
      </c>
      <c r="K515" s="27">
        <f t="shared" si="533"/>
        <v>0</v>
      </c>
      <c r="L515" s="27">
        <f t="shared" si="533"/>
        <v>0</v>
      </c>
      <c r="M515" s="27">
        <f t="shared" si="534"/>
        <v>0</v>
      </c>
      <c r="N515" s="27">
        <f t="shared" si="534"/>
        <v>0</v>
      </c>
      <c r="O515" s="22" t="e">
        <f t="shared" si="477"/>
        <v>#DIV/0!</v>
      </c>
    </row>
    <row r="516" spans="1:15" ht="31.5" hidden="1">
      <c r="A516" s="26" t="s">
        <v>303</v>
      </c>
      <c r="B516" s="216">
        <v>903</v>
      </c>
      <c r="C516" s="214" t="s">
        <v>297</v>
      </c>
      <c r="D516" s="214" t="s">
        <v>268</v>
      </c>
      <c r="E516" s="214" t="s">
        <v>437</v>
      </c>
      <c r="F516" s="214" t="s">
        <v>304</v>
      </c>
      <c r="G516" s="27">
        <v>372.6</v>
      </c>
      <c r="H516" s="27">
        <v>0</v>
      </c>
      <c r="I516" s="27">
        <v>372.6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2" t="e">
        <f t="shared" si="477"/>
        <v>#DIV/0!</v>
      </c>
    </row>
    <row r="517" spans="1:15" ht="63" hidden="1">
      <c r="A517" s="26" t="s">
        <v>428</v>
      </c>
      <c r="B517" s="216">
        <v>903</v>
      </c>
      <c r="C517" s="214" t="s">
        <v>297</v>
      </c>
      <c r="D517" s="214" t="s">
        <v>268</v>
      </c>
      <c r="E517" s="214" t="s">
        <v>438</v>
      </c>
      <c r="F517" s="214"/>
      <c r="G517" s="27">
        <f t="shared" ref="G517:L518" si="535">G518</f>
        <v>500</v>
      </c>
      <c r="H517" s="27">
        <f t="shared" si="535"/>
        <v>0</v>
      </c>
      <c r="I517" s="27">
        <f t="shared" si="535"/>
        <v>500</v>
      </c>
      <c r="J517" s="27">
        <f t="shared" si="535"/>
        <v>0</v>
      </c>
      <c r="K517" s="27">
        <f t="shared" si="535"/>
        <v>0</v>
      </c>
      <c r="L517" s="27">
        <f t="shared" si="535"/>
        <v>0</v>
      </c>
      <c r="M517" s="27">
        <f t="shared" ref="M517:N518" si="536">M518</f>
        <v>0</v>
      </c>
      <c r="N517" s="27">
        <f t="shared" si="536"/>
        <v>0</v>
      </c>
      <c r="O517" s="22" t="e">
        <f t="shared" si="477"/>
        <v>#DIV/0!</v>
      </c>
    </row>
    <row r="518" spans="1:15" ht="31.5" hidden="1">
      <c r="A518" s="26" t="s">
        <v>301</v>
      </c>
      <c r="B518" s="216">
        <v>903</v>
      </c>
      <c r="C518" s="214" t="s">
        <v>297</v>
      </c>
      <c r="D518" s="214" t="s">
        <v>268</v>
      </c>
      <c r="E518" s="214" t="s">
        <v>438</v>
      </c>
      <c r="F518" s="214" t="s">
        <v>302</v>
      </c>
      <c r="G518" s="27">
        <f t="shared" si="535"/>
        <v>500</v>
      </c>
      <c r="H518" s="27">
        <f t="shared" si="535"/>
        <v>0</v>
      </c>
      <c r="I518" s="27">
        <f t="shared" si="535"/>
        <v>500</v>
      </c>
      <c r="J518" s="27">
        <f t="shared" si="535"/>
        <v>0</v>
      </c>
      <c r="K518" s="27">
        <f t="shared" si="535"/>
        <v>0</v>
      </c>
      <c r="L518" s="27">
        <f t="shared" si="535"/>
        <v>0</v>
      </c>
      <c r="M518" s="27">
        <f t="shared" si="536"/>
        <v>0</v>
      </c>
      <c r="N518" s="27">
        <f t="shared" si="536"/>
        <v>0</v>
      </c>
      <c r="O518" s="22" t="e">
        <f t="shared" si="477"/>
        <v>#DIV/0!</v>
      </c>
    </row>
    <row r="519" spans="1:15" ht="31.5" hidden="1">
      <c r="A519" s="26" t="s">
        <v>303</v>
      </c>
      <c r="B519" s="216">
        <v>903</v>
      </c>
      <c r="C519" s="214" t="s">
        <v>297</v>
      </c>
      <c r="D519" s="214" t="s">
        <v>268</v>
      </c>
      <c r="E519" s="214" t="s">
        <v>438</v>
      </c>
      <c r="F519" s="214" t="s">
        <v>304</v>
      </c>
      <c r="G519" s="27">
        <v>500</v>
      </c>
      <c r="H519" s="27">
        <v>0</v>
      </c>
      <c r="I519" s="27">
        <v>500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2" t="e">
        <f t="shared" si="477"/>
        <v>#DIV/0!</v>
      </c>
    </row>
    <row r="520" spans="1:15" ht="54" hidden="1" customHeight="1">
      <c r="A520" s="26" t="s">
        <v>840</v>
      </c>
      <c r="B520" s="216">
        <v>903</v>
      </c>
      <c r="C520" s="214" t="s">
        <v>297</v>
      </c>
      <c r="D520" s="214" t="s">
        <v>268</v>
      </c>
      <c r="E520" s="214" t="s">
        <v>440</v>
      </c>
      <c r="F520" s="214"/>
      <c r="G520" s="27">
        <f t="shared" ref="G520:L520" si="537">G521</f>
        <v>59.4</v>
      </c>
      <c r="H520" s="27">
        <f t="shared" si="537"/>
        <v>0</v>
      </c>
      <c r="I520" s="27">
        <f t="shared" si="537"/>
        <v>59.4</v>
      </c>
      <c r="J520" s="27">
        <f t="shared" si="537"/>
        <v>0</v>
      </c>
      <c r="K520" s="27">
        <f t="shared" si="537"/>
        <v>0</v>
      </c>
      <c r="L520" s="27">
        <f t="shared" si="537"/>
        <v>0</v>
      </c>
      <c r="M520" s="27">
        <f t="shared" ref="M520:N520" si="538">M521</f>
        <v>0</v>
      </c>
      <c r="N520" s="27">
        <f t="shared" si="538"/>
        <v>0</v>
      </c>
      <c r="O520" s="22" t="e">
        <f t="shared" si="477"/>
        <v>#DIV/0!</v>
      </c>
    </row>
    <row r="521" spans="1:15" ht="31.5" hidden="1">
      <c r="A521" s="26" t="s">
        <v>301</v>
      </c>
      <c r="B521" s="216">
        <v>903</v>
      </c>
      <c r="C521" s="214" t="s">
        <v>297</v>
      </c>
      <c r="D521" s="214" t="s">
        <v>268</v>
      </c>
      <c r="E521" s="214" t="s">
        <v>440</v>
      </c>
      <c r="F521" s="214" t="s">
        <v>302</v>
      </c>
      <c r="G521" s="27">
        <f t="shared" ref="G521:L521" si="539">G522+G523</f>
        <v>59.4</v>
      </c>
      <c r="H521" s="27">
        <f t="shared" si="539"/>
        <v>0</v>
      </c>
      <c r="I521" s="27">
        <f t="shared" si="539"/>
        <v>59.4</v>
      </c>
      <c r="J521" s="27">
        <f t="shared" si="539"/>
        <v>0</v>
      </c>
      <c r="K521" s="27">
        <f t="shared" si="539"/>
        <v>0</v>
      </c>
      <c r="L521" s="27">
        <f t="shared" si="539"/>
        <v>0</v>
      </c>
      <c r="M521" s="27">
        <f t="shared" ref="M521:N521" si="540">M522+M523</f>
        <v>0</v>
      </c>
      <c r="N521" s="27">
        <f t="shared" si="540"/>
        <v>0</v>
      </c>
      <c r="O521" s="22" t="e">
        <f t="shared" si="477"/>
        <v>#DIV/0!</v>
      </c>
    </row>
    <row r="522" spans="1:15" ht="31.5" hidden="1">
      <c r="A522" s="26" t="s">
        <v>401</v>
      </c>
      <c r="B522" s="216">
        <v>903</v>
      </c>
      <c r="C522" s="214" t="s">
        <v>297</v>
      </c>
      <c r="D522" s="214" t="s">
        <v>268</v>
      </c>
      <c r="E522" s="214" t="s">
        <v>440</v>
      </c>
      <c r="F522" s="214" t="s">
        <v>402</v>
      </c>
      <c r="G522" s="27">
        <v>59.4</v>
      </c>
      <c r="H522" s="27">
        <v>0</v>
      </c>
      <c r="I522" s="27">
        <f>G522</f>
        <v>59.4</v>
      </c>
      <c r="J522" s="27">
        <v>0</v>
      </c>
      <c r="K522" s="27">
        <v>0</v>
      </c>
      <c r="L522" s="27">
        <v>0</v>
      </c>
      <c r="M522" s="27">
        <f>Q522</f>
        <v>0</v>
      </c>
      <c r="N522" s="27">
        <f t="shared" ref="N522" si="541">R522</f>
        <v>0</v>
      </c>
      <c r="O522" s="22" t="e">
        <f t="shared" si="477"/>
        <v>#DIV/0!</v>
      </c>
    </row>
    <row r="523" spans="1:15" ht="31.5" hidden="1">
      <c r="A523" s="26" t="s">
        <v>303</v>
      </c>
      <c r="B523" s="216">
        <v>903</v>
      </c>
      <c r="C523" s="214" t="s">
        <v>297</v>
      </c>
      <c r="D523" s="214" t="s">
        <v>268</v>
      </c>
      <c r="E523" s="214" t="s">
        <v>440</v>
      </c>
      <c r="F523" s="214" t="s">
        <v>304</v>
      </c>
      <c r="G523" s="27"/>
      <c r="H523" s="27"/>
      <c r="I523" s="27"/>
      <c r="J523" s="27"/>
      <c r="K523" s="27"/>
      <c r="L523" s="27"/>
      <c r="M523" s="27"/>
      <c r="N523" s="27"/>
      <c r="O523" s="22" t="e">
        <f t="shared" si="477"/>
        <v>#DIV/0!</v>
      </c>
    </row>
    <row r="524" spans="1:15" ht="15.75" hidden="1">
      <c r="A524" s="26" t="s">
        <v>194</v>
      </c>
      <c r="B524" s="216">
        <v>903</v>
      </c>
      <c r="C524" s="214" t="s">
        <v>297</v>
      </c>
      <c r="D524" s="214" t="s">
        <v>268</v>
      </c>
      <c r="E524" s="214" t="s">
        <v>195</v>
      </c>
      <c r="F524" s="214"/>
      <c r="G524" s="27">
        <f t="shared" ref="G524:L526" si="542">G525</f>
        <v>0</v>
      </c>
      <c r="H524" s="27"/>
      <c r="I524" s="27">
        <f t="shared" si="542"/>
        <v>0</v>
      </c>
      <c r="J524" s="27">
        <f t="shared" si="542"/>
        <v>0</v>
      </c>
      <c r="K524" s="27">
        <f t="shared" si="542"/>
        <v>0</v>
      </c>
      <c r="L524" s="27">
        <f t="shared" si="542"/>
        <v>0</v>
      </c>
      <c r="M524" s="27">
        <f t="shared" ref="M524:N526" si="543">M525</f>
        <v>0</v>
      </c>
      <c r="N524" s="27">
        <f t="shared" si="543"/>
        <v>0</v>
      </c>
      <c r="O524" s="22" t="e">
        <f t="shared" si="477"/>
        <v>#DIV/0!</v>
      </c>
    </row>
    <row r="525" spans="1:15" ht="15.75" hidden="1">
      <c r="A525" s="26" t="s">
        <v>254</v>
      </c>
      <c r="B525" s="216">
        <v>903</v>
      </c>
      <c r="C525" s="214" t="s">
        <v>297</v>
      </c>
      <c r="D525" s="214" t="s">
        <v>268</v>
      </c>
      <c r="E525" s="214" t="s">
        <v>255</v>
      </c>
      <c r="F525" s="214"/>
      <c r="G525" s="27">
        <f t="shared" si="542"/>
        <v>0</v>
      </c>
      <c r="H525" s="27"/>
      <c r="I525" s="27">
        <f t="shared" si="542"/>
        <v>0</v>
      </c>
      <c r="J525" s="27">
        <f t="shared" si="542"/>
        <v>0</v>
      </c>
      <c r="K525" s="27">
        <f t="shared" si="542"/>
        <v>0</v>
      </c>
      <c r="L525" s="27">
        <f t="shared" si="542"/>
        <v>0</v>
      </c>
      <c r="M525" s="27">
        <f t="shared" si="543"/>
        <v>0</v>
      </c>
      <c r="N525" s="27">
        <f t="shared" si="543"/>
        <v>0</v>
      </c>
      <c r="O525" s="22" t="e">
        <f t="shared" ref="O525:O588" si="544">N525/M525*100</f>
        <v>#DIV/0!</v>
      </c>
    </row>
    <row r="526" spans="1:15" ht="31.5" hidden="1">
      <c r="A526" s="26" t="s">
        <v>301</v>
      </c>
      <c r="B526" s="216">
        <v>903</v>
      </c>
      <c r="C526" s="214" t="s">
        <v>297</v>
      </c>
      <c r="D526" s="214" t="s">
        <v>268</v>
      </c>
      <c r="E526" s="214" t="s">
        <v>255</v>
      </c>
      <c r="F526" s="214" t="s">
        <v>302</v>
      </c>
      <c r="G526" s="27">
        <f t="shared" si="542"/>
        <v>0</v>
      </c>
      <c r="H526" s="27"/>
      <c r="I526" s="27">
        <f t="shared" si="542"/>
        <v>0</v>
      </c>
      <c r="J526" s="27">
        <f t="shared" si="542"/>
        <v>0</v>
      </c>
      <c r="K526" s="27">
        <f t="shared" si="542"/>
        <v>0</v>
      </c>
      <c r="L526" s="27">
        <f t="shared" si="542"/>
        <v>0</v>
      </c>
      <c r="M526" s="27">
        <f t="shared" si="543"/>
        <v>0</v>
      </c>
      <c r="N526" s="27">
        <f t="shared" si="543"/>
        <v>0</v>
      </c>
      <c r="O526" s="22" t="e">
        <f t="shared" si="544"/>
        <v>#DIV/0!</v>
      </c>
    </row>
    <row r="527" spans="1:15" ht="31.5" hidden="1">
      <c r="A527" s="26" t="s">
        <v>401</v>
      </c>
      <c r="B527" s="216">
        <v>903</v>
      </c>
      <c r="C527" s="214" t="s">
        <v>297</v>
      </c>
      <c r="D527" s="214" t="s">
        <v>268</v>
      </c>
      <c r="E527" s="214" t="s">
        <v>255</v>
      </c>
      <c r="F527" s="214" t="s">
        <v>402</v>
      </c>
      <c r="G527" s="27">
        <v>0</v>
      </c>
      <c r="H527" s="27"/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2" t="e">
        <f t="shared" si="544"/>
        <v>#DIV/0!</v>
      </c>
    </row>
    <row r="528" spans="1:15" ht="47.25">
      <c r="A528" s="20" t="s">
        <v>441</v>
      </c>
      <c r="B528" s="213">
        <v>905</v>
      </c>
      <c r="C528" s="214"/>
      <c r="D528" s="214"/>
      <c r="E528" s="214"/>
      <c r="F528" s="214"/>
      <c r="G528" s="22">
        <f t="shared" ref="G528:L528" si="545">G529+G550+G565</f>
        <v>15801.74</v>
      </c>
      <c r="H528" s="22">
        <f t="shared" si="545"/>
        <v>7212.4</v>
      </c>
      <c r="I528" s="22">
        <f t="shared" si="545"/>
        <v>14493.722352941177</v>
      </c>
      <c r="J528" s="22">
        <f t="shared" si="545"/>
        <v>14356.1</v>
      </c>
      <c r="K528" s="22">
        <f t="shared" si="545"/>
        <v>14537</v>
      </c>
      <c r="L528" s="22">
        <f t="shared" si="545"/>
        <v>14636.1</v>
      </c>
      <c r="M528" s="22">
        <f>M529+M550+M565</f>
        <v>15391.7</v>
      </c>
      <c r="N528" s="22">
        <f t="shared" ref="N528" si="546">N529+N550+N565</f>
        <v>2383.2000000000003</v>
      </c>
      <c r="O528" s="22">
        <f t="shared" si="544"/>
        <v>15.483669770070884</v>
      </c>
    </row>
    <row r="529" spans="1:15" ht="15.75">
      <c r="A529" s="24" t="s">
        <v>170</v>
      </c>
      <c r="B529" s="213">
        <v>905</v>
      </c>
      <c r="C529" s="215" t="s">
        <v>171</v>
      </c>
      <c r="D529" s="214"/>
      <c r="E529" s="214"/>
      <c r="F529" s="214"/>
      <c r="G529" s="22">
        <f>G530+G540</f>
        <v>14701.94</v>
      </c>
      <c r="H529" s="22">
        <f t="shared" ref="H529" si="547">H530+H540</f>
        <v>7125.9</v>
      </c>
      <c r="I529" s="22">
        <f t="shared" ref="I529:L529" si="548">I530+I540</f>
        <v>13501.522352941176</v>
      </c>
      <c r="J529" s="22">
        <f t="shared" si="548"/>
        <v>14092.9</v>
      </c>
      <c r="K529" s="22">
        <f t="shared" si="548"/>
        <v>14273.8</v>
      </c>
      <c r="L529" s="22">
        <f t="shared" si="548"/>
        <v>14372.9</v>
      </c>
      <c r="M529" s="22">
        <f>M530+M540</f>
        <v>14750</v>
      </c>
      <c r="N529" s="22">
        <f t="shared" ref="N529" si="549">N530+N540</f>
        <v>2344.9</v>
      </c>
      <c r="O529" s="22">
        <f t="shared" si="544"/>
        <v>15.897627118644067</v>
      </c>
    </row>
    <row r="530" spans="1:15" ht="78.75">
      <c r="A530" s="24" t="s">
        <v>202</v>
      </c>
      <c r="B530" s="213">
        <v>905</v>
      </c>
      <c r="C530" s="215" t="s">
        <v>171</v>
      </c>
      <c r="D530" s="215" t="s">
        <v>203</v>
      </c>
      <c r="E530" s="215"/>
      <c r="F530" s="215"/>
      <c r="G530" s="22">
        <f t="shared" ref="G530:L532" si="550">G531</f>
        <v>11089</v>
      </c>
      <c r="H530" s="22">
        <f t="shared" si="550"/>
        <v>6704.5</v>
      </c>
      <c r="I530" s="22">
        <f t="shared" si="550"/>
        <v>9888.5823529411755</v>
      </c>
      <c r="J530" s="22">
        <f t="shared" si="550"/>
        <v>10969.4</v>
      </c>
      <c r="K530" s="22">
        <f t="shared" si="550"/>
        <v>10969.4</v>
      </c>
      <c r="L530" s="22">
        <f t="shared" si="550"/>
        <v>10969.4</v>
      </c>
      <c r="M530" s="22">
        <f t="shared" ref="M530:N532" si="551">M531</f>
        <v>10426.5</v>
      </c>
      <c r="N530" s="22">
        <f t="shared" si="551"/>
        <v>2266.1</v>
      </c>
      <c r="O530" s="22">
        <f t="shared" si="544"/>
        <v>21.734043063348199</v>
      </c>
    </row>
    <row r="531" spans="1:15" ht="15.75">
      <c r="A531" s="26" t="s">
        <v>174</v>
      </c>
      <c r="B531" s="216">
        <v>905</v>
      </c>
      <c r="C531" s="214" t="s">
        <v>171</v>
      </c>
      <c r="D531" s="214" t="s">
        <v>203</v>
      </c>
      <c r="E531" s="214" t="s">
        <v>175</v>
      </c>
      <c r="F531" s="214"/>
      <c r="G531" s="27">
        <f>G532</f>
        <v>11089</v>
      </c>
      <c r="H531" s="27">
        <f>H532</f>
        <v>6704.5</v>
      </c>
      <c r="I531" s="27">
        <f t="shared" si="550"/>
        <v>9888.5823529411755</v>
      </c>
      <c r="J531" s="27">
        <f t="shared" si="550"/>
        <v>10969.4</v>
      </c>
      <c r="K531" s="27">
        <f t="shared" si="550"/>
        <v>10969.4</v>
      </c>
      <c r="L531" s="27">
        <f t="shared" si="550"/>
        <v>10969.4</v>
      </c>
      <c r="M531" s="27">
        <f t="shared" si="551"/>
        <v>10426.5</v>
      </c>
      <c r="N531" s="27">
        <f t="shared" si="551"/>
        <v>2266.1</v>
      </c>
      <c r="O531" s="27">
        <f t="shared" si="544"/>
        <v>21.734043063348199</v>
      </c>
    </row>
    <row r="532" spans="1:15" ht="31.5">
      <c r="A532" s="26" t="s">
        <v>176</v>
      </c>
      <c r="B532" s="216">
        <v>905</v>
      </c>
      <c r="C532" s="214" t="s">
        <v>171</v>
      </c>
      <c r="D532" s="214" t="s">
        <v>203</v>
      </c>
      <c r="E532" s="214" t="s">
        <v>177</v>
      </c>
      <c r="F532" s="214"/>
      <c r="G532" s="27">
        <f t="shared" si="550"/>
        <v>11089</v>
      </c>
      <c r="H532" s="27">
        <f t="shared" si="550"/>
        <v>6704.5</v>
      </c>
      <c r="I532" s="27">
        <f t="shared" si="550"/>
        <v>9888.5823529411755</v>
      </c>
      <c r="J532" s="27">
        <f t="shared" si="550"/>
        <v>10969.4</v>
      </c>
      <c r="K532" s="27">
        <f t="shared" si="550"/>
        <v>10969.4</v>
      </c>
      <c r="L532" s="27">
        <f t="shared" si="550"/>
        <v>10969.4</v>
      </c>
      <c r="M532" s="27">
        <f t="shared" si="551"/>
        <v>10426.5</v>
      </c>
      <c r="N532" s="27">
        <f t="shared" si="551"/>
        <v>2266.1</v>
      </c>
      <c r="O532" s="27">
        <f t="shared" si="544"/>
        <v>21.734043063348199</v>
      </c>
    </row>
    <row r="533" spans="1:15" ht="47.25">
      <c r="A533" s="26" t="s">
        <v>178</v>
      </c>
      <c r="B533" s="216">
        <v>905</v>
      </c>
      <c r="C533" s="214" t="s">
        <v>171</v>
      </c>
      <c r="D533" s="214" t="s">
        <v>203</v>
      </c>
      <c r="E533" s="214" t="s">
        <v>179</v>
      </c>
      <c r="F533" s="214"/>
      <c r="G533" s="27">
        <f>G534+G536+G538</f>
        <v>11089</v>
      </c>
      <c r="H533" s="27">
        <f>H534+H536+H538</f>
        <v>6704.5</v>
      </c>
      <c r="I533" s="27">
        <f t="shared" ref="I533:L533" si="552">I534+I536+I538</f>
        <v>9888.5823529411755</v>
      </c>
      <c r="J533" s="27">
        <f t="shared" si="552"/>
        <v>10969.4</v>
      </c>
      <c r="K533" s="27">
        <f t="shared" si="552"/>
        <v>10969.4</v>
      </c>
      <c r="L533" s="27">
        <f t="shared" si="552"/>
        <v>10969.4</v>
      </c>
      <c r="M533" s="27">
        <f t="shared" ref="M533:N533" si="553">M534+M536+M538</f>
        <v>10426.5</v>
      </c>
      <c r="N533" s="27">
        <f t="shared" si="553"/>
        <v>2266.1</v>
      </c>
      <c r="O533" s="27">
        <f t="shared" si="544"/>
        <v>21.734043063348199</v>
      </c>
    </row>
    <row r="534" spans="1:15" ht="94.5">
      <c r="A534" s="26" t="s">
        <v>180</v>
      </c>
      <c r="B534" s="216">
        <v>905</v>
      </c>
      <c r="C534" s="214" t="s">
        <v>171</v>
      </c>
      <c r="D534" s="214" t="s">
        <v>203</v>
      </c>
      <c r="E534" s="214" t="s">
        <v>179</v>
      </c>
      <c r="F534" s="214" t="s">
        <v>181</v>
      </c>
      <c r="G534" s="27">
        <f t="shared" ref="G534:L534" si="554">G535</f>
        <v>10200.700000000001</v>
      </c>
      <c r="H534" s="27">
        <f t="shared" si="554"/>
        <v>6375.2</v>
      </c>
      <c r="I534" s="27">
        <f t="shared" si="554"/>
        <v>9000.2823529411762</v>
      </c>
      <c r="J534" s="27">
        <f t="shared" si="554"/>
        <v>9605.9</v>
      </c>
      <c r="K534" s="27">
        <f t="shared" si="554"/>
        <v>9605.9</v>
      </c>
      <c r="L534" s="27">
        <f t="shared" si="554"/>
        <v>9605.9</v>
      </c>
      <c r="M534" s="27">
        <f t="shared" ref="M534:N534" si="555">M535</f>
        <v>9605.9</v>
      </c>
      <c r="N534" s="27">
        <f t="shared" si="555"/>
        <v>2128.1999999999998</v>
      </c>
      <c r="O534" s="27">
        <f t="shared" si="544"/>
        <v>22.155133824003997</v>
      </c>
    </row>
    <row r="535" spans="1:15" ht="31.5">
      <c r="A535" s="26" t="s">
        <v>182</v>
      </c>
      <c r="B535" s="216">
        <v>905</v>
      </c>
      <c r="C535" s="214" t="s">
        <v>171</v>
      </c>
      <c r="D535" s="214" t="s">
        <v>203</v>
      </c>
      <c r="E535" s="214" t="s">
        <v>179</v>
      </c>
      <c r="F535" s="214" t="s">
        <v>183</v>
      </c>
      <c r="G535" s="28">
        <v>10200.700000000001</v>
      </c>
      <c r="H535" s="28">
        <v>6375.2</v>
      </c>
      <c r="I535" s="28">
        <f>H535/8.5*12</f>
        <v>9000.2823529411762</v>
      </c>
      <c r="J535" s="28">
        <v>9605.9</v>
      </c>
      <c r="K535" s="28">
        <f>J535</f>
        <v>9605.9</v>
      </c>
      <c r="L535" s="28">
        <f>K535</f>
        <v>9605.9</v>
      </c>
      <c r="M535" s="28">
        <v>9605.9</v>
      </c>
      <c r="N535" s="28">
        <v>2128.1999999999998</v>
      </c>
      <c r="O535" s="27">
        <f t="shared" si="544"/>
        <v>22.155133824003997</v>
      </c>
    </row>
    <row r="536" spans="1:15" ht="31.5">
      <c r="A536" s="26" t="s">
        <v>184</v>
      </c>
      <c r="B536" s="216">
        <v>905</v>
      </c>
      <c r="C536" s="214" t="s">
        <v>171</v>
      </c>
      <c r="D536" s="214" t="s">
        <v>203</v>
      </c>
      <c r="E536" s="214" t="s">
        <v>179</v>
      </c>
      <c r="F536" s="214" t="s">
        <v>185</v>
      </c>
      <c r="G536" s="27">
        <f t="shared" ref="G536:L536" si="556">G537</f>
        <v>811.8</v>
      </c>
      <c r="H536" s="27">
        <f t="shared" si="556"/>
        <v>286.10000000000002</v>
      </c>
      <c r="I536" s="27">
        <f t="shared" si="556"/>
        <v>811.8</v>
      </c>
      <c r="J536" s="27">
        <f t="shared" si="556"/>
        <v>1287</v>
      </c>
      <c r="K536" s="27">
        <f t="shared" si="556"/>
        <v>1287</v>
      </c>
      <c r="L536" s="27">
        <f t="shared" si="556"/>
        <v>1287</v>
      </c>
      <c r="M536" s="27">
        <f t="shared" ref="M536:N536" si="557">M537</f>
        <v>805.59999999999991</v>
      </c>
      <c r="N536" s="27">
        <f t="shared" si="557"/>
        <v>122.9</v>
      </c>
      <c r="O536" s="27">
        <f t="shared" si="544"/>
        <v>15.255710029791461</v>
      </c>
    </row>
    <row r="537" spans="1:15" ht="47.25">
      <c r="A537" s="26" t="s">
        <v>186</v>
      </c>
      <c r="B537" s="216">
        <v>905</v>
      </c>
      <c r="C537" s="214" t="s">
        <v>171</v>
      </c>
      <c r="D537" s="214" t="s">
        <v>203</v>
      </c>
      <c r="E537" s="214" t="s">
        <v>179</v>
      </c>
      <c r="F537" s="214" t="s">
        <v>187</v>
      </c>
      <c r="G537" s="28">
        <f>885.8-74</f>
        <v>811.8</v>
      </c>
      <c r="H537" s="28">
        <v>286.10000000000002</v>
      </c>
      <c r="I537" s="28">
        <f t="shared" ref="I537" si="558">885.8-74</f>
        <v>811.8</v>
      </c>
      <c r="J537" s="28">
        <f>1363.5-J539</f>
        <v>1287</v>
      </c>
      <c r="K537" s="28">
        <f>J537</f>
        <v>1287</v>
      </c>
      <c r="L537" s="28">
        <f>K537</f>
        <v>1287</v>
      </c>
      <c r="M537" s="28">
        <f>885.8-74-6.2</f>
        <v>805.59999999999991</v>
      </c>
      <c r="N537" s="28">
        <v>122.9</v>
      </c>
      <c r="O537" s="27">
        <f t="shared" si="544"/>
        <v>15.255710029791461</v>
      </c>
    </row>
    <row r="538" spans="1:15" ht="15.75">
      <c r="A538" s="26" t="s">
        <v>188</v>
      </c>
      <c r="B538" s="216">
        <v>905</v>
      </c>
      <c r="C538" s="214" t="s">
        <v>171</v>
      </c>
      <c r="D538" s="214" t="s">
        <v>203</v>
      </c>
      <c r="E538" s="214" t="s">
        <v>179</v>
      </c>
      <c r="F538" s="214" t="s">
        <v>198</v>
      </c>
      <c r="G538" s="27">
        <f t="shared" ref="G538:L538" si="559">G539</f>
        <v>76.5</v>
      </c>
      <c r="H538" s="27">
        <f t="shared" si="559"/>
        <v>43.2</v>
      </c>
      <c r="I538" s="27">
        <f t="shared" si="559"/>
        <v>76.5</v>
      </c>
      <c r="J538" s="27">
        <f t="shared" si="559"/>
        <v>76.5</v>
      </c>
      <c r="K538" s="27">
        <f t="shared" si="559"/>
        <v>76.5</v>
      </c>
      <c r="L538" s="27">
        <f t="shared" si="559"/>
        <v>76.5</v>
      </c>
      <c r="M538" s="27">
        <f t="shared" ref="M538:N538" si="560">M539</f>
        <v>15</v>
      </c>
      <c r="N538" s="27">
        <f t="shared" si="560"/>
        <v>15</v>
      </c>
      <c r="O538" s="27">
        <f t="shared" si="544"/>
        <v>100</v>
      </c>
    </row>
    <row r="539" spans="1:15" ht="15.75">
      <c r="A539" s="26" t="s">
        <v>622</v>
      </c>
      <c r="B539" s="216">
        <v>905</v>
      </c>
      <c r="C539" s="214" t="s">
        <v>171</v>
      </c>
      <c r="D539" s="214" t="s">
        <v>203</v>
      </c>
      <c r="E539" s="214" t="s">
        <v>179</v>
      </c>
      <c r="F539" s="214" t="s">
        <v>191</v>
      </c>
      <c r="G539" s="27">
        <f>2.5+74</f>
        <v>76.5</v>
      </c>
      <c r="H539" s="27">
        <v>43.2</v>
      </c>
      <c r="I539" s="27">
        <f t="shared" ref="I539:L539" si="561">2.5+74</f>
        <v>76.5</v>
      </c>
      <c r="J539" s="27">
        <f t="shared" si="561"/>
        <v>76.5</v>
      </c>
      <c r="K539" s="27">
        <f t="shared" si="561"/>
        <v>76.5</v>
      </c>
      <c r="L539" s="27">
        <f t="shared" si="561"/>
        <v>76.5</v>
      </c>
      <c r="M539" s="27">
        <f>8.8+6.2</f>
        <v>15</v>
      </c>
      <c r="N539" s="27">
        <v>15</v>
      </c>
      <c r="O539" s="27">
        <f t="shared" si="544"/>
        <v>100</v>
      </c>
    </row>
    <row r="540" spans="1:15" ht="15.75">
      <c r="A540" s="24" t="s">
        <v>192</v>
      </c>
      <c r="B540" s="213">
        <v>905</v>
      </c>
      <c r="C540" s="215" t="s">
        <v>171</v>
      </c>
      <c r="D540" s="215" t="s">
        <v>193</v>
      </c>
      <c r="E540" s="215"/>
      <c r="F540" s="215"/>
      <c r="G540" s="22">
        <f t="shared" ref="G540:L540" si="562">G545</f>
        <v>3612.94</v>
      </c>
      <c r="H540" s="22">
        <f t="shared" si="562"/>
        <v>421.4</v>
      </c>
      <c r="I540" s="22">
        <f t="shared" si="562"/>
        <v>3612.94</v>
      </c>
      <c r="J540" s="22">
        <f t="shared" si="562"/>
        <v>3123.5</v>
      </c>
      <c r="K540" s="22">
        <f t="shared" si="562"/>
        <v>3304.4</v>
      </c>
      <c r="L540" s="22">
        <f t="shared" si="562"/>
        <v>3403.5</v>
      </c>
      <c r="M540" s="22">
        <f>M545+M541</f>
        <v>4323.5</v>
      </c>
      <c r="N540" s="22">
        <f t="shared" ref="N540" si="563">N545+N541</f>
        <v>78.8</v>
      </c>
      <c r="O540" s="22">
        <f t="shared" si="544"/>
        <v>1.8225974326355963</v>
      </c>
    </row>
    <row r="541" spans="1:15" s="136" customFormat="1" ht="72.75" customHeight="1">
      <c r="A541" s="26" t="s">
        <v>961</v>
      </c>
      <c r="B541" s="216">
        <v>905</v>
      </c>
      <c r="C541" s="214" t="s">
        <v>171</v>
      </c>
      <c r="D541" s="214" t="s">
        <v>193</v>
      </c>
      <c r="E541" s="214" t="s">
        <v>966</v>
      </c>
      <c r="F541" s="214"/>
      <c r="G541" s="27"/>
      <c r="H541" s="27"/>
      <c r="I541" s="27"/>
      <c r="J541" s="27"/>
      <c r="K541" s="27"/>
      <c r="L541" s="27"/>
      <c r="M541" s="27">
        <f>M542</f>
        <v>200</v>
      </c>
      <c r="N541" s="27">
        <f t="shared" ref="N541:N543" si="564">N542</f>
        <v>0</v>
      </c>
      <c r="O541" s="27">
        <f t="shared" si="544"/>
        <v>0</v>
      </c>
    </row>
    <row r="542" spans="1:15" s="136" customFormat="1" ht="31.5">
      <c r="A542" s="26" t="s">
        <v>810</v>
      </c>
      <c r="B542" s="216">
        <v>905</v>
      </c>
      <c r="C542" s="214" t="s">
        <v>171</v>
      </c>
      <c r="D542" s="214" t="s">
        <v>193</v>
      </c>
      <c r="E542" s="214" t="s">
        <v>962</v>
      </c>
      <c r="F542" s="214"/>
      <c r="G542" s="27"/>
      <c r="H542" s="27"/>
      <c r="I542" s="27"/>
      <c r="J542" s="27"/>
      <c r="K542" s="27"/>
      <c r="L542" s="27"/>
      <c r="M542" s="27">
        <f>M543</f>
        <v>200</v>
      </c>
      <c r="N542" s="27">
        <f t="shared" si="564"/>
        <v>0</v>
      </c>
      <c r="O542" s="27">
        <f t="shared" si="544"/>
        <v>0</v>
      </c>
    </row>
    <row r="543" spans="1:15" s="136" customFormat="1" ht="31.5">
      <c r="A543" s="26" t="s">
        <v>184</v>
      </c>
      <c r="B543" s="216">
        <v>905</v>
      </c>
      <c r="C543" s="214" t="s">
        <v>171</v>
      </c>
      <c r="D543" s="214" t="s">
        <v>193</v>
      </c>
      <c r="E543" s="214" t="s">
        <v>962</v>
      </c>
      <c r="F543" s="214" t="s">
        <v>185</v>
      </c>
      <c r="G543" s="27"/>
      <c r="H543" s="27"/>
      <c r="I543" s="27"/>
      <c r="J543" s="27"/>
      <c r="K543" s="27"/>
      <c r="L543" s="27"/>
      <c r="M543" s="27">
        <f>M544</f>
        <v>200</v>
      </c>
      <c r="N543" s="27">
        <f t="shared" si="564"/>
        <v>0</v>
      </c>
      <c r="O543" s="27">
        <f t="shared" si="544"/>
        <v>0</v>
      </c>
    </row>
    <row r="544" spans="1:15" s="136" customFormat="1" ht="47.25">
      <c r="A544" s="26" t="s">
        <v>186</v>
      </c>
      <c r="B544" s="216">
        <v>905</v>
      </c>
      <c r="C544" s="214" t="s">
        <v>171</v>
      </c>
      <c r="D544" s="214" t="s">
        <v>193</v>
      </c>
      <c r="E544" s="214" t="s">
        <v>962</v>
      </c>
      <c r="F544" s="214" t="s">
        <v>187</v>
      </c>
      <c r="G544" s="27"/>
      <c r="H544" s="27"/>
      <c r="I544" s="27"/>
      <c r="J544" s="27"/>
      <c r="K544" s="27"/>
      <c r="L544" s="27"/>
      <c r="M544" s="27">
        <v>200</v>
      </c>
      <c r="N544" s="27">
        <v>0</v>
      </c>
      <c r="O544" s="27">
        <f t="shared" si="544"/>
        <v>0</v>
      </c>
    </row>
    <row r="545" spans="1:15" ht="15.75">
      <c r="A545" s="26" t="s">
        <v>174</v>
      </c>
      <c r="B545" s="216">
        <v>905</v>
      </c>
      <c r="C545" s="214" t="s">
        <v>171</v>
      </c>
      <c r="D545" s="214" t="s">
        <v>193</v>
      </c>
      <c r="E545" s="214" t="s">
        <v>175</v>
      </c>
      <c r="F545" s="214"/>
      <c r="G545" s="27">
        <f>G546</f>
        <v>3612.94</v>
      </c>
      <c r="H545" s="27">
        <f>H546</f>
        <v>421.4</v>
      </c>
      <c r="I545" s="27">
        <f t="shared" ref="G545:L548" si="565">I546</f>
        <v>3612.94</v>
      </c>
      <c r="J545" s="27">
        <f t="shared" si="565"/>
        <v>3123.5</v>
      </c>
      <c r="K545" s="27">
        <f t="shared" si="565"/>
        <v>3304.4</v>
      </c>
      <c r="L545" s="27">
        <f t="shared" si="565"/>
        <v>3403.5</v>
      </c>
      <c r="M545" s="27">
        <f t="shared" ref="M545:N548" si="566">M546</f>
        <v>4123.5</v>
      </c>
      <c r="N545" s="27">
        <f t="shared" si="566"/>
        <v>78.8</v>
      </c>
      <c r="O545" s="27">
        <f t="shared" si="544"/>
        <v>1.9109979386443554</v>
      </c>
    </row>
    <row r="546" spans="1:15" ht="15.75">
      <c r="A546" s="26" t="s">
        <v>194</v>
      </c>
      <c r="B546" s="216">
        <v>905</v>
      </c>
      <c r="C546" s="214" t="s">
        <v>171</v>
      </c>
      <c r="D546" s="214" t="s">
        <v>193</v>
      </c>
      <c r="E546" s="214" t="s">
        <v>195</v>
      </c>
      <c r="F546" s="214"/>
      <c r="G546" s="27">
        <f t="shared" si="565"/>
        <v>3612.94</v>
      </c>
      <c r="H546" s="27">
        <f t="shared" si="565"/>
        <v>421.4</v>
      </c>
      <c r="I546" s="27">
        <f t="shared" si="565"/>
        <v>3612.94</v>
      </c>
      <c r="J546" s="27">
        <f t="shared" si="565"/>
        <v>3123.5</v>
      </c>
      <c r="K546" s="27">
        <f t="shared" si="565"/>
        <v>3304.4</v>
      </c>
      <c r="L546" s="27">
        <f t="shared" si="565"/>
        <v>3403.5</v>
      </c>
      <c r="M546" s="27">
        <f t="shared" si="566"/>
        <v>4123.5</v>
      </c>
      <c r="N546" s="27">
        <f t="shared" si="566"/>
        <v>78.8</v>
      </c>
      <c r="O546" s="27">
        <f t="shared" si="544"/>
        <v>1.9109979386443554</v>
      </c>
    </row>
    <row r="547" spans="1:15" ht="47.25">
      <c r="A547" s="26" t="s">
        <v>442</v>
      </c>
      <c r="B547" s="216">
        <v>905</v>
      </c>
      <c r="C547" s="214" t="s">
        <v>171</v>
      </c>
      <c r="D547" s="214" t="s">
        <v>193</v>
      </c>
      <c r="E547" s="214" t="s">
        <v>443</v>
      </c>
      <c r="F547" s="214"/>
      <c r="G547" s="27">
        <f>G548</f>
        <v>3612.94</v>
      </c>
      <c r="H547" s="27">
        <f>H548</f>
        <v>421.4</v>
      </c>
      <c r="I547" s="27">
        <f t="shared" si="565"/>
        <v>3612.94</v>
      </c>
      <c r="J547" s="27">
        <f t="shared" si="565"/>
        <v>3123.5</v>
      </c>
      <c r="K547" s="27">
        <f t="shared" si="565"/>
        <v>3304.4</v>
      </c>
      <c r="L547" s="27">
        <f t="shared" si="565"/>
        <v>3403.5</v>
      </c>
      <c r="M547" s="27">
        <f t="shared" si="566"/>
        <v>4123.5</v>
      </c>
      <c r="N547" s="27">
        <f t="shared" si="566"/>
        <v>78.8</v>
      </c>
      <c r="O547" s="27">
        <f t="shared" si="544"/>
        <v>1.9109979386443554</v>
      </c>
    </row>
    <row r="548" spans="1:15" ht="31.5">
      <c r="A548" s="26" t="s">
        <v>184</v>
      </c>
      <c r="B548" s="216">
        <v>905</v>
      </c>
      <c r="C548" s="214" t="s">
        <v>171</v>
      </c>
      <c r="D548" s="214" t="s">
        <v>193</v>
      </c>
      <c r="E548" s="214" t="s">
        <v>443</v>
      </c>
      <c r="F548" s="214" t="s">
        <v>185</v>
      </c>
      <c r="G548" s="27">
        <f t="shared" si="565"/>
        <v>3612.94</v>
      </c>
      <c r="H548" s="27">
        <f t="shared" si="565"/>
        <v>421.4</v>
      </c>
      <c r="I548" s="27">
        <f t="shared" si="565"/>
        <v>3612.94</v>
      </c>
      <c r="J548" s="27">
        <f t="shared" si="565"/>
        <v>3123.5</v>
      </c>
      <c r="K548" s="27">
        <f t="shared" si="565"/>
        <v>3304.4</v>
      </c>
      <c r="L548" s="27">
        <f t="shared" si="565"/>
        <v>3403.5</v>
      </c>
      <c r="M548" s="27">
        <f t="shared" si="566"/>
        <v>4123.5</v>
      </c>
      <c r="N548" s="27">
        <f t="shared" si="566"/>
        <v>78.8</v>
      </c>
      <c r="O548" s="27">
        <f t="shared" si="544"/>
        <v>1.9109979386443554</v>
      </c>
    </row>
    <row r="549" spans="1:15" ht="47.25">
      <c r="A549" s="26" t="s">
        <v>186</v>
      </c>
      <c r="B549" s="216">
        <v>905</v>
      </c>
      <c r="C549" s="214" t="s">
        <v>171</v>
      </c>
      <c r="D549" s="214" t="s">
        <v>193</v>
      </c>
      <c r="E549" s="214" t="s">
        <v>443</v>
      </c>
      <c r="F549" s="214" t="s">
        <v>187</v>
      </c>
      <c r="G549" s="27">
        <f>1961.14+1251.8+400</f>
        <v>3612.94</v>
      </c>
      <c r="H549" s="27">
        <v>421.4</v>
      </c>
      <c r="I549" s="27">
        <f t="shared" ref="I549" si="567">1961.14+1251.8+400</f>
        <v>3612.94</v>
      </c>
      <c r="J549" s="27">
        <v>3123.5</v>
      </c>
      <c r="K549" s="27">
        <v>3304.4</v>
      </c>
      <c r="L549" s="27">
        <v>3403.5</v>
      </c>
      <c r="M549" s="27">
        <f>3123.5+1000</f>
        <v>4123.5</v>
      </c>
      <c r="N549" s="27">
        <v>78.8</v>
      </c>
      <c r="O549" s="27">
        <f t="shared" si="544"/>
        <v>1.9109979386443554</v>
      </c>
    </row>
    <row r="550" spans="1:15" ht="15.75">
      <c r="A550" s="43" t="s">
        <v>444</v>
      </c>
      <c r="B550" s="213">
        <v>905</v>
      </c>
      <c r="C550" s="215" t="s">
        <v>287</v>
      </c>
      <c r="D550" s="215"/>
      <c r="E550" s="215"/>
      <c r="F550" s="215"/>
      <c r="G550" s="22">
        <f t="shared" ref="G550:L551" si="568">G551</f>
        <v>1099.8</v>
      </c>
      <c r="H550" s="22">
        <f t="shared" si="568"/>
        <v>86.5</v>
      </c>
      <c r="I550" s="22">
        <f t="shared" si="568"/>
        <v>992.2</v>
      </c>
      <c r="J550" s="22">
        <f t="shared" si="568"/>
        <v>263.2</v>
      </c>
      <c r="K550" s="22">
        <f t="shared" si="568"/>
        <v>263.2</v>
      </c>
      <c r="L550" s="22">
        <f t="shared" si="568"/>
        <v>263.2</v>
      </c>
      <c r="M550" s="22">
        <f t="shared" ref="M550:N551" si="569">M551</f>
        <v>263.2</v>
      </c>
      <c r="N550" s="22">
        <f t="shared" si="569"/>
        <v>38.299999999999997</v>
      </c>
      <c r="O550" s="22">
        <f t="shared" si="544"/>
        <v>14.551671732522795</v>
      </c>
    </row>
    <row r="551" spans="1:15" ht="15.75">
      <c r="A551" s="43" t="s">
        <v>445</v>
      </c>
      <c r="B551" s="213">
        <v>905</v>
      </c>
      <c r="C551" s="215" t="s">
        <v>287</v>
      </c>
      <c r="D551" s="215" t="s">
        <v>171</v>
      </c>
      <c r="E551" s="215"/>
      <c r="F551" s="215"/>
      <c r="G551" s="22">
        <f>G552</f>
        <v>1099.8</v>
      </c>
      <c r="H551" s="22">
        <f t="shared" si="568"/>
        <v>86.5</v>
      </c>
      <c r="I551" s="22">
        <f t="shared" si="568"/>
        <v>992.2</v>
      </c>
      <c r="J551" s="22">
        <f t="shared" si="568"/>
        <v>263.2</v>
      </c>
      <c r="K551" s="22">
        <f t="shared" si="568"/>
        <v>263.2</v>
      </c>
      <c r="L551" s="22">
        <f t="shared" si="568"/>
        <v>263.2</v>
      </c>
      <c r="M551" s="22">
        <f t="shared" si="569"/>
        <v>263.2</v>
      </c>
      <c r="N551" s="22">
        <f t="shared" si="569"/>
        <v>38.299999999999997</v>
      </c>
      <c r="O551" s="22">
        <f t="shared" si="544"/>
        <v>14.551671732522795</v>
      </c>
    </row>
    <row r="552" spans="1:15" ht="15.75">
      <c r="A552" s="31" t="s">
        <v>174</v>
      </c>
      <c r="B552" s="216">
        <v>905</v>
      </c>
      <c r="C552" s="214" t="s">
        <v>287</v>
      </c>
      <c r="D552" s="214" t="s">
        <v>171</v>
      </c>
      <c r="E552" s="214" t="s">
        <v>175</v>
      </c>
      <c r="F552" s="214"/>
      <c r="G552" s="27">
        <f t="shared" ref="G552:L552" si="570">G558+G553</f>
        <v>1099.8</v>
      </c>
      <c r="H552" s="27">
        <f t="shared" si="570"/>
        <v>86.5</v>
      </c>
      <c r="I552" s="27">
        <f t="shared" si="570"/>
        <v>992.2</v>
      </c>
      <c r="J552" s="27">
        <f t="shared" si="570"/>
        <v>263.2</v>
      </c>
      <c r="K552" s="27">
        <f t="shared" si="570"/>
        <v>263.2</v>
      </c>
      <c r="L552" s="27">
        <f t="shared" si="570"/>
        <v>263.2</v>
      </c>
      <c r="M552" s="27">
        <f t="shared" ref="M552:N552" si="571">M558+M553</f>
        <v>263.2</v>
      </c>
      <c r="N552" s="27">
        <f t="shared" si="571"/>
        <v>38.299999999999997</v>
      </c>
      <c r="O552" s="27">
        <f t="shared" si="544"/>
        <v>14.551671732522795</v>
      </c>
    </row>
    <row r="553" spans="1:15" ht="31.5" hidden="1" customHeight="1">
      <c r="A553" s="26" t="s">
        <v>238</v>
      </c>
      <c r="B553" s="222">
        <v>905</v>
      </c>
      <c r="C553" s="214" t="s">
        <v>287</v>
      </c>
      <c r="D553" s="214" t="s">
        <v>171</v>
      </c>
      <c r="E553" s="214" t="s">
        <v>239</v>
      </c>
      <c r="F553" s="214"/>
      <c r="G553" s="27">
        <f t="shared" ref="G553:L556" si="572">G554</f>
        <v>0</v>
      </c>
      <c r="H553" s="27">
        <f t="shared" si="572"/>
        <v>0</v>
      </c>
      <c r="I553" s="27">
        <f t="shared" si="572"/>
        <v>0</v>
      </c>
      <c r="J553" s="27">
        <f t="shared" si="572"/>
        <v>0</v>
      </c>
      <c r="K553" s="27">
        <f t="shared" si="572"/>
        <v>0</v>
      </c>
      <c r="L553" s="27">
        <f t="shared" si="572"/>
        <v>0</v>
      </c>
      <c r="M553" s="27">
        <f t="shared" ref="M553:N556" si="573">M554</f>
        <v>0</v>
      </c>
      <c r="N553" s="27">
        <f t="shared" si="573"/>
        <v>0</v>
      </c>
      <c r="O553" s="27" t="e">
        <f t="shared" si="544"/>
        <v>#DIV/0!</v>
      </c>
    </row>
    <row r="554" spans="1:15" ht="47.25" hidden="1" customHeight="1">
      <c r="A554" s="38" t="s">
        <v>446</v>
      </c>
      <c r="B554" s="222">
        <v>905</v>
      </c>
      <c r="C554" s="214" t="s">
        <v>287</v>
      </c>
      <c r="D554" s="214" t="s">
        <v>171</v>
      </c>
      <c r="E554" s="214" t="s">
        <v>447</v>
      </c>
      <c r="F554" s="214"/>
      <c r="G554" s="27">
        <f t="shared" si="572"/>
        <v>0</v>
      </c>
      <c r="H554" s="27">
        <f t="shared" si="572"/>
        <v>0</v>
      </c>
      <c r="I554" s="27">
        <f t="shared" si="572"/>
        <v>0</v>
      </c>
      <c r="J554" s="27">
        <f t="shared" si="572"/>
        <v>0</v>
      </c>
      <c r="K554" s="27">
        <f t="shared" si="572"/>
        <v>0</v>
      </c>
      <c r="L554" s="27">
        <f t="shared" si="572"/>
        <v>0</v>
      </c>
      <c r="M554" s="27">
        <f t="shared" si="573"/>
        <v>0</v>
      </c>
      <c r="N554" s="27">
        <f t="shared" si="573"/>
        <v>0</v>
      </c>
      <c r="O554" s="27" t="e">
        <f t="shared" si="544"/>
        <v>#DIV/0!</v>
      </c>
    </row>
    <row r="555" spans="1:15" ht="31.5" hidden="1" customHeight="1">
      <c r="A555" s="44" t="s">
        <v>448</v>
      </c>
      <c r="B555" s="222">
        <v>905</v>
      </c>
      <c r="C555" s="214" t="s">
        <v>287</v>
      </c>
      <c r="D555" s="214" t="s">
        <v>171</v>
      </c>
      <c r="E555" s="214" t="s">
        <v>449</v>
      </c>
      <c r="F555" s="214"/>
      <c r="G555" s="27">
        <f t="shared" si="572"/>
        <v>0</v>
      </c>
      <c r="H555" s="27">
        <f t="shared" si="572"/>
        <v>0</v>
      </c>
      <c r="I555" s="27">
        <f t="shared" si="572"/>
        <v>0</v>
      </c>
      <c r="J555" s="27">
        <f t="shared" si="572"/>
        <v>0</v>
      </c>
      <c r="K555" s="27">
        <f t="shared" si="572"/>
        <v>0</v>
      </c>
      <c r="L555" s="27">
        <f t="shared" si="572"/>
        <v>0</v>
      </c>
      <c r="M555" s="27">
        <f t="shared" si="573"/>
        <v>0</v>
      </c>
      <c r="N555" s="27">
        <f t="shared" si="573"/>
        <v>0</v>
      </c>
      <c r="O555" s="27" t="e">
        <f t="shared" si="544"/>
        <v>#DIV/0!</v>
      </c>
    </row>
    <row r="556" spans="1:15" ht="31.5" hidden="1" customHeight="1">
      <c r="A556" s="26" t="s">
        <v>184</v>
      </c>
      <c r="B556" s="216">
        <v>905</v>
      </c>
      <c r="C556" s="214" t="s">
        <v>287</v>
      </c>
      <c r="D556" s="214" t="s">
        <v>171</v>
      </c>
      <c r="E556" s="214" t="s">
        <v>449</v>
      </c>
      <c r="F556" s="214" t="s">
        <v>185</v>
      </c>
      <c r="G556" s="27">
        <f t="shared" si="572"/>
        <v>0</v>
      </c>
      <c r="H556" s="27">
        <f t="shared" si="572"/>
        <v>0</v>
      </c>
      <c r="I556" s="27">
        <f t="shared" si="572"/>
        <v>0</v>
      </c>
      <c r="J556" s="27">
        <f t="shared" si="572"/>
        <v>0</v>
      </c>
      <c r="K556" s="27">
        <f t="shared" si="572"/>
        <v>0</v>
      </c>
      <c r="L556" s="27">
        <f t="shared" si="572"/>
        <v>0</v>
      </c>
      <c r="M556" s="27">
        <f t="shared" si="573"/>
        <v>0</v>
      </c>
      <c r="N556" s="27">
        <f t="shared" si="573"/>
        <v>0</v>
      </c>
      <c r="O556" s="27" t="e">
        <f t="shared" si="544"/>
        <v>#DIV/0!</v>
      </c>
    </row>
    <row r="557" spans="1:15" ht="47.25" hidden="1" customHeight="1">
      <c r="A557" s="26" t="s">
        <v>186</v>
      </c>
      <c r="B557" s="216">
        <v>905</v>
      </c>
      <c r="C557" s="214" t="s">
        <v>287</v>
      </c>
      <c r="D557" s="214" t="s">
        <v>171</v>
      </c>
      <c r="E557" s="214" t="s">
        <v>449</v>
      </c>
      <c r="F557" s="214" t="s">
        <v>187</v>
      </c>
      <c r="G557" s="27"/>
      <c r="H557" s="27"/>
      <c r="I557" s="27"/>
      <c r="J557" s="27"/>
      <c r="K557" s="27"/>
      <c r="L557" s="27"/>
      <c r="M557" s="27"/>
      <c r="N557" s="27"/>
      <c r="O557" s="27" t="e">
        <f t="shared" si="544"/>
        <v>#DIV/0!</v>
      </c>
    </row>
    <row r="558" spans="1:15" ht="15.75">
      <c r="A558" s="31" t="s">
        <v>194</v>
      </c>
      <c r="B558" s="216">
        <v>905</v>
      </c>
      <c r="C558" s="214" t="s">
        <v>287</v>
      </c>
      <c r="D558" s="214" t="s">
        <v>171</v>
      </c>
      <c r="E558" s="214" t="s">
        <v>195</v>
      </c>
      <c r="F558" s="214"/>
      <c r="G558" s="27">
        <f>G559+G562</f>
        <v>1099.8</v>
      </c>
      <c r="H558" s="27">
        <f>H559+H562</f>
        <v>86.5</v>
      </c>
      <c r="I558" s="27">
        <f t="shared" ref="I558:L558" si="574">I559+I562</f>
        <v>992.2</v>
      </c>
      <c r="J558" s="27">
        <f t="shared" si="574"/>
        <v>263.2</v>
      </c>
      <c r="K558" s="27">
        <f t="shared" si="574"/>
        <v>263.2</v>
      </c>
      <c r="L558" s="27">
        <f t="shared" si="574"/>
        <v>263.2</v>
      </c>
      <c r="M558" s="27">
        <f t="shared" ref="M558:N558" si="575">M559+M562</f>
        <v>263.2</v>
      </c>
      <c r="N558" s="27">
        <f t="shared" si="575"/>
        <v>38.299999999999997</v>
      </c>
      <c r="O558" s="27">
        <f t="shared" si="544"/>
        <v>14.551671732522795</v>
      </c>
    </row>
    <row r="559" spans="1:15" ht="31.5">
      <c r="A559" s="31" t="s">
        <v>452</v>
      </c>
      <c r="B559" s="216">
        <v>905</v>
      </c>
      <c r="C559" s="214" t="s">
        <v>287</v>
      </c>
      <c r="D559" s="214" t="s">
        <v>171</v>
      </c>
      <c r="E559" s="214" t="s">
        <v>453</v>
      </c>
      <c r="F559" s="214"/>
      <c r="G559" s="27">
        <f>G560</f>
        <v>260.8</v>
      </c>
      <c r="H559" s="27">
        <f>H560</f>
        <v>86.5</v>
      </c>
      <c r="I559" s="27">
        <f t="shared" ref="I559:L559" si="576">I560</f>
        <v>260.8</v>
      </c>
      <c r="J559" s="27">
        <f t="shared" si="576"/>
        <v>263.2</v>
      </c>
      <c r="K559" s="27">
        <f t="shared" si="576"/>
        <v>263.2</v>
      </c>
      <c r="L559" s="27">
        <f t="shared" si="576"/>
        <v>263.2</v>
      </c>
      <c r="M559" s="27">
        <f t="shared" ref="M559:N560" si="577">M560</f>
        <v>263.2</v>
      </c>
      <c r="N559" s="27">
        <f t="shared" si="577"/>
        <v>38.299999999999997</v>
      </c>
      <c r="O559" s="27">
        <f t="shared" si="544"/>
        <v>14.551671732522795</v>
      </c>
    </row>
    <row r="560" spans="1:15" ht="31.5">
      <c r="A560" s="26" t="s">
        <v>184</v>
      </c>
      <c r="B560" s="216">
        <v>905</v>
      </c>
      <c r="C560" s="214" t="s">
        <v>287</v>
      </c>
      <c r="D560" s="214" t="s">
        <v>171</v>
      </c>
      <c r="E560" s="214" t="s">
        <v>453</v>
      </c>
      <c r="F560" s="214" t="s">
        <v>185</v>
      </c>
      <c r="G560" s="27">
        <f t="shared" ref="G560:L560" si="578">G561</f>
        <v>260.8</v>
      </c>
      <c r="H560" s="27">
        <f t="shared" si="578"/>
        <v>86.5</v>
      </c>
      <c r="I560" s="27">
        <f t="shared" si="578"/>
        <v>260.8</v>
      </c>
      <c r="J560" s="27">
        <f t="shared" si="578"/>
        <v>263.2</v>
      </c>
      <c r="K560" s="27">
        <f t="shared" si="578"/>
        <v>263.2</v>
      </c>
      <c r="L560" s="27">
        <f t="shared" si="578"/>
        <v>263.2</v>
      </c>
      <c r="M560" s="27">
        <f t="shared" si="577"/>
        <v>263.2</v>
      </c>
      <c r="N560" s="27">
        <f t="shared" si="577"/>
        <v>38.299999999999997</v>
      </c>
      <c r="O560" s="27">
        <f t="shared" si="544"/>
        <v>14.551671732522795</v>
      </c>
    </row>
    <row r="561" spans="1:15" ht="47.25">
      <c r="A561" s="26" t="s">
        <v>186</v>
      </c>
      <c r="B561" s="216">
        <v>905</v>
      </c>
      <c r="C561" s="214" t="s">
        <v>287</v>
      </c>
      <c r="D561" s="214" t="s">
        <v>171</v>
      </c>
      <c r="E561" s="214" t="s">
        <v>453</v>
      </c>
      <c r="F561" s="214" t="s">
        <v>187</v>
      </c>
      <c r="G561" s="27">
        <v>260.8</v>
      </c>
      <c r="H561" s="27">
        <v>86.5</v>
      </c>
      <c r="I561" s="27">
        <v>260.8</v>
      </c>
      <c r="J561" s="27">
        <v>263.2</v>
      </c>
      <c r="K561" s="27">
        <v>263.2</v>
      </c>
      <c r="L561" s="27">
        <v>263.2</v>
      </c>
      <c r="M561" s="27">
        <v>263.2</v>
      </c>
      <c r="N561" s="27">
        <v>38.299999999999997</v>
      </c>
      <c r="O561" s="27">
        <f t="shared" si="544"/>
        <v>14.551671732522795</v>
      </c>
    </row>
    <row r="562" spans="1:15" ht="15.75" hidden="1">
      <c r="A562" s="31" t="s">
        <v>450</v>
      </c>
      <c r="B562" s="216">
        <v>905</v>
      </c>
      <c r="C562" s="214" t="s">
        <v>287</v>
      </c>
      <c r="D562" s="214" t="s">
        <v>171</v>
      </c>
      <c r="E562" s="214" t="s">
        <v>451</v>
      </c>
      <c r="F562" s="214"/>
      <c r="G562" s="27">
        <f>G563</f>
        <v>839</v>
      </c>
      <c r="H562" s="27">
        <f>H563</f>
        <v>0</v>
      </c>
      <c r="I562" s="27">
        <f t="shared" ref="I562:L563" si="579">I563</f>
        <v>731.4</v>
      </c>
      <c r="J562" s="27">
        <f t="shared" si="579"/>
        <v>0</v>
      </c>
      <c r="K562" s="27">
        <f t="shared" si="579"/>
        <v>0</v>
      </c>
      <c r="L562" s="27">
        <f t="shared" si="579"/>
        <v>0</v>
      </c>
      <c r="M562" s="27">
        <f t="shared" ref="M562:N563" si="580">M563</f>
        <v>0</v>
      </c>
      <c r="N562" s="27">
        <f t="shared" si="580"/>
        <v>0</v>
      </c>
      <c r="O562" s="22" t="e">
        <f t="shared" si="544"/>
        <v>#DIV/0!</v>
      </c>
    </row>
    <row r="563" spans="1:15" ht="31.5" hidden="1">
      <c r="A563" s="26" t="s">
        <v>184</v>
      </c>
      <c r="B563" s="216">
        <v>905</v>
      </c>
      <c r="C563" s="214" t="s">
        <v>287</v>
      </c>
      <c r="D563" s="214" t="s">
        <v>171</v>
      </c>
      <c r="E563" s="214" t="s">
        <v>451</v>
      </c>
      <c r="F563" s="214" t="s">
        <v>185</v>
      </c>
      <c r="G563" s="27">
        <f>G564</f>
        <v>839</v>
      </c>
      <c r="H563" s="27">
        <f>H564</f>
        <v>0</v>
      </c>
      <c r="I563" s="27">
        <f t="shared" si="579"/>
        <v>731.4</v>
      </c>
      <c r="J563" s="27">
        <f t="shared" si="579"/>
        <v>0</v>
      </c>
      <c r="K563" s="27">
        <f t="shared" si="579"/>
        <v>0</v>
      </c>
      <c r="L563" s="27">
        <f t="shared" si="579"/>
        <v>0</v>
      </c>
      <c r="M563" s="27">
        <f t="shared" si="580"/>
        <v>0</v>
      </c>
      <c r="N563" s="27">
        <f t="shared" si="580"/>
        <v>0</v>
      </c>
      <c r="O563" s="22" t="e">
        <f t="shared" si="544"/>
        <v>#DIV/0!</v>
      </c>
    </row>
    <row r="564" spans="1:15" ht="47.25" hidden="1">
      <c r="A564" s="26" t="s">
        <v>186</v>
      </c>
      <c r="B564" s="216">
        <v>905</v>
      </c>
      <c r="C564" s="214" t="s">
        <v>287</v>
      </c>
      <c r="D564" s="214" t="s">
        <v>171</v>
      </c>
      <c r="E564" s="214" t="s">
        <v>451</v>
      </c>
      <c r="F564" s="214" t="s">
        <v>187</v>
      </c>
      <c r="G564" s="27">
        <v>839</v>
      </c>
      <c r="H564" s="27">
        <v>0</v>
      </c>
      <c r="I564" s="27">
        <v>731.4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2" t="e">
        <f t="shared" si="544"/>
        <v>#DIV/0!</v>
      </c>
    </row>
    <row r="565" spans="1:15" ht="15.75" customHeight="1">
      <c r="A565" s="45" t="s">
        <v>296</v>
      </c>
      <c r="B565" s="213">
        <v>905</v>
      </c>
      <c r="C565" s="215" t="s">
        <v>297</v>
      </c>
      <c r="D565" s="215"/>
      <c r="E565" s="215"/>
      <c r="F565" s="215"/>
      <c r="G565" s="22">
        <f t="shared" ref="G565:L569" si="581">G566</f>
        <v>0</v>
      </c>
      <c r="H565" s="22"/>
      <c r="I565" s="22">
        <f t="shared" si="581"/>
        <v>0</v>
      </c>
      <c r="J565" s="22">
        <f t="shared" si="581"/>
        <v>0</v>
      </c>
      <c r="K565" s="22">
        <f t="shared" si="581"/>
        <v>0</v>
      </c>
      <c r="L565" s="22">
        <f t="shared" si="581"/>
        <v>0</v>
      </c>
      <c r="M565" s="22">
        <f t="shared" ref="M565:N569" si="582">M566</f>
        <v>378.5</v>
      </c>
      <c r="N565" s="22">
        <f t="shared" si="582"/>
        <v>0</v>
      </c>
      <c r="O565" s="22">
        <f t="shared" si="544"/>
        <v>0</v>
      </c>
    </row>
    <row r="566" spans="1:15" ht="15.75" customHeight="1">
      <c r="A566" s="24" t="s">
        <v>454</v>
      </c>
      <c r="B566" s="213">
        <v>905</v>
      </c>
      <c r="C566" s="215" t="s">
        <v>297</v>
      </c>
      <c r="D566" s="215" t="s">
        <v>203</v>
      </c>
      <c r="E566" s="215"/>
      <c r="F566" s="215"/>
      <c r="G566" s="22">
        <f t="shared" si="581"/>
        <v>0</v>
      </c>
      <c r="H566" s="22"/>
      <c r="I566" s="22">
        <f t="shared" si="581"/>
        <v>0</v>
      </c>
      <c r="J566" s="22">
        <f t="shared" si="581"/>
        <v>0</v>
      </c>
      <c r="K566" s="22">
        <f t="shared" si="581"/>
        <v>0</v>
      </c>
      <c r="L566" s="22">
        <f t="shared" si="581"/>
        <v>0</v>
      </c>
      <c r="M566" s="22">
        <f t="shared" si="582"/>
        <v>378.5</v>
      </c>
      <c r="N566" s="22">
        <f t="shared" si="582"/>
        <v>0</v>
      </c>
      <c r="O566" s="22">
        <f t="shared" si="544"/>
        <v>0</v>
      </c>
    </row>
    <row r="567" spans="1:15" ht="31.5" customHeight="1">
      <c r="A567" s="26" t="s">
        <v>238</v>
      </c>
      <c r="B567" s="216">
        <v>905</v>
      </c>
      <c r="C567" s="214" t="s">
        <v>297</v>
      </c>
      <c r="D567" s="214" t="s">
        <v>203</v>
      </c>
      <c r="E567" s="214" t="s">
        <v>239</v>
      </c>
      <c r="F567" s="214"/>
      <c r="G567" s="27">
        <f t="shared" si="581"/>
        <v>0</v>
      </c>
      <c r="H567" s="27"/>
      <c r="I567" s="27">
        <f t="shared" si="581"/>
        <v>0</v>
      </c>
      <c r="J567" s="27">
        <f t="shared" si="581"/>
        <v>0</v>
      </c>
      <c r="K567" s="27">
        <f t="shared" si="581"/>
        <v>0</v>
      </c>
      <c r="L567" s="27">
        <f t="shared" si="581"/>
        <v>0</v>
      </c>
      <c r="M567" s="27">
        <f t="shared" si="582"/>
        <v>378.5</v>
      </c>
      <c r="N567" s="27">
        <f t="shared" si="582"/>
        <v>0</v>
      </c>
      <c r="O567" s="27">
        <f t="shared" si="544"/>
        <v>0</v>
      </c>
    </row>
    <row r="568" spans="1:15" ht="64.5" customHeight="1">
      <c r="A568" s="33" t="s">
        <v>963</v>
      </c>
      <c r="B568" s="216">
        <v>905</v>
      </c>
      <c r="C568" s="214" t="s">
        <v>297</v>
      </c>
      <c r="D568" s="214" t="s">
        <v>203</v>
      </c>
      <c r="E568" s="214" t="s">
        <v>964</v>
      </c>
      <c r="F568" s="214"/>
      <c r="G568" s="27">
        <f t="shared" si="581"/>
        <v>0</v>
      </c>
      <c r="H568" s="27"/>
      <c r="I568" s="27">
        <f t="shared" si="581"/>
        <v>0</v>
      </c>
      <c r="J568" s="27">
        <f t="shared" si="581"/>
        <v>0</v>
      </c>
      <c r="K568" s="27">
        <f t="shared" si="581"/>
        <v>0</v>
      </c>
      <c r="L568" s="27">
        <f t="shared" si="581"/>
        <v>0</v>
      </c>
      <c r="M568" s="27">
        <f t="shared" si="582"/>
        <v>378.5</v>
      </c>
      <c r="N568" s="27">
        <f t="shared" si="582"/>
        <v>0</v>
      </c>
      <c r="O568" s="27">
        <f t="shared" si="544"/>
        <v>0</v>
      </c>
    </row>
    <row r="569" spans="1:15" ht="31.5" customHeight="1">
      <c r="A569" s="26" t="s">
        <v>184</v>
      </c>
      <c r="B569" s="216">
        <v>905</v>
      </c>
      <c r="C569" s="214" t="s">
        <v>297</v>
      </c>
      <c r="D569" s="214" t="s">
        <v>203</v>
      </c>
      <c r="E569" s="214" t="s">
        <v>964</v>
      </c>
      <c r="F569" s="214" t="s">
        <v>185</v>
      </c>
      <c r="G569" s="27">
        <f t="shared" si="581"/>
        <v>0</v>
      </c>
      <c r="H569" s="27"/>
      <c r="I569" s="27">
        <f t="shared" si="581"/>
        <v>0</v>
      </c>
      <c r="J569" s="27">
        <f t="shared" si="581"/>
        <v>0</v>
      </c>
      <c r="K569" s="27">
        <f t="shared" si="581"/>
        <v>0</v>
      </c>
      <c r="L569" s="27">
        <f t="shared" si="581"/>
        <v>0</v>
      </c>
      <c r="M569" s="27">
        <f t="shared" si="582"/>
        <v>378.5</v>
      </c>
      <c r="N569" s="27">
        <f t="shared" si="582"/>
        <v>0</v>
      </c>
      <c r="O569" s="27">
        <f t="shared" si="544"/>
        <v>0</v>
      </c>
    </row>
    <row r="570" spans="1:15" ht="47.25" customHeight="1">
      <c r="A570" s="26" t="s">
        <v>186</v>
      </c>
      <c r="B570" s="216">
        <v>905</v>
      </c>
      <c r="C570" s="214" t="s">
        <v>297</v>
      </c>
      <c r="D570" s="214" t="s">
        <v>203</v>
      </c>
      <c r="E570" s="214" t="s">
        <v>964</v>
      </c>
      <c r="F570" s="214" t="s">
        <v>187</v>
      </c>
      <c r="G570" s="27">
        <f>1330-1330</f>
        <v>0</v>
      </c>
      <c r="H570" s="27"/>
      <c r="I570" s="27">
        <f t="shared" ref="I570:L570" si="583">1330-1330</f>
        <v>0</v>
      </c>
      <c r="J570" s="27">
        <f t="shared" si="583"/>
        <v>0</v>
      </c>
      <c r="K570" s="27">
        <f t="shared" si="583"/>
        <v>0</v>
      </c>
      <c r="L570" s="27">
        <f t="shared" si="583"/>
        <v>0</v>
      </c>
      <c r="M570" s="27">
        <f>378.5</f>
        <v>378.5</v>
      </c>
      <c r="N570" s="27">
        <v>0</v>
      </c>
      <c r="O570" s="27">
        <f t="shared" si="544"/>
        <v>0</v>
      </c>
    </row>
    <row r="571" spans="1:15" ht="31.5">
      <c r="A571" s="20" t="s">
        <v>457</v>
      </c>
      <c r="B571" s="213">
        <v>906</v>
      </c>
      <c r="C571" s="215"/>
      <c r="D571" s="215"/>
      <c r="E571" s="215"/>
      <c r="F571" s="215"/>
      <c r="G571" s="22">
        <f t="shared" ref="G571:M571" si="584">G590+G572</f>
        <v>261521.80000000002</v>
      </c>
      <c r="H571" s="22">
        <f t="shared" si="584"/>
        <v>209815.18000000002</v>
      </c>
      <c r="I571" s="22">
        <f t="shared" si="584"/>
        <v>262473.3666666667</v>
      </c>
      <c r="J571" s="22">
        <f t="shared" si="584"/>
        <v>311297.3</v>
      </c>
      <c r="K571" s="22">
        <f t="shared" si="584"/>
        <v>303897.8</v>
      </c>
      <c r="L571" s="22">
        <f t="shared" si="584"/>
        <v>297349</v>
      </c>
      <c r="M571" s="22">
        <f t="shared" si="584"/>
        <v>267820.3</v>
      </c>
      <c r="N571" s="22">
        <f t="shared" ref="N571" si="585">N590+N572</f>
        <v>85924</v>
      </c>
      <c r="O571" s="22">
        <f t="shared" si="544"/>
        <v>32.082706202629154</v>
      </c>
    </row>
    <row r="572" spans="1:15" ht="15.75">
      <c r="A572" s="24" t="s">
        <v>170</v>
      </c>
      <c r="B572" s="213">
        <v>906</v>
      </c>
      <c r="C572" s="215" t="s">
        <v>171</v>
      </c>
      <c r="D572" s="215"/>
      <c r="E572" s="215"/>
      <c r="F572" s="215"/>
      <c r="G572" s="22">
        <f>G573</f>
        <v>5</v>
      </c>
      <c r="H572" s="22">
        <f t="shared" ref="H572:L572" si="586">H573</f>
        <v>0</v>
      </c>
      <c r="I572" s="22">
        <f t="shared" si="586"/>
        <v>0</v>
      </c>
      <c r="J572" s="22">
        <f t="shared" si="586"/>
        <v>60</v>
      </c>
      <c r="K572" s="22">
        <f t="shared" si="586"/>
        <v>60</v>
      </c>
      <c r="L572" s="22">
        <f t="shared" si="586"/>
        <v>60</v>
      </c>
      <c r="M572" s="22">
        <f t="shared" ref="M572:N584" si="587">M573</f>
        <v>1698.3</v>
      </c>
      <c r="N572" s="22">
        <f t="shared" si="587"/>
        <v>624</v>
      </c>
      <c r="O572" s="22">
        <f t="shared" si="544"/>
        <v>36.7426249779191</v>
      </c>
    </row>
    <row r="573" spans="1:15" ht="15.75">
      <c r="A573" s="36" t="s">
        <v>192</v>
      </c>
      <c r="B573" s="213">
        <v>906</v>
      </c>
      <c r="C573" s="215" t="s">
        <v>171</v>
      </c>
      <c r="D573" s="215" t="s">
        <v>193</v>
      </c>
      <c r="E573" s="215"/>
      <c r="F573" s="215"/>
      <c r="G573" s="22">
        <f>G581+G574</f>
        <v>5</v>
      </c>
      <c r="H573" s="22">
        <f t="shared" ref="H573:L573" si="588">H581+H574</f>
        <v>0</v>
      </c>
      <c r="I573" s="22">
        <f t="shared" si="588"/>
        <v>0</v>
      </c>
      <c r="J573" s="22">
        <f t="shared" si="588"/>
        <v>60</v>
      </c>
      <c r="K573" s="22">
        <f t="shared" si="588"/>
        <v>60</v>
      </c>
      <c r="L573" s="22">
        <f t="shared" si="588"/>
        <v>60</v>
      </c>
      <c r="M573" s="22">
        <f>M581+M574+M586</f>
        <v>1698.3</v>
      </c>
      <c r="N573" s="22">
        <f t="shared" ref="N573" si="589">N581+N574+N586</f>
        <v>624</v>
      </c>
      <c r="O573" s="22">
        <f t="shared" si="544"/>
        <v>36.7426249779191</v>
      </c>
    </row>
    <row r="574" spans="1:15" ht="47.25">
      <c r="A574" s="26" t="s">
        <v>387</v>
      </c>
      <c r="B574" s="216">
        <v>906</v>
      </c>
      <c r="C574" s="214" t="s">
        <v>171</v>
      </c>
      <c r="D574" s="214" t="s">
        <v>193</v>
      </c>
      <c r="E574" s="214" t="s">
        <v>388</v>
      </c>
      <c r="F574" s="214"/>
      <c r="G574" s="27">
        <f>G575+G578</f>
        <v>0</v>
      </c>
      <c r="H574" s="27">
        <f t="shared" ref="H574:M574" si="590">H575+H578</f>
        <v>0</v>
      </c>
      <c r="I574" s="27">
        <f t="shared" si="590"/>
        <v>0</v>
      </c>
      <c r="J574" s="27">
        <f t="shared" si="590"/>
        <v>60</v>
      </c>
      <c r="K574" s="27">
        <f t="shared" si="590"/>
        <v>60</v>
      </c>
      <c r="L574" s="27">
        <f t="shared" si="590"/>
        <v>60</v>
      </c>
      <c r="M574" s="27">
        <f t="shared" si="590"/>
        <v>60</v>
      </c>
      <c r="N574" s="27">
        <f t="shared" ref="N574" si="591">N575+N578</f>
        <v>0</v>
      </c>
      <c r="O574" s="27">
        <f t="shared" si="544"/>
        <v>0</v>
      </c>
    </row>
    <row r="575" spans="1:15" ht="47.25">
      <c r="A575" s="121" t="s">
        <v>931</v>
      </c>
      <c r="B575" s="216">
        <v>906</v>
      </c>
      <c r="C575" s="214" t="s">
        <v>171</v>
      </c>
      <c r="D575" s="214" t="s">
        <v>193</v>
      </c>
      <c r="E575" s="214" t="s">
        <v>390</v>
      </c>
      <c r="F575" s="214"/>
      <c r="G575" s="27">
        <f>G576</f>
        <v>0</v>
      </c>
      <c r="H575" s="27">
        <f t="shared" ref="H575:H576" si="592">H576</f>
        <v>0</v>
      </c>
      <c r="I575" s="27">
        <f t="shared" ref="I575:I576" si="593">I576</f>
        <v>0</v>
      </c>
      <c r="J575" s="27">
        <f t="shared" ref="J575:J576" si="594">J576</f>
        <v>50</v>
      </c>
      <c r="K575" s="27">
        <f t="shared" ref="K575:K576" si="595">K576</f>
        <v>50</v>
      </c>
      <c r="L575" s="27">
        <f t="shared" ref="L575:L576" si="596">L576</f>
        <v>50</v>
      </c>
      <c r="M575" s="27">
        <f t="shared" ref="M575:N576" si="597">M576</f>
        <v>50</v>
      </c>
      <c r="N575" s="27">
        <f t="shared" si="597"/>
        <v>0</v>
      </c>
      <c r="O575" s="27">
        <f t="shared" si="544"/>
        <v>0</v>
      </c>
    </row>
    <row r="576" spans="1:15" ht="31.5">
      <c r="A576" s="26" t="s">
        <v>184</v>
      </c>
      <c r="B576" s="216">
        <v>906</v>
      </c>
      <c r="C576" s="214" t="s">
        <v>171</v>
      </c>
      <c r="D576" s="214" t="s">
        <v>193</v>
      </c>
      <c r="E576" s="214" t="s">
        <v>390</v>
      </c>
      <c r="F576" s="214" t="s">
        <v>185</v>
      </c>
      <c r="G576" s="27">
        <f>G577</f>
        <v>0</v>
      </c>
      <c r="H576" s="27">
        <f t="shared" si="592"/>
        <v>0</v>
      </c>
      <c r="I576" s="27">
        <f t="shared" si="593"/>
        <v>0</v>
      </c>
      <c r="J576" s="27">
        <f t="shared" si="594"/>
        <v>50</v>
      </c>
      <c r="K576" s="27">
        <f t="shared" si="595"/>
        <v>50</v>
      </c>
      <c r="L576" s="27">
        <f t="shared" si="596"/>
        <v>50</v>
      </c>
      <c r="M576" s="27">
        <f t="shared" si="597"/>
        <v>50</v>
      </c>
      <c r="N576" s="27">
        <f t="shared" si="597"/>
        <v>0</v>
      </c>
      <c r="O576" s="27">
        <f t="shared" si="544"/>
        <v>0</v>
      </c>
    </row>
    <row r="577" spans="1:15" ht="47.25">
      <c r="A577" s="26" t="s">
        <v>186</v>
      </c>
      <c r="B577" s="216">
        <v>906</v>
      </c>
      <c r="C577" s="214" t="s">
        <v>171</v>
      </c>
      <c r="D577" s="214" t="s">
        <v>193</v>
      </c>
      <c r="E577" s="214" t="s">
        <v>390</v>
      </c>
      <c r="F577" s="214" t="s">
        <v>187</v>
      </c>
      <c r="G577" s="27">
        <v>0</v>
      </c>
      <c r="H577" s="27">
        <v>0</v>
      </c>
      <c r="I577" s="27">
        <v>0</v>
      </c>
      <c r="J577" s="27">
        <v>50</v>
      </c>
      <c r="K577" s="27">
        <v>50</v>
      </c>
      <c r="L577" s="27">
        <v>50</v>
      </c>
      <c r="M577" s="27">
        <v>50</v>
      </c>
      <c r="N577" s="27">
        <v>0</v>
      </c>
      <c r="O577" s="27">
        <f t="shared" si="544"/>
        <v>0</v>
      </c>
    </row>
    <row r="578" spans="1:15" ht="31.5">
      <c r="A578" s="33" t="s">
        <v>936</v>
      </c>
      <c r="B578" s="216">
        <v>906</v>
      </c>
      <c r="C578" s="214" t="s">
        <v>171</v>
      </c>
      <c r="D578" s="214" t="s">
        <v>193</v>
      </c>
      <c r="E578" s="214" t="s">
        <v>935</v>
      </c>
      <c r="F578" s="214"/>
      <c r="G578" s="27">
        <f>G579</f>
        <v>0</v>
      </c>
      <c r="H578" s="27">
        <f>H579</f>
        <v>0</v>
      </c>
      <c r="I578" s="27">
        <f t="shared" ref="I578:N579" si="598">I579</f>
        <v>0</v>
      </c>
      <c r="J578" s="27">
        <f t="shared" si="598"/>
        <v>10</v>
      </c>
      <c r="K578" s="27">
        <f t="shared" si="598"/>
        <v>10</v>
      </c>
      <c r="L578" s="27">
        <f t="shared" si="598"/>
        <v>10</v>
      </c>
      <c r="M578" s="27">
        <f t="shared" si="598"/>
        <v>10</v>
      </c>
      <c r="N578" s="27">
        <f t="shared" si="598"/>
        <v>0</v>
      </c>
      <c r="O578" s="27">
        <f t="shared" si="544"/>
        <v>0</v>
      </c>
    </row>
    <row r="579" spans="1:15" ht="31.5">
      <c r="A579" s="26" t="s">
        <v>184</v>
      </c>
      <c r="B579" s="216">
        <v>906</v>
      </c>
      <c r="C579" s="214" t="s">
        <v>171</v>
      </c>
      <c r="D579" s="214" t="s">
        <v>193</v>
      </c>
      <c r="E579" s="214" t="s">
        <v>935</v>
      </c>
      <c r="F579" s="214" t="s">
        <v>185</v>
      </c>
      <c r="G579" s="27">
        <f>G580</f>
        <v>0</v>
      </c>
      <c r="H579" s="27">
        <f>H580</f>
        <v>0</v>
      </c>
      <c r="I579" s="27">
        <f t="shared" si="598"/>
        <v>0</v>
      </c>
      <c r="J579" s="27">
        <f t="shared" si="598"/>
        <v>10</v>
      </c>
      <c r="K579" s="27">
        <f t="shared" si="598"/>
        <v>10</v>
      </c>
      <c r="L579" s="27">
        <f t="shared" si="598"/>
        <v>10</v>
      </c>
      <c r="M579" s="27">
        <f t="shared" si="598"/>
        <v>10</v>
      </c>
      <c r="N579" s="27">
        <f t="shared" si="598"/>
        <v>0</v>
      </c>
      <c r="O579" s="27">
        <f t="shared" si="544"/>
        <v>0</v>
      </c>
    </row>
    <row r="580" spans="1:15" ht="47.25">
      <c r="A580" s="26" t="s">
        <v>186</v>
      </c>
      <c r="B580" s="216">
        <v>906</v>
      </c>
      <c r="C580" s="214" t="s">
        <v>171</v>
      </c>
      <c r="D580" s="214" t="s">
        <v>193</v>
      </c>
      <c r="E580" s="214" t="s">
        <v>935</v>
      </c>
      <c r="F580" s="214" t="s">
        <v>187</v>
      </c>
      <c r="G580" s="27">
        <v>0</v>
      </c>
      <c r="H580" s="27">
        <v>0</v>
      </c>
      <c r="I580" s="27">
        <v>0</v>
      </c>
      <c r="J580" s="27">
        <v>10</v>
      </c>
      <c r="K580" s="27">
        <v>10</v>
      </c>
      <c r="L580" s="27">
        <v>10</v>
      </c>
      <c r="M580" s="27">
        <v>10</v>
      </c>
      <c r="N580" s="27">
        <v>0</v>
      </c>
      <c r="O580" s="27">
        <f t="shared" si="544"/>
        <v>0</v>
      </c>
    </row>
    <row r="581" spans="1:15" ht="18" hidden="1" customHeight="1">
      <c r="A581" s="33" t="s">
        <v>174</v>
      </c>
      <c r="B581" s="216">
        <v>906</v>
      </c>
      <c r="C581" s="214" t="s">
        <v>171</v>
      </c>
      <c r="D581" s="214" t="s">
        <v>193</v>
      </c>
      <c r="E581" s="214" t="s">
        <v>175</v>
      </c>
      <c r="F581" s="214"/>
      <c r="G581" s="27">
        <f>G582</f>
        <v>5</v>
      </c>
      <c r="H581" s="27">
        <f>H582</f>
        <v>0</v>
      </c>
      <c r="I581" s="27">
        <f t="shared" ref="G581:L584" si="599">I582</f>
        <v>0</v>
      </c>
      <c r="J581" s="27">
        <f t="shared" si="599"/>
        <v>0</v>
      </c>
      <c r="K581" s="27">
        <f t="shared" si="599"/>
        <v>0</v>
      </c>
      <c r="L581" s="27">
        <f t="shared" si="599"/>
        <v>0</v>
      </c>
      <c r="M581" s="27">
        <f t="shared" si="587"/>
        <v>0</v>
      </c>
      <c r="N581" s="27">
        <f t="shared" si="587"/>
        <v>0</v>
      </c>
      <c r="O581" s="27" t="e">
        <f t="shared" si="544"/>
        <v>#DIV/0!</v>
      </c>
    </row>
    <row r="582" spans="1:15" ht="15.75" hidden="1">
      <c r="A582" s="33" t="s">
        <v>194</v>
      </c>
      <c r="B582" s="216">
        <v>906</v>
      </c>
      <c r="C582" s="214" t="s">
        <v>171</v>
      </c>
      <c r="D582" s="214" t="s">
        <v>193</v>
      </c>
      <c r="E582" s="214" t="s">
        <v>195</v>
      </c>
      <c r="F582" s="214"/>
      <c r="G582" s="27">
        <f t="shared" si="599"/>
        <v>5</v>
      </c>
      <c r="H582" s="27">
        <f t="shared" si="599"/>
        <v>0</v>
      </c>
      <c r="I582" s="27">
        <f t="shared" si="599"/>
        <v>0</v>
      </c>
      <c r="J582" s="27">
        <f t="shared" si="599"/>
        <v>0</v>
      </c>
      <c r="K582" s="27">
        <f t="shared" si="599"/>
        <v>0</v>
      </c>
      <c r="L582" s="27">
        <f t="shared" si="599"/>
        <v>0</v>
      </c>
      <c r="M582" s="27">
        <f t="shared" si="587"/>
        <v>0</v>
      </c>
      <c r="N582" s="27">
        <f t="shared" si="587"/>
        <v>0</v>
      </c>
      <c r="O582" s="27" t="e">
        <f t="shared" si="544"/>
        <v>#DIV/0!</v>
      </c>
    </row>
    <row r="583" spans="1:15" ht="15.75" hidden="1">
      <c r="A583" s="26" t="s">
        <v>232</v>
      </c>
      <c r="B583" s="216">
        <v>906</v>
      </c>
      <c r="C583" s="214" t="s">
        <v>171</v>
      </c>
      <c r="D583" s="214" t="s">
        <v>193</v>
      </c>
      <c r="E583" s="214" t="s">
        <v>258</v>
      </c>
      <c r="F583" s="214"/>
      <c r="G583" s="27">
        <f>G584</f>
        <v>5</v>
      </c>
      <c r="H583" s="27">
        <f>H584</f>
        <v>0</v>
      </c>
      <c r="I583" s="27">
        <f t="shared" si="599"/>
        <v>0</v>
      </c>
      <c r="J583" s="27">
        <f t="shared" si="599"/>
        <v>0</v>
      </c>
      <c r="K583" s="27">
        <f t="shared" si="599"/>
        <v>0</v>
      </c>
      <c r="L583" s="27">
        <f t="shared" si="599"/>
        <v>0</v>
      </c>
      <c r="M583" s="27">
        <f t="shared" si="587"/>
        <v>0</v>
      </c>
      <c r="N583" s="27">
        <f t="shared" si="587"/>
        <v>0</v>
      </c>
      <c r="O583" s="27" t="e">
        <f t="shared" si="544"/>
        <v>#DIV/0!</v>
      </c>
    </row>
    <row r="584" spans="1:15" ht="31.5" hidden="1">
      <c r="A584" s="26" t="s">
        <v>184</v>
      </c>
      <c r="B584" s="216">
        <v>906</v>
      </c>
      <c r="C584" s="214" t="s">
        <v>171</v>
      </c>
      <c r="D584" s="214" t="s">
        <v>193</v>
      </c>
      <c r="E584" s="214" t="s">
        <v>258</v>
      </c>
      <c r="F584" s="214" t="s">
        <v>185</v>
      </c>
      <c r="G584" s="27">
        <f t="shared" si="599"/>
        <v>5</v>
      </c>
      <c r="H584" s="27">
        <f t="shared" si="599"/>
        <v>0</v>
      </c>
      <c r="I584" s="27">
        <f t="shared" si="599"/>
        <v>0</v>
      </c>
      <c r="J584" s="27">
        <f t="shared" si="599"/>
        <v>0</v>
      </c>
      <c r="K584" s="27">
        <f t="shared" si="599"/>
        <v>0</v>
      </c>
      <c r="L584" s="27">
        <f t="shared" si="599"/>
        <v>0</v>
      </c>
      <c r="M584" s="27">
        <f t="shared" si="587"/>
        <v>0</v>
      </c>
      <c r="N584" s="27">
        <f t="shared" si="587"/>
        <v>0</v>
      </c>
      <c r="O584" s="27" t="e">
        <f t="shared" si="544"/>
        <v>#DIV/0!</v>
      </c>
    </row>
    <row r="585" spans="1:15" ht="47.25" hidden="1">
      <c r="A585" s="26" t="s">
        <v>186</v>
      </c>
      <c r="B585" s="216">
        <v>906</v>
      </c>
      <c r="C585" s="214" t="s">
        <v>171</v>
      </c>
      <c r="D585" s="214" t="s">
        <v>193</v>
      </c>
      <c r="E585" s="214" t="s">
        <v>258</v>
      </c>
      <c r="F585" s="214" t="s">
        <v>187</v>
      </c>
      <c r="G585" s="27">
        <v>5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 t="e">
        <f t="shared" si="544"/>
        <v>#DIV/0!</v>
      </c>
    </row>
    <row r="586" spans="1:15" ht="63">
      <c r="A586" s="31" t="s">
        <v>807</v>
      </c>
      <c r="B586" s="216">
        <v>906</v>
      </c>
      <c r="C586" s="214" t="s">
        <v>171</v>
      </c>
      <c r="D586" s="214" t="s">
        <v>193</v>
      </c>
      <c r="E586" s="214" t="s">
        <v>805</v>
      </c>
      <c r="F586" s="221"/>
      <c r="G586" s="27">
        <f>G588</f>
        <v>29</v>
      </c>
      <c r="H586" s="27">
        <f t="shared" ref="H586:L586" si="600">H588</f>
        <v>19.100000000000001</v>
      </c>
      <c r="I586" s="27">
        <f t="shared" si="600"/>
        <v>29</v>
      </c>
      <c r="J586" s="27">
        <f t="shared" si="600"/>
        <v>0</v>
      </c>
      <c r="K586" s="27">
        <f t="shared" si="600"/>
        <v>0</v>
      </c>
      <c r="L586" s="27">
        <f t="shared" si="600"/>
        <v>0</v>
      </c>
      <c r="M586" s="27">
        <f>M587</f>
        <v>1638.3</v>
      </c>
      <c r="N586" s="27">
        <f t="shared" ref="N586" si="601">N587</f>
        <v>624</v>
      </c>
      <c r="O586" s="27">
        <f t="shared" si="544"/>
        <v>38.088262223036075</v>
      </c>
    </row>
    <row r="587" spans="1:15" ht="47.25">
      <c r="A587" s="123" t="s">
        <v>957</v>
      </c>
      <c r="B587" s="216">
        <v>906</v>
      </c>
      <c r="C587" s="214" t="s">
        <v>171</v>
      </c>
      <c r="D587" s="214" t="s">
        <v>193</v>
      </c>
      <c r="E587" s="214" t="s">
        <v>958</v>
      </c>
      <c r="F587" s="221"/>
      <c r="G587" s="27">
        <f>G588</f>
        <v>29</v>
      </c>
      <c r="H587" s="27">
        <f t="shared" ref="H587:N588" si="602">H588</f>
        <v>19.100000000000001</v>
      </c>
      <c r="I587" s="27">
        <f t="shared" si="602"/>
        <v>29</v>
      </c>
      <c r="J587" s="27">
        <f t="shared" si="602"/>
        <v>0</v>
      </c>
      <c r="K587" s="27">
        <f t="shared" si="602"/>
        <v>0</v>
      </c>
      <c r="L587" s="27">
        <f t="shared" si="602"/>
        <v>0</v>
      </c>
      <c r="M587" s="27">
        <f t="shared" si="602"/>
        <v>1638.3</v>
      </c>
      <c r="N587" s="27">
        <f t="shared" si="602"/>
        <v>624</v>
      </c>
      <c r="O587" s="27">
        <f t="shared" si="544"/>
        <v>38.088262223036075</v>
      </c>
    </row>
    <row r="588" spans="1:15" ht="47.25">
      <c r="A588" s="31" t="s">
        <v>325</v>
      </c>
      <c r="B588" s="216">
        <v>906</v>
      </c>
      <c r="C588" s="214" t="s">
        <v>171</v>
      </c>
      <c r="D588" s="214" t="s">
        <v>193</v>
      </c>
      <c r="E588" s="214" t="s">
        <v>958</v>
      </c>
      <c r="F588" s="221" t="s">
        <v>326</v>
      </c>
      <c r="G588" s="27">
        <f>G589</f>
        <v>29</v>
      </c>
      <c r="H588" s="27">
        <f t="shared" si="602"/>
        <v>19.100000000000001</v>
      </c>
      <c r="I588" s="27">
        <f t="shared" si="602"/>
        <v>29</v>
      </c>
      <c r="J588" s="27">
        <f t="shared" si="602"/>
        <v>0</v>
      </c>
      <c r="K588" s="27">
        <f t="shared" si="602"/>
        <v>0</v>
      </c>
      <c r="L588" s="27">
        <f t="shared" si="602"/>
        <v>0</v>
      </c>
      <c r="M588" s="27">
        <f t="shared" si="602"/>
        <v>1638.3</v>
      </c>
      <c r="N588" s="27">
        <f t="shared" si="602"/>
        <v>624</v>
      </c>
      <c r="O588" s="27">
        <f t="shared" si="544"/>
        <v>38.088262223036075</v>
      </c>
    </row>
    <row r="589" spans="1:15" ht="15.75">
      <c r="A589" s="258" t="s">
        <v>327</v>
      </c>
      <c r="B589" s="216">
        <v>906</v>
      </c>
      <c r="C589" s="214" t="s">
        <v>171</v>
      </c>
      <c r="D589" s="214" t="s">
        <v>193</v>
      </c>
      <c r="E589" s="214" t="s">
        <v>958</v>
      </c>
      <c r="F589" s="221" t="s">
        <v>328</v>
      </c>
      <c r="G589" s="27">
        <v>29</v>
      </c>
      <c r="H589" s="27">
        <v>19.100000000000001</v>
      </c>
      <c r="I589" s="27">
        <v>29</v>
      </c>
      <c r="J589" s="27">
        <v>0</v>
      </c>
      <c r="K589" s="27">
        <v>0</v>
      </c>
      <c r="L589" s="27">
        <v>0</v>
      </c>
      <c r="M589" s="27">
        <v>1638.3</v>
      </c>
      <c r="N589" s="27">
        <v>624</v>
      </c>
      <c r="O589" s="27">
        <f t="shared" ref="O589:O652" si="603">N589/M589*100</f>
        <v>38.088262223036075</v>
      </c>
    </row>
    <row r="590" spans="1:15" ht="15.75">
      <c r="A590" s="24" t="s">
        <v>316</v>
      </c>
      <c r="B590" s="213">
        <v>906</v>
      </c>
      <c r="C590" s="215" t="s">
        <v>317</v>
      </c>
      <c r="D590" s="215"/>
      <c r="E590" s="215"/>
      <c r="F590" s="215"/>
      <c r="G590" s="22">
        <f t="shared" ref="G590:L590" si="604">G591+G636+G729+G741+G705</f>
        <v>261516.80000000002</v>
      </c>
      <c r="H590" s="22">
        <f t="shared" ref="H590" si="605">H591+H636+H729+H741+H705</f>
        <v>209815.18000000002</v>
      </c>
      <c r="I590" s="22">
        <f t="shared" si="604"/>
        <v>262473.3666666667</v>
      </c>
      <c r="J590" s="22">
        <f t="shared" si="604"/>
        <v>311237.3</v>
      </c>
      <c r="K590" s="22">
        <f t="shared" si="604"/>
        <v>303837.8</v>
      </c>
      <c r="L590" s="22">
        <f t="shared" si="604"/>
        <v>297289</v>
      </c>
      <c r="M590" s="22">
        <f t="shared" ref="M590:N590" si="606">M591+M636+M729+M741+M705</f>
        <v>266122</v>
      </c>
      <c r="N590" s="22">
        <f t="shared" si="606"/>
        <v>85300</v>
      </c>
      <c r="O590" s="22">
        <f t="shared" si="603"/>
        <v>32.052968187523021</v>
      </c>
    </row>
    <row r="591" spans="1:15" ht="15.75">
      <c r="A591" s="24" t="s">
        <v>458</v>
      </c>
      <c r="B591" s="213">
        <v>906</v>
      </c>
      <c r="C591" s="215" t="s">
        <v>317</v>
      </c>
      <c r="D591" s="215" t="s">
        <v>171</v>
      </c>
      <c r="E591" s="215"/>
      <c r="F591" s="215"/>
      <c r="G591" s="22">
        <f t="shared" ref="G591:L591" si="607">G592+G616</f>
        <v>84659.4</v>
      </c>
      <c r="H591" s="22">
        <f t="shared" ref="H591" si="608">H592+H616</f>
        <v>71004</v>
      </c>
      <c r="I591" s="22">
        <f t="shared" si="607"/>
        <v>85381.2</v>
      </c>
      <c r="J591" s="22">
        <f t="shared" si="607"/>
        <v>122402.5</v>
      </c>
      <c r="K591" s="22">
        <f t="shared" si="607"/>
        <v>117666.8</v>
      </c>
      <c r="L591" s="22">
        <f t="shared" si="607"/>
        <v>112203.8</v>
      </c>
      <c r="M591" s="22">
        <f t="shared" ref="M591:N591" si="609">M592+M616</f>
        <v>92326.5</v>
      </c>
      <c r="N591" s="22">
        <f t="shared" si="609"/>
        <v>32610.799999999999</v>
      </c>
      <c r="O591" s="22">
        <f t="shared" si="603"/>
        <v>35.321169978283592</v>
      </c>
    </row>
    <row r="592" spans="1:15" ht="47.25">
      <c r="A592" s="26" t="s">
        <v>459</v>
      </c>
      <c r="B592" s="216">
        <v>906</v>
      </c>
      <c r="C592" s="214" t="s">
        <v>317</v>
      </c>
      <c r="D592" s="214" t="s">
        <v>171</v>
      </c>
      <c r="E592" s="214" t="s">
        <v>460</v>
      </c>
      <c r="F592" s="214"/>
      <c r="G592" s="27">
        <f t="shared" ref="G592:L592" si="610">G593+G597</f>
        <v>23453.4</v>
      </c>
      <c r="H592" s="27">
        <f t="shared" ref="H592" si="611">H593+H597</f>
        <v>20620</v>
      </c>
      <c r="I592" s="27">
        <f t="shared" si="610"/>
        <v>24175.200000000001</v>
      </c>
      <c r="J592" s="27">
        <f t="shared" si="610"/>
        <v>61196.5</v>
      </c>
      <c r="K592" s="27">
        <f t="shared" si="610"/>
        <v>56460.800000000003</v>
      </c>
      <c r="L592" s="27">
        <f t="shared" si="610"/>
        <v>50997.8</v>
      </c>
      <c r="M592" s="27">
        <f t="shared" ref="M592:N592" si="612">M593+M597</f>
        <v>25384.9</v>
      </c>
      <c r="N592" s="27">
        <f t="shared" si="612"/>
        <v>12535</v>
      </c>
      <c r="O592" s="27">
        <f t="shared" si="603"/>
        <v>49.379749378567574</v>
      </c>
    </row>
    <row r="593" spans="1:15" ht="38.25" customHeight="1">
      <c r="A593" s="26" t="s">
        <v>461</v>
      </c>
      <c r="B593" s="216">
        <v>906</v>
      </c>
      <c r="C593" s="214" t="s">
        <v>317</v>
      </c>
      <c r="D593" s="214" t="s">
        <v>171</v>
      </c>
      <c r="E593" s="214" t="s">
        <v>462</v>
      </c>
      <c r="F593" s="214"/>
      <c r="G593" s="27">
        <f>G594</f>
        <v>15578.400000000001</v>
      </c>
      <c r="H593" s="27">
        <f t="shared" ref="H593:L593" si="613">H594</f>
        <v>14300</v>
      </c>
      <c r="I593" s="27">
        <f t="shared" si="613"/>
        <v>16300.2</v>
      </c>
      <c r="J593" s="27">
        <f t="shared" si="613"/>
        <v>35498.199999999997</v>
      </c>
      <c r="K593" s="27">
        <f t="shared" si="613"/>
        <v>36442.5</v>
      </c>
      <c r="L593" s="27">
        <f t="shared" si="613"/>
        <v>37029.5</v>
      </c>
      <c r="M593" s="27">
        <f t="shared" ref="M593:N595" si="614">M594</f>
        <v>15316.6</v>
      </c>
      <c r="N593" s="27">
        <f t="shared" si="614"/>
        <v>7100</v>
      </c>
      <c r="O593" s="27">
        <f t="shared" si="603"/>
        <v>46.354935168379399</v>
      </c>
    </row>
    <row r="594" spans="1:15" ht="47.25">
      <c r="A594" s="26" t="s">
        <v>463</v>
      </c>
      <c r="B594" s="216">
        <v>906</v>
      </c>
      <c r="C594" s="214" t="s">
        <v>317</v>
      </c>
      <c r="D594" s="214" t="s">
        <v>171</v>
      </c>
      <c r="E594" s="214" t="s">
        <v>464</v>
      </c>
      <c r="F594" s="214"/>
      <c r="G594" s="27">
        <f t="shared" ref="G594:L595" si="615">G595</f>
        <v>15578.400000000001</v>
      </c>
      <c r="H594" s="27">
        <f t="shared" si="615"/>
        <v>14300</v>
      </c>
      <c r="I594" s="27">
        <f t="shared" si="615"/>
        <v>16300.2</v>
      </c>
      <c r="J594" s="27">
        <f t="shared" si="615"/>
        <v>35498.199999999997</v>
      </c>
      <c r="K594" s="27">
        <f t="shared" si="615"/>
        <v>36442.5</v>
      </c>
      <c r="L594" s="27">
        <f t="shared" si="615"/>
        <v>37029.5</v>
      </c>
      <c r="M594" s="27">
        <f t="shared" si="614"/>
        <v>15316.6</v>
      </c>
      <c r="N594" s="27">
        <f t="shared" si="614"/>
        <v>7100</v>
      </c>
      <c r="O594" s="27">
        <f t="shared" si="603"/>
        <v>46.354935168379399</v>
      </c>
    </row>
    <row r="595" spans="1:15" ht="47.25">
      <c r="A595" s="26" t="s">
        <v>325</v>
      </c>
      <c r="B595" s="216">
        <v>906</v>
      </c>
      <c r="C595" s="214" t="s">
        <v>317</v>
      </c>
      <c r="D595" s="214" t="s">
        <v>171</v>
      </c>
      <c r="E595" s="214" t="s">
        <v>464</v>
      </c>
      <c r="F595" s="214" t="s">
        <v>326</v>
      </c>
      <c r="G595" s="27">
        <f>G596</f>
        <v>15578.400000000001</v>
      </c>
      <c r="H595" s="27">
        <f t="shared" si="615"/>
        <v>14300</v>
      </c>
      <c r="I595" s="27">
        <f t="shared" si="615"/>
        <v>16300.2</v>
      </c>
      <c r="J595" s="27">
        <f t="shared" si="615"/>
        <v>35498.199999999997</v>
      </c>
      <c r="K595" s="27">
        <f t="shared" si="615"/>
        <v>36442.5</v>
      </c>
      <c r="L595" s="27">
        <f t="shared" si="615"/>
        <v>37029.5</v>
      </c>
      <c r="M595" s="27">
        <f t="shared" si="614"/>
        <v>15316.6</v>
      </c>
      <c r="N595" s="27">
        <f t="shared" si="614"/>
        <v>7100</v>
      </c>
      <c r="O595" s="27">
        <f t="shared" si="603"/>
        <v>46.354935168379399</v>
      </c>
    </row>
    <row r="596" spans="1:15" ht="15.75">
      <c r="A596" s="26" t="s">
        <v>327</v>
      </c>
      <c r="B596" s="216">
        <v>906</v>
      </c>
      <c r="C596" s="214" t="s">
        <v>317</v>
      </c>
      <c r="D596" s="214" t="s">
        <v>171</v>
      </c>
      <c r="E596" s="214" t="s">
        <v>464</v>
      </c>
      <c r="F596" s="214" t="s">
        <v>328</v>
      </c>
      <c r="G596" s="28">
        <f>17368.2+6858.7-6314-1360.2-974.3</f>
        <v>15578.400000000001</v>
      </c>
      <c r="H596" s="28">
        <v>14300</v>
      </c>
      <c r="I596" s="28">
        <v>16300.2</v>
      </c>
      <c r="J596" s="28">
        <v>35498.199999999997</v>
      </c>
      <c r="K596" s="28">
        <v>36442.5</v>
      </c>
      <c r="L596" s="28">
        <v>37029.5</v>
      </c>
      <c r="M596" s="28">
        <f>13780.9+2000-464.3</f>
        <v>15316.6</v>
      </c>
      <c r="N596" s="28">
        <v>7100</v>
      </c>
      <c r="O596" s="27">
        <f t="shared" si="603"/>
        <v>46.354935168379399</v>
      </c>
    </row>
    <row r="597" spans="1:15" ht="30" customHeight="1">
      <c r="A597" s="26" t="s">
        <v>465</v>
      </c>
      <c r="B597" s="216">
        <v>906</v>
      </c>
      <c r="C597" s="214" t="s">
        <v>317</v>
      </c>
      <c r="D597" s="214" t="s">
        <v>171</v>
      </c>
      <c r="E597" s="214" t="s">
        <v>466</v>
      </c>
      <c r="F597" s="214"/>
      <c r="G597" s="27">
        <f>G598+G601+G604+G607+G610+G613</f>
        <v>7875</v>
      </c>
      <c r="H597" s="27">
        <f t="shared" ref="H597:L597" si="616">H598+H601+H604+H607+H610+H613</f>
        <v>6320</v>
      </c>
      <c r="I597" s="27">
        <f t="shared" si="616"/>
        <v>7875</v>
      </c>
      <c r="J597" s="27">
        <f t="shared" si="616"/>
        <v>25698.3</v>
      </c>
      <c r="K597" s="27">
        <f t="shared" si="616"/>
        <v>20018.3</v>
      </c>
      <c r="L597" s="27">
        <f t="shared" si="616"/>
        <v>13968.3</v>
      </c>
      <c r="M597" s="27">
        <f t="shared" ref="M597:N597" si="617">M598+M601+M604+M607+M610+M613</f>
        <v>10068.300000000001</v>
      </c>
      <c r="N597" s="27">
        <f t="shared" si="617"/>
        <v>5435</v>
      </c>
      <c r="O597" s="27">
        <f t="shared" si="603"/>
        <v>53.981307668623302</v>
      </c>
    </row>
    <row r="598" spans="1:15" ht="47.25" customHeight="1">
      <c r="A598" s="26" t="s">
        <v>331</v>
      </c>
      <c r="B598" s="216">
        <v>906</v>
      </c>
      <c r="C598" s="214" t="s">
        <v>317</v>
      </c>
      <c r="D598" s="214" t="s">
        <v>171</v>
      </c>
      <c r="E598" s="214" t="s">
        <v>467</v>
      </c>
      <c r="F598" s="214"/>
      <c r="G598" s="27">
        <f t="shared" ref="G598:L599" si="618">G599</f>
        <v>0</v>
      </c>
      <c r="H598" s="27">
        <v>0</v>
      </c>
      <c r="I598" s="27">
        <f t="shared" si="618"/>
        <v>0</v>
      </c>
      <c r="J598" s="27">
        <f t="shared" si="618"/>
        <v>15330</v>
      </c>
      <c r="K598" s="27">
        <f t="shared" si="618"/>
        <v>10100</v>
      </c>
      <c r="L598" s="27">
        <f t="shared" si="618"/>
        <v>3600</v>
      </c>
      <c r="M598" s="27">
        <f t="shared" ref="M598:N599" si="619">M599</f>
        <v>200</v>
      </c>
      <c r="N598" s="27">
        <f t="shared" si="619"/>
        <v>0</v>
      </c>
      <c r="O598" s="27">
        <f t="shared" si="603"/>
        <v>0</v>
      </c>
    </row>
    <row r="599" spans="1:15" ht="47.25" customHeight="1">
      <c r="A599" s="26" t="s">
        <v>325</v>
      </c>
      <c r="B599" s="216">
        <v>906</v>
      </c>
      <c r="C599" s="214" t="s">
        <v>317</v>
      </c>
      <c r="D599" s="214" t="s">
        <v>171</v>
      </c>
      <c r="E599" s="214" t="s">
        <v>467</v>
      </c>
      <c r="F599" s="214" t="s">
        <v>326</v>
      </c>
      <c r="G599" s="27">
        <f t="shared" si="618"/>
        <v>0</v>
      </c>
      <c r="H599" s="27">
        <v>0</v>
      </c>
      <c r="I599" s="27">
        <f t="shared" si="618"/>
        <v>0</v>
      </c>
      <c r="J599" s="27">
        <f t="shared" si="618"/>
        <v>15330</v>
      </c>
      <c r="K599" s="27">
        <f t="shared" si="618"/>
        <v>10100</v>
      </c>
      <c r="L599" s="27">
        <f t="shared" si="618"/>
        <v>3600</v>
      </c>
      <c r="M599" s="27">
        <f t="shared" si="619"/>
        <v>200</v>
      </c>
      <c r="N599" s="27">
        <f t="shared" si="619"/>
        <v>0</v>
      </c>
      <c r="O599" s="27">
        <f t="shared" si="603"/>
        <v>0</v>
      </c>
    </row>
    <row r="600" spans="1:15" ht="15.75" customHeight="1">
      <c r="A600" s="26" t="s">
        <v>327</v>
      </c>
      <c r="B600" s="216">
        <v>906</v>
      </c>
      <c r="C600" s="214" t="s">
        <v>317</v>
      </c>
      <c r="D600" s="214" t="s">
        <v>171</v>
      </c>
      <c r="E600" s="214" t="s">
        <v>467</v>
      </c>
      <c r="F600" s="214" t="s">
        <v>328</v>
      </c>
      <c r="G600" s="27">
        <v>0</v>
      </c>
      <c r="H600" s="27">
        <v>0</v>
      </c>
      <c r="I600" s="27">
        <v>0</v>
      </c>
      <c r="J600" s="27">
        <v>15330</v>
      </c>
      <c r="K600" s="27">
        <v>10100</v>
      </c>
      <c r="L600" s="27">
        <v>3600</v>
      </c>
      <c r="M600" s="27">
        <v>200</v>
      </c>
      <c r="N600" s="27">
        <v>0</v>
      </c>
      <c r="O600" s="27">
        <f t="shared" si="603"/>
        <v>0</v>
      </c>
    </row>
    <row r="601" spans="1:15" ht="31.5" hidden="1">
      <c r="A601" s="26" t="s">
        <v>333</v>
      </c>
      <c r="B601" s="216">
        <v>906</v>
      </c>
      <c r="C601" s="214" t="s">
        <v>317</v>
      </c>
      <c r="D601" s="214" t="s">
        <v>171</v>
      </c>
      <c r="E601" s="214" t="s">
        <v>468</v>
      </c>
      <c r="F601" s="214"/>
      <c r="G601" s="27">
        <f t="shared" ref="G601:L602" si="620">G602</f>
        <v>1145</v>
      </c>
      <c r="H601" s="27">
        <f t="shared" si="620"/>
        <v>1145</v>
      </c>
      <c r="I601" s="27">
        <f t="shared" si="620"/>
        <v>1145</v>
      </c>
      <c r="J601" s="27">
        <f t="shared" si="620"/>
        <v>0</v>
      </c>
      <c r="K601" s="27">
        <f t="shared" si="620"/>
        <v>0</v>
      </c>
      <c r="L601" s="27">
        <f t="shared" si="620"/>
        <v>0</v>
      </c>
      <c r="M601" s="27">
        <f t="shared" ref="M601:N602" si="621">M602</f>
        <v>0</v>
      </c>
      <c r="N601" s="27">
        <f t="shared" si="621"/>
        <v>0</v>
      </c>
      <c r="O601" s="27" t="e">
        <f t="shared" si="603"/>
        <v>#DIV/0!</v>
      </c>
    </row>
    <row r="602" spans="1:15" ht="47.25" hidden="1">
      <c r="A602" s="26" t="s">
        <v>325</v>
      </c>
      <c r="B602" s="216">
        <v>906</v>
      </c>
      <c r="C602" s="214" t="s">
        <v>317</v>
      </c>
      <c r="D602" s="214" t="s">
        <v>171</v>
      </c>
      <c r="E602" s="214" t="s">
        <v>468</v>
      </c>
      <c r="F602" s="214" t="s">
        <v>326</v>
      </c>
      <c r="G602" s="27">
        <f t="shared" si="620"/>
        <v>1145</v>
      </c>
      <c r="H602" s="27">
        <f t="shared" si="620"/>
        <v>1145</v>
      </c>
      <c r="I602" s="27">
        <f t="shared" si="620"/>
        <v>1145</v>
      </c>
      <c r="J602" s="27">
        <f t="shared" si="620"/>
        <v>0</v>
      </c>
      <c r="K602" s="27">
        <f t="shared" si="620"/>
        <v>0</v>
      </c>
      <c r="L602" s="27">
        <f t="shared" si="620"/>
        <v>0</v>
      </c>
      <c r="M602" s="27">
        <f t="shared" si="621"/>
        <v>0</v>
      </c>
      <c r="N602" s="27">
        <f t="shared" si="621"/>
        <v>0</v>
      </c>
      <c r="O602" s="27" t="e">
        <f t="shared" si="603"/>
        <v>#DIV/0!</v>
      </c>
    </row>
    <row r="603" spans="1:15" ht="15.75" hidden="1">
      <c r="A603" s="26" t="s">
        <v>327</v>
      </c>
      <c r="B603" s="216">
        <v>906</v>
      </c>
      <c r="C603" s="214" t="s">
        <v>317</v>
      </c>
      <c r="D603" s="214" t="s">
        <v>171</v>
      </c>
      <c r="E603" s="214" t="s">
        <v>468</v>
      </c>
      <c r="F603" s="214" t="s">
        <v>328</v>
      </c>
      <c r="G603" s="27">
        <f>800+300+45</f>
        <v>1145</v>
      </c>
      <c r="H603" s="27">
        <f>800+300+45</f>
        <v>1145</v>
      </c>
      <c r="I603" s="27">
        <f t="shared" ref="I603" si="622">800+300+45</f>
        <v>1145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 t="e">
        <f t="shared" si="603"/>
        <v>#DIV/0!</v>
      </c>
    </row>
    <row r="604" spans="1:15" ht="47.25">
      <c r="A604" s="26" t="s">
        <v>469</v>
      </c>
      <c r="B604" s="216">
        <v>906</v>
      </c>
      <c r="C604" s="214" t="s">
        <v>317</v>
      </c>
      <c r="D604" s="214" t="s">
        <v>171</v>
      </c>
      <c r="E604" s="214" t="s">
        <v>470</v>
      </c>
      <c r="F604" s="214"/>
      <c r="G604" s="27">
        <f t="shared" ref="G604:L605" si="623">G605</f>
        <v>6730</v>
      </c>
      <c r="H604" s="27">
        <f t="shared" si="623"/>
        <v>5175</v>
      </c>
      <c r="I604" s="27">
        <f t="shared" si="623"/>
        <v>6730</v>
      </c>
      <c r="J604" s="27">
        <f t="shared" si="623"/>
        <v>5168.8</v>
      </c>
      <c r="K604" s="27">
        <f t="shared" si="623"/>
        <v>5168.8</v>
      </c>
      <c r="L604" s="27">
        <f t="shared" si="623"/>
        <v>5168.8</v>
      </c>
      <c r="M604" s="27">
        <f t="shared" ref="M604:N605" si="624">M605</f>
        <v>5168.8</v>
      </c>
      <c r="N604" s="27">
        <f t="shared" si="624"/>
        <v>2100</v>
      </c>
      <c r="O604" s="27">
        <f t="shared" si="603"/>
        <v>40.628385698808231</v>
      </c>
    </row>
    <row r="605" spans="1:15" ht="47.25">
      <c r="A605" s="26" t="s">
        <v>325</v>
      </c>
      <c r="B605" s="216">
        <v>906</v>
      </c>
      <c r="C605" s="214" t="s">
        <v>317</v>
      </c>
      <c r="D605" s="214" t="s">
        <v>171</v>
      </c>
      <c r="E605" s="214" t="s">
        <v>470</v>
      </c>
      <c r="F605" s="214" t="s">
        <v>326</v>
      </c>
      <c r="G605" s="27">
        <f>G606</f>
        <v>6730</v>
      </c>
      <c r="H605" s="27">
        <f>H606</f>
        <v>5175</v>
      </c>
      <c r="I605" s="27">
        <f t="shared" si="623"/>
        <v>6730</v>
      </c>
      <c r="J605" s="27">
        <f t="shared" si="623"/>
        <v>5168.8</v>
      </c>
      <c r="K605" s="27">
        <f t="shared" si="623"/>
        <v>5168.8</v>
      </c>
      <c r="L605" s="27">
        <f t="shared" si="623"/>
        <v>5168.8</v>
      </c>
      <c r="M605" s="27">
        <f t="shared" si="624"/>
        <v>5168.8</v>
      </c>
      <c r="N605" s="27">
        <f t="shared" si="624"/>
        <v>2100</v>
      </c>
      <c r="O605" s="27">
        <f t="shared" si="603"/>
        <v>40.628385698808231</v>
      </c>
    </row>
    <row r="606" spans="1:15" ht="15.75">
      <c r="A606" s="26" t="s">
        <v>327</v>
      </c>
      <c r="B606" s="216">
        <v>906</v>
      </c>
      <c r="C606" s="214" t="s">
        <v>317</v>
      </c>
      <c r="D606" s="214" t="s">
        <v>171</v>
      </c>
      <c r="E606" s="214" t="s">
        <v>470</v>
      </c>
      <c r="F606" s="214" t="s">
        <v>328</v>
      </c>
      <c r="G606" s="28">
        <v>6730</v>
      </c>
      <c r="H606" s="28">
        <v>5175</v>
      </c>
      <c r="I606" s="28">
        <v>6730</v>
      </c>
      <c r="J606" s="28">
        <v>5168.8</v>
      </c>
      <c r="K606" s="28">
        <v>5168.8</v>
      </c>
      <c r="L606" s="28">
        <v>5168.8</v>
      </c>
      <c r="M606" s="28">
        <v>5168.8</v>
      </c>
      <c r="N606" s="28">
        <v>2100</v>
      </c>
      <c r="O606" s="27">
        <f t="shared" si="603"/>
        <v>40.628385698808231</v>
      </c>
    </row>
    <row r="607" spans="1:15" ht="31.5" hidden="1" customHeight="1">
      <c r="A607" s="26" t="s">
        <v>337</v>
      </c>
      <c r="B607" s="216">
        <v>906</v>
      </c>
      <c r="C607" s="214" t="s">
        <v>317</v>
      </c>
      <c r="D607" s="214" t="s">
        <v>171</v>
      </c>
      <c r="E607" s="214" t="s">
        <v>471</v>
      </c>
      <c r="F607" s="214"/>
      <c r="G607" s="27">
        <f t="shared" ref="G607:L608" si="625">G608</f>
        <v>0</v>
      </c>
      <c r="H607" s="27">
        <v>0</v>
      </c>
      <c r="I607" s="27">
        <f t="shared" si="625"/>
        <v>0</v>
      </c>
      <c r="J607" s="27">
        <f t="shared" si="625"/>
        <v>500</v>
      </c>
      <c r="K607" s="27">
        <f t="shared" si="625"/>
        <v>50</v>
      </c>
      <c r="L607" s="27">
        <f t="shared" si="625"/>
        <v>500</v>
      </c>
      <c r="M607" s="27">
        <f t="shared" ref="M607:N608" si="626">M608</f>
        <v>0</v>
      </c>
      <c r="N607" s="27">
        <f t="shared" si="626"/>
        <v>0</v>
      </c>
      <c r="O607" s="27" t="e">
        <f t="shared" si="603"/>
        <v>#DIV/0!</v>
      </c>
    </row>
    <row r="608" spans="1:15" ht="47.25" hidden="1" customHeight="1">
      <c r="A608" s="26" t="s">
        <v>325</v>
      </c>
      <c r="B608" s="216">
        <v>906</v>
      </c>
      <c r="C608" s="214" t="s">
        <v>317</v>
      </c>
      <c r="D608" s="214" t="s">
        <v>171</v>
      </c>
      <c r="E608" s="214" t="s">
        <v>471</v>
      </c>
      <c r="F608" s="214" t="s">
        <v>326</v>
      </c>
      <c r="G608" s="27">
        <f t="shared" si="625"/>
        <v>0</v>
      </c>
      <c r="H608" s="27">
        <v>0</v>
      </c>
      <c r="I608" s="27">
        <f t="shared" si="625"/>
        <v>0</v>
      </c>
      <c r="J608" s="27">
        <f t="shared" si="625"/>
        <v>500</v>
      </c>
      <c r="K608" s="27">
        <f t="shared" si="625"/>
        <v>50</v>
      </c>
      <c r="L608" s="27">
        <f t="shared" si="625"/>
        <v>500</v>
      </c>
      <c r="M608" s="27">
        <f t="shared" si="626"/>
        <v>0</v>
      </c>
      <c r="N608" s="27">
        <f t="shared" si="626"/>
        <v>0</v>
      </c>
      <c r="O608" s="27" t="e">
        <f t="shared" si="603"/>
        <v>#DIV/0!</v>
      </c>
    </row>
    <row r="609" spans="1:15" ht="15.75" hidden="1" customHeight="1">
      <c r="A609" s="26" t="s">
        <v>327</v>
      </c>
      <c r="B609" s="216">
        <v>906</v>
      </c>
      <c r="C609" s="214" t="s">
        <v>317</v>
      </c>
      <c r="D609" s="214" t="s">
        <v>171</v>
      </c>
      <c r="E609" s="214" t="s">
        <v>471</v>
      </c>
      <c r="F609" s="214" t="s">
        <v>328</v>
      </c>
      <c r="G609" s="27">
        <v>0</v>
      </c>
      <c r="H609" s="27">
        <v>0</v>
      </c>
      <c r="I609" s="27">
        <v>0</v>
      </c>
      <c r="J609" s="27">
        <v>500</v>
      </c>
      <c r="K609" s="27">
        <v>50</v>
      </c>
      <c r="L609" s="27">
        <v>500</v>
      </c>
      <c r="M609" s="27">
        <v>0</v>
      </c>
      <c r="N609" s="27">
        <v>0</v>
      </c>
      <c r="O609" s="27" t="e">
        <f t="shared" si="603"/>
        <v>#DIV/0!</v>
      </c>
    </row>
    <row r="610" spans="1:15" ht="47.25" customHeight="1">
      <c r="A610" s="70" t="s">
        <v>871</v>
      </c>
      <c r="B610" s="216">
        <v>906</v>
      </c>
      <c r="C610" s="214" t="s">
        <v>317</v>
      </c>
      <c r="D610" s="214" t="s">
        <v>171</v>
      </c>
      <c r="E610" s="214" t="s">
        <v>874</v>
      </c>
      <c r="F610" s="214"/>
      <c r="G610" s="27">
        <f>G611</f>
        <v>0</v>
      </c>
      <c r="H610" s="27">
        <v>0</v>
      </c>
      <c r="I610" s="27">
        <f t="shared" ref="I610:L611" si="627">I611</f>
        <v>0</v>
      </c>
      <c r="J610" s="27">
        <f t="shared" si="627"/>
        <v>3468.9</v>
      </c>
      <c r="K610" s="27">
        <f t="shared" si="627"/>
        <v>3468.9</v>
      </c>
      <c r="L610" s="27">
        <f t="shared" si="627"/>
        <v>3468.9</v>
      </c>
      <c r="M610" s="27">
        <f t="shared" ref="M610:N611" si="628">M611</f>
        <v>3468.9</v>
      </c>
      <c r="N610" s="27">
        <f t="shared" si="628"/>
        <v>3000</v>
      </c>
      <c r="O610" s="27">
        <f t="shared" si="603"/>
        <v>86.482746692034937</v>
      </c>
    </row>
    <row r="611" spans="1:15" ht="55.5" customHeight="1">
      <c r="A611" s="31" t="s">
        <v>325</v>
      </c>
      <c r="B611" s="216">
        <v>906</v>
      </c>
      <c r="C611" s="214" t="s">
        <v>317</v>
      </c>
      <c r="D611" s="214" t="s">
        <v>171</v>
      </c>
      <c r="E611" s="214" t="s">
        <v>874</v>
      </c>
      <c r="F611" s="214" t="s">
        <v>326</v>
      </c>
      <c r="G611" s="27">
        <f>G612</f>
        <v>0</v>
      </c>
      <c r="H611" s="27">
        <v>0</v>
      </c>
      <c r="I611" s="27">
        <f t="shared" si="627"/>
        <v>0</v>
      </c>
      <c r="J611" s="27">
        <f t="shared" si="627"/>
        <v>3468.9</v>
      </c>
      <c r="K611" s="27">
        <f t="shared" si="627"/>
        <v>3468.9</v>
      </c>
      <c r="L611" s="27">
        <f t="shared" si="627"/>
        <v>3468.9</v>
      </c>
      <c r="M611" s="27">
        <f t="shared" si="628"/>
        <v>3468.9</v>
      </c>
      <c r="N611" s="27">
        <f t="shared" si="628"/>
        <v>3000</v>
      </c>
      <c r="O611" s="27">
        <f t="shared" si="603"/>
        <v>86.482746692034937</v>
      </c>
    </row>
    <row r="612" spans="1:15" ht="15.75" customHeight="1">
      <c r="A612" s="258" t="s">
        <v>327</v>
      </c>
      <c r="B612" s="216">
        <v>906</v>
      </c>
      <c r="C612" s="214" t="s">
        <v>317</v>
      </c>
      <c r="D612" s="214" t="s">
        <v>171</v>
      </c>
      <c r="E612" s="214" t="s">
        <v>874</v>
      </c>
      <c r="F612" s="214" t="s">
        <v>328</v>
      </c>
      <c r="G612" s="27">
        <v>0</v>
      </c>
      <c r="H612" s="27">
        <v>0</v>
      </c>
      <c r="I612" s="27">
        <v>0</v>
      </c>
      <c r="J612" s="27">
        <v>3468.9</v>
      </c>
      <c r="K612" s="27">
        <f>J612</f>
        <v>3468.9</v>
      </c>
      <c r="L612" s="27">
        <f>K612</f>
        <v>3468.9</v>
      </c>
      <c r="M612" s="27">
        <v>3468.9</v>
      </c>
      <c r="N612" s="27">
        <v>3000</v>
      </c>
      <c r="O612" s="27">
        <f t="shared" si="603"/>
        <v>86.482746692034937</v>
      </c>
    </row>
    <row r="613" spans="1:15" ht="50.25" customHeight="1">
      <c r="A613" s="70" t="s">
        <v>880</v>
      </c>
      <c r="B613" s="216">
        <v>906</v>
      </c>
      <c r="C613" s="214" t="s">
        <v>317</v>
      </c>
      <c r="D613" s="214" t="s">
        <v>171</v>
      </c>
      <c r="E613" s="214" t="s">
        <v>875</v>
      </c>
      <c r="F613" s="214"/>
      <c r="G613" s="27">
        <f>G614</f>
        <v>0</v>
      </c>
      <c r="H613" s="27">
        <v>0</v>
      </c>
      <c r="I613" s="27">
        <f t="shared" ref="I613:L614" si="629">I614</f>
        <v>0</v>
      </c>
      <c r="J613" s="27">
        <f t="shared" si="629"/>
        <v>1230.5999999999999</v>
      </c>
      <c r="K613" s="27">
        <f t="shared" si="629"/>
        <v>1230.5999999999999</v>
      </c>
      <c r="L613" s="27">
        <f t="shared" si="629"/>
        <v>1230.5999999999999</v>
      </c>
      <c r="M613" s="27">
        <f t="shared" ref="M613:N614" si="630">M614</f>
        <v>1230.5999999999999</v>
      </c>
      <c r="N613" s="27">
        <f t="shared" si="630"/>
        <v>335</v>
      </c>
      <c r="O613" s="27">
        <f t="shared" si="603"/>
        <v>27.22249309280026</v>
      </c>
    </row>
    <row r="614" spans="1:15" ht="15.75" customHeight="1">
      <c r="A614" s="31" t="s">
        <v>325</v>
      </c>
      <c r="B614" s="216">
        <v>906</v>
      </c>
      <c r="C614" s="214" t="s">
        <v>317</v>
      </c>
      <c r="D614" s="214" t="s">
        <v>171</v>
      </c>
      <c r="E614" s="214" t="s">
        <v>875</v>
      </c>
      <c r="F614" s="214" t="s">
        <v>326</v>
      </c>
      <c r="G614" s="27">
        <f>G615</f>
        <v>0</v>
      </c>
      <c r="H614" s="27">
        <v>0</v>
      </c>
      <c r="I614" s="27">
        <f t="shared" si="629"/>
        <v>0</v>
      </c>
      <c r="J614" s="27">
        <f t="shared" si="629"/>
        <v>1230.5999999999999</v>
      </c>
      <c r="K614" s="27">
        <f t="shared" si="629"/>
        <v>1230.5999999999999</v>
      </c>
      <c r="L614" s="27">
        <f t="shared" si="629"/>
        <v>1230.5999999999999</v>
      </c>
      <c r="M614" s="27">
        <f t="shared" si="630"/>
        <v>1230.5999999999999</v>
      </c>
      <c r="N614" s="27">
        <f t="shared" si="630"/>
        <v>335</v>
      </c>
      <c r="O614" s="27">
        <f t="shared" si="603"/>
        <v>27.22249309280026</v>
      </c>
    </row>
    <row r="615" spans="1:15" ht="15.75" customHeight="1">
      <c r="A615" s="258" t="s">
        <v>327</v>
      </c>
      <c r="B615" s="216">
        <v>906</v>
      </c>
      <c r="C615" s="214" t="s">
        <v>317</v>
      </c>
      <c r="D615" s="214" t="s">
        <v>171</v>
      </c>
      <c r="E615" s="214" t="s">
        <v>875</v>
      </c>
      <c r="F615" s="214" t="s">
        <v>328</v>
      </c>
      <c r="G615" s="27">
        <v>0</v>
      </c>
      <c r="H615" s="27">
        <v>0</v>
      </c>
      <c r="I615" s="27">
        <v>0</v>
      </c>
      <c r="J615" s="27">
        <v>1230.5999999999999</v>
      </c>
      <c r="K615" s="27">
        <f>J615</f>
        <v>1230.5999999999999</v>
      </c>
      <c r="L615" s="27">
        <f>K615</f>
        <v>1230.5999999999999</v>
      </c>
      <c r="M615" s="27">
        <v>1230.5999999999999</v>
      </c>
      <c r="N615" s="27">
        <v>335</v>
      </c>
      <c r="O615" s="27">
        <f t="shared" si="603"/>
        <v>27.22249309280026</v>
      </c>
    </row>
    <row r="616" spans="1:15" ht="15.75">
      <c r="A616" s="26" t="s">
        <v>174</v>
      </c>
      <c r="B616" s="216">
        <v>906</v>
      </c>
      <c r="C616" s="214" t="s">
        <v>317</v>
      </c>
      <c r="D616" s="214" t="s">
        <v>171</v>
      </c>
      <c r="E616" s="214" t="s">
        <v>175</v>
      </c>
      <c r="F616" s="214"/>
      <c r="G616" s="27">
        <f>G617</f>
        <v>61206</v>
      </c>
      <c r="H616" s="27">
        <f>H617</f>
        <v>50384</v>
      </c>
      <c r="I616" s="27">
        <f t="shared" ref="I616:L616" si="631">I617</f>
        <v>61206</v>
      </c>
      <c r="J616" s="27">
        <f t="shared" si="631"/>
        <v>61206</v>
      </c>
      <c r="K616" s="27">
        <f t="shared" si="631"/>
        <v>61206</v>
      </c>
      <c r="L616" s="27">
        <f t="shared" si="631"/>
        <v>61206</v>
      </c>
      <c r="M616" s="27">
        <f t="shared" ref="M616:N616" si="632">M617</f>
        <v>66941.600000000006</v>
      </c>
      <c r="N616" s="27">
        <f t="shared" si="632"/>
        <v>20075.8</v>
      </c>
      <c r="O616" s="27">
        <f t="shared" si="603"/>
        <v>29.990021152765991</v>
      </c>
    </row>
    <row r="617" spans="1:15" ht="31.5">
      <c r="A617" s="26" t="s">
        <v>238</v>
      </c>
      <c r="B617" s="216">
        <v>906</v>
      </c>
      <c r="C617" s="214" t="s">
        <v>317</v>
      </c>
      <c r="D617" s="214" t="s">
        <v>171</v>
      </c>
      <c r="E617" s="214" t="s">
        <v>239</v>
      </c>
      <c r="F617" s="214"/>
      <c r="G617" s="27">
        <f t="shared" ref="G617:L617" si="633">G618+G621+G624+G627+G630+G633</f>
        <v>61206</v>
      </c>
      <c r="H617" s="27">
        <f t="shared" si="633"/>
        <v>50384</v>
      </c>
      <c r="I617" s="27">
        <f t="shared" si="633"/>
        <v>61206</v>
      </c>
      <c r="J617" s="27">
        <f t="shared" si="633"/>
        <v>61206</v>
      </c>
      <c r="K617" s="27">
        <f t="shared" si="633"/>
        <v>61206</v>
      </c>
      <c r="L617" s="27">
        <f t="shared" si="633"/>
        <v>61206</v>
      </c>
      <c r="M617" s="27">
        <f t="shared" ref="M617:N617" si="634">M618+M621+M624+M627+M630+M633</f>
        <v>66941.600000000006</v>
      </c>
      <c r="N617" s="27">
        <f t="shared" si="634"/>
        <v>20075.8</v>
      </c>
      <c r="O617" s="27">
        <f t="shared" si="603"/>
        <v>29.990021152765991</v>
      </c>
    </row>
    <row r="618" spans="1:15" ht="31.5" hidden="1" customHeight="1">
      <c r="A618" s="26" t="s">
        <v>472</v>
      </c>
      <c r="B618" s="216">
        <v>906</v>
      </c>
      <c r="C618" s="214" t="s">
        <v>317</v>
      </c>
      <c r="D618" s="214" t="s">
        <v>171</v>
      </c>
      <c r="E618" s="214" t="s">
        <v>473</v>
      </c>
      <c r="F618" s="214"/>
      <c r="G618" s="27">
        <f t="shared" ref="G618:L619" si="635">G619</f>
        <v>0</v>
      </c>
      <c r="H618" s="27">
        <f t="shared" si="635"/>
        <v>0</v>
      </c>
      <c r="I618" s="27">
        <f t="shared" si="635"/>
        <v>0</v>
      </c>
      <c r="J618" s="27">
        <f t="shared" si="635"/>
        <v>0</v>
      </c>
      <c r="K618" s="27">
        <f t="shared" si="635"/>
        <v>0</v>
      </c>
      <c r="L618" s="27">
        <f t="shared" si="635"/>
        <v>0</v>
      </c>
      <c r="M618" s="27">
        <f t="shared" ref="M618:N619" si="636">M619</f>
        <v>0</v>
      </c>
      <c r="N618" s="27">
        <f t="shared" si="636"/>
        <v>0</v>
      </c>
      <c r="O618" s="27" t="e">
        <f t="shared" si="603"/>
        <v>#DIV/0!</v>
      </c>
    </row>
    <row r="619" spans="1:15" ht="47.25" hidden="1" customHeight="1">
      <c r="A619" s="26" t="s">
        <v>325</v>
      </c>
      <c r="B619" s="216">
        <v>906</v>
      </c>
      <c r="C619" s="214" t="s">
        <v>317</v>
      </c>
      <c r="D619" s="214" t="s">
        <v>171</v>
      </c>
      <c r="E619" s="214" t="s">
        <v>473</v>
      </c>
      <c r="F619" s="214" t="s">
        <v>326</v>
      </c>
      <c r="G619" s="27">
        <f t="shared" si="635"/>
        <v>0</v>
      </c>
      <c r="H619" s="27">
        <f t="shared" si="635"/>
        <v>0</v>
      </c>
      <c r="I619" s="27">
        <f t="shared" si="635"/>
        <v>0</v>
      </c>
      <c r="J619" s="27">
        <f t="shared" si="635"/>
        <v>0</v>
      </c>
      <c r="K619" s="27">
        <f t="shared" si="635"/>
        <v>0</v>
      </c>
      <c r="L619" s="27">
        <f t="shared" si="635"/>
        <v>0</v>
      </c>
      <c r="M619" s="27">
        <f t="shared" si="636"/>
        <v>0</v>
      </c>
      <c r="N619" s="27">
        <f t="shared" si="636"/>
        <v>0</v>
      </c>
      <c r="O619" s="27" t="e">
        <f t="shared" si="603"/>
        <v>#DIV/0!</v>
      </c>
    </row>
    <row r="620" spans="1:15" ht="15.75" hidden="1" customHeight="1">
      <c r="A620" s="26" t="s">
        <v>327</v>
      </c>
      <c r="B620" s="216">
        <v>906</v>
      </c>
      <c r="C620" s="214" t="s">
        <v>317</v>
      </c>
      <c r="D620" s="214" t="s">
        <v>171</v>
      </c>
      <c r="E620" s="214" t="s">
        <v>473</v>
      </c>
      <c r="F620" s="214" t="s">
        <v>328</v>
      </c>
      <c r="G620" s="27"/>
      <c r="H620" s="27"/>
      <c r="I620" s="27"/>
      <c r="J620" s="27"/>
      <c r="K620" s="27"/>
      <c r="L620" s="27"/>
      <c r="M620" s="27"/>
      <c r="N620" s="27"/>
      <c r="O620" s="27" t="e">
        <f t="shared" si="603"/>
        <v>#DIV/0!</v>
      </c>
    </row>
    <row r="621" spans="1:15" ht="63">
      <c r="A621" s="33" t="s">
        <v>342</v>
      </c>
      <c r="B621" s="216">
        <v>906</v>
      </c>
      <c r="C621" s="214" t="s">
        <v>317</v>
      </c>
      <c r="D621" s="214" t="s">
        <v>171</v>
      </c>
      <c r="E621" s="214" t="s">
        <v>343</v>
      </c>
      <c r="F621" s="214"/>
      <c r="G621" s="27">
        <f>G622</f>
        <v>310.2</v>
      </c>
      <c r="H621" s="27">
        <f>H622</f>
        <v>307.10000000000002</v>
      </c>
      <c r="I621" s="27">
        <f t="shared" ref="I621:L621" si="637">I622</f>
        <v>310.2</v>
      </c>
      <c r="J621" s="27">
        <f t="shared" si="637"/>
        <v>310.2</v>
      </c>
      <c r="K621" s="27">
        <f t="shared" si="637"/>
        <v>310.2</v>
      </c>
      <c r="L621" s="27">
        <f t="shared" si="637"/>
        <v>310.2</v>
      </c>
      <c r="M621" s="27">
        <f t="shared" ref="M621:N622" si="638">M622</f>
        <v>310.2</v>
      </c>
      <c r="N621" s="27">
        <f t="shared" si="638"/>
        <v>86.1</v>
      </c>
      <c r="O621" s="27">
        <f t="shared" si="603"/>
        <v>27.756286266924562</v>
      </c>
    </row>
    <row r="622" spans="1:15" ht="47.25">
      <c r="A622" s="26" t="s">
        <v>325</v>
      </c>
      <c r="B622" s="216">
        <v>906</v>
      </c>
      <c r="C622" s="214" t="s">
        <v>317</v>
      </c>
      <c r="D622" s="214" t="s">
        <v>171</v>
      </c>
      <c r="E622" s="214" t="s">
        <v>343</v>
      </c>
      <c r="F622" s="214" t="s">
        <v>326</v>
      </c>
      <c r="G622" s="27">
        <f t="shared" ref="G622:L622" si="639">G623</f>
        <v>310.2</v>
      </c>
      <c r="H622" s="27">
        <f t="shared" si="639"/>
        <v>307.10000000000002</v>
      </c>
      <c r="I622" s="27">
        <f t="shared" si="639"/>
        <v>310.2</v>
      </c>
      <c r="J622" s="27">
        <f t="shared" si="639"/>
        <v>310.2</v>
      </c>
      <c r="K622" s="27">
        <f t="shared" si="639"/>
        <v>310.2</v>
      </c>
      <c r="L622" s="27">
        <f t="shared" si="639"/>
        <v>310.2</v>
      </c>
      <c r="M622" s="27">
        <f t="shared" si="638"/>
        <v>310.2</v>
      </c>
      <c r="N622" s="27">
        <f t="shared" si="638"/>
        <v>86.1</v>
      </c>
      <c r="O622" s="27">
        <f t="shared" si="603"/>
        <v>27.756286266924562</v>
      </c>
    </row>
    <row r="623" spans="1:15" ht="15.75">
      <c r="A623" s="26" t="s">
        <v>327</v>
      </c>
      <c r="B623" s="216">
        <v>906</v>
      </c>
      <c r="C623" s="214" t="s">
        <v>317</v>
      </c>
      <c r="D623" s="214" t="s">
        <v>171</v>
      </c>
      <c r="E623" s="214" t="s">
        <v>343</v>
      </c>
      <c r="F623" s="214" t="s">
        <v>328</v>
      </c>
      <c r="G623" s="27">
        <f>416.2-106</f>
        <v>310.2</v>
      </c>
      <c r="H623" s="27">
        <v>307.10000000000002</v>
      </c>
      <c r="I623" s="27">
        <f t="shared" ref="I623:L623" si="640">416.2-106</f>
        <v>310.2</v>
      </c>
      <c r="J623" s="27">
        <f t="shared" si="640"/>
        <v>310.2</v>
      </c>
      <c r="K623" s="27">
        <f t="shared" si="640"/>
        <v>310.2</v>
      </c>
      <c r="L623" s="27">
        <f t="shared" si="640"/>
        <v>310.2</v>
      </c>
      <c r="M623" s="27">
        <f t="shared" ref="M623" si="641">416.2-106</f>
        <v>310.2</v>
      </c>
      <c r="N623" s="27">
        <v>86.1</v>
      </c>
      <c r="O623" s="27">
        <f t="shared" si="603"/>
        <v>27.756286266924562</v>
      </c>
    </row>
    <row r="624" spans="1:15" ht="78.75">
      <c r="A624" s="33" t="s">
        <v>474</v>
      </c>
      <c r="B624" s="216">
        <v>906</v>
      </c>
      <c r="C624" s="214" t="s">
        <v>317</v>
      </c>
      <c r="D624" s="214" t="s">
        <v>171</v>
      </c>
      <c r="E624" s="214" t="s">
        <v>345</v>
      </c>
      <c r="F624" s="214"/>
      <c r="G624" s="27">
        <f t="shared" ref="G624:L625" si="642">G625</f>
        <v>1696.8</v>
      </c>
      <c r="H624" s="27">
        <f t="shared" si="642"/>
        <v>1006.1</v>
      </c>
      <c r="I624" s="27">
        <f t="shared" si="642"/>
        <v>1696.8</v>
      </c>
      <c r="J624" s="27">
        <f t="shared" si="642"/>
        <v>1696.8</v>
      </c>
      <c r="K624" s="27">
        <f t="shared" si="642"/>
        <v>1696.8</v>
      </c>
      <c r="L624" s="27">
        <f t="shared" si="642"/>
        <v>1696.8</v>
      </c>
      <c r="M624" s="27">
        <f t="shared" ref="M624:N625" si="643">M625</f>
        <v>1755.8</v>
      </c>
      <c r="N624" s="27">
        <f t="shared" si="643"/>
        <v>293.2</v>
      </c>
      <c r="O624" s="27">
        <f t="shared" si="603"/>
        <v>16.698940653833009</v>
      </c>
    </row>
    <row r="625" spans="1:15" ht="47.25">
      <c r="A625" s="26" t="s">
        <v>325</v>
      </c>
      <c r="B625" s="216">
        <v>906</v>
      </c>
      <c r="C625" s="214" t="s">
        <v>317</v>
      </c>
      <c r="D625" s="214" t="s">
        <v>171</v>
      </c>
      <c r="E625" s="214" t="s">
        <v>345</v>
      </c>
      <c r="F625" s="214" t="s">
        <v>326</v>
      </c>
      <c r="G625" s="27">
        <f>G626</f>
        <v>1696.8</v>
      </c>
      <c r="H625" s="27">
        <f>H626</f>
        <v>1006.1</v>
      </c>
      <c r="I625" s="27">
        <f t="shared" si="642"/>
        <v>1696.8</v>
      </c>
      <c r="J625" s="27">
        <f t="shared" si="642"/>
        <v>1696.8</v>
      </c>
      <c r="K625" s="27">
        <f t="shared" si="642"/>
        <v>1696.8</v>
      </c>
      <c r="L625" s="27">
        <f t="shared" si="642"/>
        <v>1696.8</v>
      </c>
      <c r="M625" s="27">
        <f t="shared" si="643"/>
        <v>1755.8</v>
      </c>
      <c r="N625" s="27">
        <f t="shared" si="643"/>
        <v>293.2</v>
      </c>
      <c r="O625" s="27">
        <f t="shared" si="603"/>
        <v>16.698940653833009</v>
      </c>
    </row>
    <row r="626" spans="1:15" ht="15.75">
      <c r="A626" s="26" t="s">
        <v>327</v>
      </c>
      <c r="B626" s="216">
        <v>906</v>
      </c>
      <c r="C626" s="214" t="s">
        <v>317</v>
      </c>
      <c r="D626" s="214" t="s">
        <v>171</v>
      </c>
      <c r="E626" s="214" t="s">
        <v>345</v>
      </c>
      <c r="F626" s="214" t="s">
        <v>328</v>
      </c>
      <c r="G626" s="27">
        <f>1900-203.2</f>
        <v>1696.8</v>
      </c>
      <c r="H626" s="27">
        <v>1006.1</v>
      </c>
      <c r="I626" s="27">
        <f t="shared" ref="I626:L626" si="644">1900-203.2</f>
        <v>1696.8</v>
      </c>
      <c r="J626" s="27">
        <f t="shared" si="644"/>
        <v>1696.8</v>
      </c>
      <c r="K626" s="27">
        <f t="shared" si="644"/>
        <v>1696.8</v>
      </c>
      <c r="L626" s="27">
        <f t="shared" si="644"/>
        <v>1696.8</v>
      </c>
      <c r="M626" s="27">
        <f>1900-203.2+59</f>
        <v>1755.8</v>
      </c>
      <c r="N626" s="27">
        <v>293.2</v>
      </c>
      <c r="O626" s="27">
        <f t="shared" si="603"/>
        <v>16.698940653833009</v>
      </c>
    </row>
    <row r="627" spans="1:15" ht="94.5">
      <c r="A627" s="33" t="s">
        <v>475</v>
      </c>
      <c r="B627" s="216">
        <v>906</v>
      </c>
      <c r="C627" s="214" t="s">
        <v>317</v>
      </c>
      <c r="D627" s="214" t="s">
        <v>171</v>
      </c>
      <c r="E627" s="214" t="s">
        <v>476</v>
      </c>
      <c r="F627" s="214"/>
      <c r="G627" s="27">
        <f>G628</f>
        <v>56320</v>
      </c>
      <c r="H627" s="27">
        <f>H628</f>
        <v>46863</v>
      </c>
      <c r="I627" s="27">
        <f t="shared" ref="I627:L627" si="645">I628</f>
        <v>56320</v>
      </c>
      <c r="J627" s="27">
        <f t="shared" si="645"/>
        <v>56320</v>
      </c>
      <c r="K627" s="27">
        <f t="shared" si="645"/>
        <v>56320</v>
      </c>
      <c r="L627" s="27">
        <f t="shared" si="645"/>
        <v>56320</v>
      </c>
      <c r="M627" s="27">
        <f t="shared" ref="M627:N628" si="646">M628</f>
        <v>62045.599999999999</v>
      </c>
      <c r="N627" s="27">
        <f t="shared" si="646"/>
        <v>19010</v>
      </c>
      <c r="O627" s="27">
        <f t="shared" si="603"/>
        <v>30.638756011707518</v>
      </c>
    </row>
    <row r="628" spans="1:15" ht="47.25">
      <c r="A628" s="26" t="s">
        <v>325</v>
      </c>
      <c r="B628" s="216">
        <v>906</v>
      </c>
      <c r="C628" s="214" t="s">
        <v>317</v>
      </c>
      <c r="D628" s="214" t="s">
        <v>171</v>
      </c>
      <c r="E628" s="214" t="s">
        <v>476</v>
      </c>
      <c r="F628" s="214" t="s">
        <v>326</v>
      </c>
      <c r="G628" s="27">
        <f t="shared" ref="G628:L628" si="647">G629</f>
        <v>56320</v>
      </c>
      <c r="H628" s="27">
        <f t="shared" si="647"/>
        <v>46863</v>
      </c>
      <c r="I628" s="27">
        <f t="shared" si="647"/>
        <v>56320</v>
      </c>
      <c r="J628" s="27">
        <f t="shared" si="647"/>
        <v>56320</v>
      </c>
      <c r="K628" s="27">
        <f t="shared" si="647"/>
        <v>56320</v>
      </c>
      <c r="L628" s="27">
        <f t="shared" si="647"/>
        <v>56320</v>
      </c>
      <c r="M628" s="27">
        <f t="shared" si="646"/>
        <v>62045.599999999999</v>
      </c>
      <c r="N628" s="27">
        <f t="shared" si="646"/>
        <v>19010</v>
      </c>
      <c r="O628" s="27">
        <f t="shared" si="603"/>
        <v>30.638756011707518</v>
      </c>
    </row>
    <row r="629" spans="1:15" ht="15.75">
      <c r="A629" s="26" t="s">
        <v>327</v>
      </c>
      <c r="B629" s="216">
        <v>906</v>
      </c>
      <c r="C629" s="214" t="s">
        <v>317</v>
      </c>
      <c r="D629" s="214" t="s">
        <v>171</v>
      </c>
      <c r="E629" s="214" t="s">
        <v>476</v>
      </c>
      <c r="F629" s="214" t="s">
        <v>328</v>
      </c>
      <c r="G629" s="28">
        <f>66162.2-7643.6-2198.6</f>
        <v>56320</v>
      </c>
      <c r="H629" s="28">
        <v>46863</v>
      </c>
      <c r="I629" s="28">
        <f t="shared" ref="I629:L629" si="648">66162.2-7643.6-2198.6</f>
        <v>56320</v>
      </c>
      <c r="J629" s="28">
        <f t="shared" si="648"/>
        <v>56320</v>
      </c>
      <c r="K629" s="28">
        <f t="shared" si="648"/>
        <v>56320</v>
      </c>
      <c r="L629" s="28">
        <f t="shared" si="648"/>
        <v>56320</v>
      </c>
      <c r="M629" s="28">
        <f>'прил.№1 доходы'!I125</f>
        <v>62045.599999999999</v>
      </c>
      <c r="N629" s="28">
        <v>19010</v>
      </c>
      <c r="O629" s="27">
        <f t="shared" si="603"/>
        <v>30.638756011707518</v>
      </c>
    </row>
    <row r="630" spans="1:15" ht="110.25">
      <c r="A630" s="33" t="s">
        <v>346</v>
      </c>
      <c r="B630" s="216">
        <v>906</v>
      </c>
      <c r="C630" s="214" t="s">
        <v>317</v>
      </c>
      <c r="D630" s="214" t="s">
        <v>171</v>
      </c>
      <c r="E630" s="214" t="s">
        <v>347</v>
      </c>
      <c r="F630" s="214"/>
      <c r="G630" s="27">
        <f t="shared" ref="G630:L631" si="649">G631</f>
        <v>2879</v>
      </c>
      <c r="H630" s="27">
        <f t="shared" si="649"/>
        <v>2207.8000000000002</v>
      </c>
      <c r="I630" s="27">
        <f t="shared" si="649"/>
        <v>2879</v>
      </c>
      <c r="J630" s="27">
        <f t="shared" si="649"/>
        <v>2879</v>
      </c>
      <c r="K630" s="27">
        <f t="shared" si="649"/>
        <v>2879</v>
      </c>
      <c r="L630" s="27">
        <f t="shared" si="649"/>
        <v>2879</v>
      </c>
      <c r="M630" s="27">
        <f t="shared" ref="M630:N631" si="650">M631</f>
        <v>2830</v>
      </c>
      <c r="N630" s="27">
        <f t="shared" si="650"/>
        <v>686.5</v>
      </c>
      <c r="O630" s="27">
        <f t="shared" si="603"/>
        <v>24.257950530035334</v>
      </c>
    </row>
    <row r="631" spans="1:15" ht="47.25">
      <c r="A631" s="26" t="s">
        <v>325</v>
      </c>
      <c r="B631" s="216">
        <v>906</v>
      </c>
      <c r="C631" s="214" t="s">
        <v>317</v>
      </c>
      <c r="D631" s="214" t="s">
        <v>171</v>
      </c>
      <c r="E631" s="214" t="s">
        <v>347</v>
      </c>
      <c r="F631" s="214" t="s">
        <v>326</v>
      </c>
      <c r="G631" s="27">
        <f>G632</f>
        <v>2879</v>
      </c>
      <c r="H631" s="27">
        <f>H632</f>
        <v>2207.8000000000002</v>
      </c>
      <c r="I631" s="27">
        <f t="shared" si="649"/>
        <v>2879</v>
      </c>
      <c r="J631" s="27">
        <f t="shared" si="649"/>
        <v>2879</v>
      </c>
      <c r="K631" s="27">
        <f t="shared" si="649"/>
        <v>2879</v>
      </c>
      <c r="L631" s="27">
        <f t="shared" si="649"/>
        <v>2879</v>
      </c>
      <c r="M631" s="27">
        <f t="shared" si="650"/>
        <v>2830</v>
      </c>
      <c r="N631" s="27">
        <f t="shared" si="650"/>
        <v>686.5</v>
      </c>
      <c r="O631" s="27">
        <f t="shared" si="603"/>
        <v>24.257950530035334</v>
      </c>
    </row>
    <row r="632" spans="1:15" ht="15.75">
      <c r="A632" s="26" t="s">
        <v>327</v>
      </c>
      <c r="B632" s="216">
        <v>906</v>
      </c>
      <c r="C632" s="214" t="s">
        <v>317</v>
      </c>
      <c r="D632" s="214" t="s">
        <v>171</v>
      </c>
      <c r="E632" s="214" t="s">
        <v>347</v>
      </c>
      <c r="F632" s="214" t="s">
        <v>328</v>
      </c>
      <c r="G632" s="28">
        <f>2937.2-58.2</f>
        <v>2879</v>
      </c>
      <c r="H632" s="28">
        <v>2207.8000000000002</v>
      </c>
      <c r="I632" s="28">
        <f t="shared" ref="I632:L632" si="651">2937.2-58.2</f>
        <v>2879</v>
      </c>
      <c r="J632" s="28">
        <f t="shared" si="651"/>
        <v>2879</v>
      </c>
      <c r="K632" s="28">
        <f t="shared" si="651"/>
        <v>2879</v>
      </c>
      <c r="L632" s="28">
        <f t="shared" si="651"/>
        <v>2879</v>
      </c>
      <c r="M632" s="28">
        <f>2937.2-58.2-49</f>
        <v>2830</v>
      </c>
      <c r="N632" s="28">
        <v>686.5</v>
      </c>
      <c r="O632" s="27">
        <f t="shared" si="603"/>
        <v>24.257950530035334</v>
      </c>
    </row>
    <row r="633" spans="1:15" ht="157.5" hidden="1" customHeight="1">
      <c r="A633" s="26" t="s">
        <v>477</v>
      </c>
      <c r="B633" s="216">
        <v>906</v>
      </c>
      <c r="C633" s="214" t="s">
        <v>317</v>
      </c>
      <c r="D633" s="214" t="s">
        <v>171</v>
      </c>
      <c r="E633" s="214" t="s">
        <v>478</v>
      </c>
      <c r="F633" s="214"/>
      <c r="G633" s="28">
        <f t="shared" ref="G633:L634" si="652">G634</f>
        <v>0</v>
      </c>
      <c r="H633" s="28">
        <f t="shared" si="652"/>
        <v>0</v>
      </c>
      <c r="I633" s="28">
        <f t="shared" si="652"/>
        <v>0</v>
      </c>
      <c r="J633" s="28">
        <f t="shared" si="652"/>
        <v>0</v>
      </c>
      <c r="K633" s="28">
        <f t="shared" si="652"/>
        <v>0</v>
      </c>
      <c r="L633" s="28">
        <f t="shared" si="652"/>
        <v>0</v>
      </c>
      <c r="M633" s="28">
        <f t="shared" ref="M633:N634" si="653">M634</f>
        <v>0</v>
      </c>
      <c r="N633" s="28">
        <f t="shared" si="653"/>
        <v>0</v>
      </c>
      <c r="O633" s="22" t="e">
        <f t="shared" si="603"/>
        <v>#DIV/0!</v>
      </c>
    </row>
    <row r="634" spans="1:15" ht="47.25" hidden="1" customHeight="1">
      <c r="A634" s="26" t="s">
        <v>325</v>
      </c>
      <c r="B634" s="216">
        <v>906</v>
      </c>
      <c r="C634" s="214" t="s">
        <v>317</v>
      </c>
      <c r="D634" s="214" t="s">
        <v>171</v>
      </c>
      <c r="E634" s="214" t="s">
        <v>478</v>
      </c>
      <c r="F634" s="214" t="s">
        <v>326</v>
      </c>
      <c r="G634" s="28">
        <f t="shared" si="652"/>
        <v>0</v>
      </c>
      <c r="H634" s="28">
        <f t="shared" si="652"/>
        <v>0</v>
      </c>
      <c r="I634" s="28">
        <f t="shared" si="652"/>
        <v>0</v>
      </c>
      <c r="J634" s="28">
        <f t="shared" si="652"/>
        <v>0</v>
      </c>
      <c r="K634" s="28">
        <f t="shared" si="652"/>
        <v>0</v>
      </c>
      <c r="L634" s="28">
        <f t="shared" si="652"/>
        <v>0</v>
      </c>
      <c r="M634" s="28">
        <f t="shared" si="653"/>
        <v>0</v>
      </c>
      <c r="N634" s="28">
        <f t="shared" si="653"/>
        <v>0</v>
      </c>
      <c r="O634" s="22" t="e">
        <f t="shared" si="603"/>
        <v>#DIV/0!</v>
      </c>
    </row>
    <row r="635" spans="1:15" ht="15.75" hidden="1" customHeight="1">
      <c r="A635" s="26" t="s">
        <v>327</v>
      </c>
      <c r="B635" s="216">
        <v>906</v>
      </c>
      <c r="C635" s="214" t="s">
        <v>317</v>
      </c>
      <c r="D635" s="214" t="s">
        <v>171</v>
      </c>
      <c r="E635" s="214" t="s">
        <v>478</v>
      </c>
      <c r="F635" s="214" t="s">
        <v>328</v>
      </c>
      <c r="G635" s="28">
        <f>276.5-276.5</f>
        <v>0</v>
      </c>
      <c r="H635" s="28">
        <f>276.5-276.5</f>
        <v>0</v>
      </c>
      <c r="I635" s="28">
        <f t="shared" ref="I635:L635" si="654">276.5-276.5</f>
        <v>0</v>
      </c>
      <c r="J635" s="28">
        <f t="shared" si="654"/>
        <v>0</v>
      </c>
      <c r="K635" s="28">
        <f t="shared" si="654"/>
        <v>0</v>
      </c>
      <c r="L635" s="28">
        <f t="shared" si="654"/>
        <v>0</v>
      </c>
      <c r="M635" s="28">
        <f t="shared" ref="M635:N635" si="655">276.5-276.5</f>
        <v>0</v>
      </c>
      <c r="N635" s="28">
        <f t="shared" si="655"/>
        <v>0</v>
      </c>
      <c r="O635" s="22" t="e">
        <f t="shared" si="603"/>
        <v>#DIV/0!</v>
      </c>
    </row>
    <row r="636" spans="1:15" ht="15.75">
      <c r="A636" s="24" t="s">
        <v>479</v>
      </c>
      <c r="B636" s="213">
        <v>906</v>
      </c>
      <c r="C636" s="215" t="s">
        <v>317</v>
      </c>
      <c r="D636" s="215" t="s">
        <v>266</v>
      </c>
      <c r="E636" s="215"/>
      <c r="F636" s="215"/>
      <c r="G636" s="22">
        <f>G637+G673</f>
        <v>130684.4</v>
      </c>
      <c r="H636" s="22">
        <f t="shared" ref="H636:L636" si="656">H637+H673</f>
        <v>101157.87999999999</v>
      </c>
      <c r="I636" s="22">
        <f t="shared" si="656"/>
        <v>129899.26666666666</v>
      </c>
      <c r="J636" s="22">
        <f t="shared" si="656"/>
        <v>135586.4</v>
      </c>
      <c r="K636" s="22">
        <f t="shared" si="656"/>
        <v>132510.29999999999</v>
      </c>
      <c r="L636" s="22">
        <f t="shared" si="656"/>
        <v>131125.70000000001</v>
      </c>
      <c r="M636" s="22">
        <f t="shared" ref="M636:N636" si="657">M637+M673</f>
        <v>127073.4</v>
      </c>
      <c r="N636" s="22">
        <f t="shared" si="657"/>
        <v>40216.199999999997</v>
      </c>
      <c r="O636" s="22">
        <f t="shared" si="603"/>
        <v>31.648008159063973</v>
      </c>
    </row>
    <row r="637" spans="1:15" ht="47.25">
      <c r="A637" s="26" t="s">
        <v>480</v>
      </c>
      <c r="B637" s="216">
        <v>906</v>
      </c>
      <c r="C637" s="214" t="s">
        <v>317</v>
      </c>
      <c r="D637" s="214" t="s">
        <v>266</v>
      </c>
      <c r="E637" s="214" t="s">
        <v>460</v>
      </c>
      <c r="F637" s="214"/>
      <c r="G637" s="27">
        <f>G638+G642</f>
        <v>40826.6</v>
      </c>
      <c r="H637" s="27">
        <f>H638+H642</f>
        <v>27971.7</v>
      </c>
      <c r="I637" s="27">
        <f t="shared" ref="I637:L637" si="658">I638+I642</f>
        <v>40041.466666666667</v>
      </c>
      <c r="J637" s="27">
        <f t="shared" si="658"/>
        <v>45728.6</v>
      </c>
      <c r="K637" s="27">
        <f t="shared" si="658"/>
        <v>42652.5</v>
      </c>
      <c r="L637" s="27">
        <f t="shared" si="658"/>
        <v>41267.9</v>
      </c>
      <c r="M637" s="27">
        <f t="shared" ref="M637:N637" si="659">M638+M642</f>
        <v>37506.199999999997</v>
      </c>
      <c r="N637" s="27">
        <f t="shared" si="659"/>
        <v>14652.1</v>
      </c>
      <c r="O637" s="27">
        <f t="shared" si="603"/>
        <v>39.06580778644598</v>
      </c>
    </row>
    <row r="638" spans="1:15" ht="37.5" customHeight="1">
      <c r="A638" s="26" t="s">
        <v>461</v>
      </c>
      <c r="B638" s="216">
        <v>906</v>
      </c>
      <c r="C638" s="214" t="s">
        <v>317</v>
      </c>
      <c r="D638" s="214" t="s">
        <v>266</v>
      </c>
      <c r="E638" s="214" t="s">
        <v>462</v>
      </c>
      <c r="F638" s="214"/>
      <c r="G638" s="27">
        <f>G639</f>
        <v>34151.199999999997</v>
      </c>
      <c r="H638" s="27">
        <f>H639</f>
        <v>24800</v>
      </c>
      <c r="I638" s="27">
        <f t="shared" ref="I638:L638" si="660">I639</f>
        <v>33366.1</v>
      </c>
      <c r="J638" s="27">
        <f t="shared" si="660"/>
        <v>29080.799999999999</v>
      </c>
      <c r="K638" s="27">
        <f t="shared" si="660"/>
        <v>30905.8</v>
      </c>
      <c r="L638" s="27">
        <f t="shared" si="660"/>
        <v>32021.200000000001</v>
      </c>
      <c r="M638" s="27">
        <f t="shared" ref="M638:N640" si="661">M639</f>
        <v>30890.3</v>
      </c>
      <c r="N638" s="27">
        <f t="shared" si="661"/>
        <v>10885</v>
      </c>
      <c r="O638" s="27">
        <f t="shared" si="603"/>
        <v>35.2375988578939</v>
      </c>
    </row>
    <row r="639" spans="1:15" ht="47.25">
      <c r="A639" s="26" t="s">
        <v>481</v>
      </c>
      <c r="B639" s="216">
        <v>906</v>
      </c>
      <c r="C639" s="214" t="s">
        <v>317</v>
      </c>
      <c r="D639" s="214" t="s">
        <v>266</v>
      </c>
      <c r="E639" s="214" t="s">
        <v>482</v>
      </c>
      <c r="F639" s="214"/>
      <c r="G639" s="27">
        <f t="shared" ref="G639:L640" si="662">G640</f>
        <v>34151.199999999997</v>
      </c>
      <c r="H639" s="27">
        <f t="shared" si="662"/>
        <v>24800</v>
      </c>
      <c r="I639" s="27">
        <f t="shared" si="662"/>
        <v>33366.1</v>
      </c>
      <c r="J639" s="27">
        <f t="shared" si="662"/>
        <v>29080.799999999999</v>
      </c>
      <c r="K639" s="27">
        <f t="shared" si="662"/>
        <v>30905.8</v>
      </c>
      <c r="L639" s="27">
        <f t="shared" si="662"/>
        <v>32021.200000000001</v>
      </c>
      <c r="M639" s="27">
        <f t="shared" si="661"/>
        <v>30890.3</v>
      </c>
      <c r="N639" s="27">
        <f t="shared" si="661"/>
        <v>10885</v>
      </c>
      <c r="O639" s="27">
        <f t="shared" si="603"/>
        <v>35.2375988578939</v>
      </c>
    </row>
    <row r="640" spans="1:15" ht="47.25">
      <c r="A640" s="26" t="s">
        <v>325</v>
      </c>
      <c r="B640" s="216">
        <v>906</v>
      </c>
      <c r="C640" s="214" t="s">
        <v>317</v>
      </c>
      <c r="D640" s="214" t="s">
        <v>266</v>
      </c>
      <c r="E640" s="214" t="s">
        <v>482</v>
      </c>
      <c r="F640" s="214" t="s">
        <v>326</v>
      </c>
      <c r="G640" s="27">
        <f>G641</f>
        <v>34151.199999999997</v>
      </c>
      <c r="H640" s="27">
        <f>H641</f>
        <v>24800</v>
      </c>
      <c r="I640" s="27">
        <f t="shared" si="662"/>
        <v>33366.1</v>
      </c>
      <c r="J640" s="27">
        <f t="shared" si="662"/>
        <v>29080.799999999999</v>
      </c>
      <c r="K640" s="27">
        <f t="shared" si="662"/>
        <v>30905.8</v>
      </c>
      <c r="L640" s="27">
        <f t="shared" si="662"/>
        <v>32021.200000000001</v>
      </c>
      <c r="M640" s="27">
        <f t="shared" si="661"/>
        <v>30890.3</v>
      </c>
      <c r="N640" s="27">
        <f t="shared" si="661"/>
        <v>10885</v>
      </c>
      <c r="O640" s="27">
        <f t="shared" si="603"/>
        <v>35.2375988578939</v>
      </c>
    </row>
    <row r="641" spans="1:15" ht="15.75">
      <c r="A641" s="26" t="s">
        <v>327</v>
      </c>
      <c r="B641" s="216">
        <v>906</v>
      </c>
      <c r="C641" s="214" t="s">
        <v>317</v>
      </c>
      <c r="D641" s="214" t="s">
        <v>266</v>
      </c>
      <c r="E641" s="214" t="s">
        <v>482</v>
      </c>
      <c r="F641" s="214" t="s">
        <v>328</v>
      </c>
      <c r="G641" s="28">
        <f>21817.5+13206.2-481.7+562.6-953.4</f>
        <v>34151.199999999997</v>
      </c>
      <c r="H641" s="28">
        <v>24800</v>
      </c>
      <c r="I641" s="28">
        <v>33366.1</v>
      </c>
      <c r="J641" s="28">
        <v>29080.799999999999</v>
      </c>
      <c r="K641" s="28">
        <v>30905.8</v>
      </c>
      <c r="L641" s="28">
        <v>32021.200000000001</v>
      </c>
      <c r="M641" s="28">
        <f>31613.6-723.3</f>
        <v>30890.3</v>
      </c>
      <c r="N641" s="28">
        <v>10885</v>
      </c>
      <c r="O641" s="27">
        <f t="shared" si="603"/>
        <v>35.2375988578939</v>
      </c>
    </row>
    <row r="642" spans="1:15" ht="36" customHeight="1">
      <c r="A642" s="26" t="s">
        <v>484</v>
      </c>
      <c r="B642" s="216">
        <v>906</v>
      </c>
      <c r="C642" s="214" t="s">
        <v>317</v>
      </c>
      <c r="D642" s="214" t="s">
        <v>266</v>
      </c>
      <c r="E642" s="214" t="s">
        <v>485</v>
      </c>
      <c r="F642" s="214"/>
      <c r="G642" s="27">
        <f>G648+G664+G661+G667+G658+G643+G649+G652+G655+G670</f>
        <v>6675.4</v>
      </c>
      <c r="H642" s="27">
        <f t="shared" ref="H642:L642" si="663">H648+H664+H661+H667+H658+H643+H649+H652+H655+H670</f>
        <v>3171.7</v>
      </c>
      <c r="I642" s="27">
        <f t="shared" si="663"/>
        <v>6675.3666666666668</v>
      </c>
      <c r="J642" s="27">
        <f t="shared" si="663"/>
        <v>16647.8</v>
      </c>
      <c r="K642" s="27">
        <f t="shared" si="663"/>
        <v>11746.7</v>
      </c>
      <c r="L642" s="27">
        <f t="shared" si="663"/>
        <v>9246.7000000000007</v>
      </c>
      <c r="M642" s="27">
        <f>M648+M664+M661+M667+M658+M643+M649+M652+M655+M670</f>
        <v>6615.9</v>
      </c>
      <c r="N642" s="27">
        <f t="shared" ref="N642" si="664">N648+N664+N661+N667+N658+N643+N649+N652+N655+N670</f>
        <v>3767.1</v>
      </c>
      <c r="O642" s="27">
        <f t="shared" si="603"/>
        <v>56.940098852763796</v>
      </c>
    </row>
    <row r="643" spans="1:15" ht="63" hidden="1" customHeight="1">
      <c r="A643" s="26" t="s">
        <v>486</v>
      </c>
      <c r="B643" s="216">
        <v>906</v>
      </c>
      <c r="C643" s="214" t="s">
        <v>317</v>
      </c>
      <c r="D643" s="214" t="s">
        <v>266</v>
      </c>
      <c r="E643" s="214" t="s">
        <v>487</v>
      </c>
      <c r="F643" s="214"/>
      <c r="G643" s="27">
        <f t="shared" ref="G643:L644" si="665">G644</f>
        <v>0</v>
      </c>
      <c r="H643" s="27"/>
      <c r="I643" s="27">
        <f t="shared" si="665"/>
        <v>0</v>
      </c>
      <c r="J643" s="27">
        <f t="shared" si="665"/>
        <v>0</v>
      </c>
      <c r="K643" s="27">
        <f t="shared" si="665"/>
        <v>0</v>
      </c>
      <c r="L643" s="27">
        <f t="shared" si="665"/>
        <v>0</v>
      </c>
      <c r="M643" s="27">
        <f t="shared" ref="M643:N644" si="666">M644</f>
        <v>0</v>
      </c>
      <c r="N643" s="27">
        <f t="shared" si="666"/>
        <v>0</v>
      </c>
      <c r="O643" s="27" t="e">
        <f t="shared" si="603"/>
        <v>#DIV/0!</v>
      </c>
    </row>
    <row r="644" spans="1:15" ht="47.25" hidden="1" customHeight="1">
      <c r="A644" s="26" t="s">
        <v>325</v>
      </c>
      <c r="B644" s="216">
        <v>906</v>
      </c>
      <c r="C644" s="214" t="s">
        <v>317</v>
      </c>
      <c r="D644" s="214" t="s">
        <v>266</v>
      </c>
      <c r="E644" s="214" t="s">
        <v>487</v>
      </c>
      <c r="F644" s="214" t="s">
        <v>326</v>
      </c>
      <c r="G644" s="27">
        <f t="shared" si="665"/>
        <v>0</v>
      </c>
      <c r="H644" s="27"/>
      <c r="I644" s="27">
        <f t="shared" si="665"/>
        <v>0</v>
      </c>
      <c r="J644" s="27">
        <f t="shared" si="665"/>
        <v>0</v>
      </c>
      <c r="K644" s="27">
        <f t="shared" si="665"/>
        <v>0</v>
      </c>
      <c r="L644" s="27">
        <f t="shared" si="665"/>
        <v>0</v>
      </c>
      <c r="M644" s="27">
        <f t="shared" si="666"/>
        <v>0</v>
      </c>
      <c r="N644" s="27">
        <f t="shared" si="666"/>
        <v>0</v>
      </c>
      <c r="O644" s="27" t="e">
        <f t="shared" si="603"/>
        <v>#DIV/0!</v>
      </c>
    </row>
    <row r="645" spans="1:15" ht="15.75" hidden="1" customHeight="1">
      <c r="A645" s="26" t="s">
        <v>327</v>
      </c>
      <c r="B645" s="216">
        <v>906</v>
      </c>
      <c r="C645" s="214" t="s">
        <v>317</v>
      </c>
      <c r="D645" s="214" t="s">
        <v>266</v>
      </c>
      <c r="E645" s="214" t="s">
        <v>487</v>
      </c>
      <c r="F645" s="214" t="s">
        <v>328</v>
      </c>
      <c r="G645" s="27">
        <v>0</v>
      </c>
      <c r="H645" s="27"/>
      <c r="I645" s="27">
        <v>0</v>
      </c>
      <c r="J645" s="27">
        <v>0</v>
      </c>
      <c r="K645" s="27">
        <v>0</v>
      </c>
      <c r="L645" s="27">
        <v>0</v>
      </c>
      <c r="M645" s="27">
        <v>0</v>
      </c>
      <c r="N645" s="27">
        <v>0</v>
      </c>
      <c r="O645" s="27" t="e">
        <f t="shared" si="603"/>
        <v>#DIV/0!</v>
      </c>
    </row>
    <row r="646" spans="1:15" ht="48.75" hidden="1" customHeight="1">
      <c r="A646" s="26" t="s">
        <v>488</v>
      </c>
      <c r="B646" s="216">
        <v>906</v>
      </c>
      <c r="C646" s="214" t="s">
        <v>317</v>
      </c>
      <c r="D646" s="214" t="s">
        <v>266</v>
      </c>
      <c r="E646" s="214" t="s">
        <v>489</v>
      </c>
      <c r="F646" s="214"/>
      <c r="G646" s="27">
        <f t="shared" ref="G646:L647" si="667">G647</f>
        <v>0</v>
      </c>
      <c r="H646" s="27"/>
      <c r="I646" s="27">
        <f t="shared" si="667"/>
        <v>0</v>
      </c>
      <c r="J646" s="27">
        <f t="shared" si="667"/>
        <v>0</v>
      </c>
      <c r="K646" s="27">
        <f t="shared" si="667"/>
        <v>0</v>
      </c>
      <c r="L646" s="27">
        <f t="shared" si="667"/>
        <v>0</v>
      </c>
      <c r="M646" s="27">
        <f t="shared" ref="M646:N647" si="668">M647</f>
        <v>0</v>
      </c>
      <c r="N646" s="27">
        <f t="shared" si="668"/>
        <v>0</v>
      </c>
      <c r="O646" s="27" t="e">
        <f t="shared" si="603"/>
        <v>#DIV/0!</v>
      </c>
    </row>
    <row r="647" spans="1:15" ht="47.25" hidden="1" customHeight="1">
      <c r="A647" s="26" t="s">
        <v>325</v>
      </c>
      <c r="B647" s="216">
        <v>906</v>
      </c>
      <c r="C647" s="214" t="s">
        <v>317</v>
      </c>
      <c r="D647" s="214" t="s">
        <v>266</v>
      </c>
      <c r="E647" s="214" t="s">
        <v>489</v>
      </c>
      <c r="F647" s="214" t="s">
        <v>326</v>
      </c>
      <c r="G647" s="27">
        <f t="shared" si="667"/>
        <v>0</v>
      </c>
      <c r="H647" s="27"/>
      <c r="I647" s="27">
        <f t="shared" si="667"/>
        <v>0</v>
      </c>
      <c r="J647" s="27">
        <f t="shared" si="667"/>
        <v>0</v>
      </c>
      <c r="K647" s="27">
        <f t="shared" si="667"/>
        <v>0</v>
      </c>
      <c r="L647" s="27">
        <f t="shared" si="667"/>
        <v>0</v>
      </c>
      <c r="M647" s="27">
        <f t="shared" si="668"/>
        <v>0</v>
      </c>
      <c r="N647" s="27">
        <f t="shared" si="668"/>
        <v>0</v>
      </c>
      <c r="O647" s="27" t="e">
        <f t="shared" si="603"/>
        <v>#DIV/0!</v>
      </c>
    </row>
    <row r="648" spans="1:15" ht="15.75" hidden="1" customHeight="1">
      <c r="A648" s="26" t="s">
        <v>327</v>
      </c>
      <c r="B648" s="216">
        <v>906</v>
      </c>
      <c r="C648" s="214" t="s">
        <v>317</v>
      </c>
      <c r="D648" s="214" t="s">
        <v>266</v>
      </c>
      <c r="E648" s="214" t="s">
        <v>489</v>
      </c>
      <c r="F648" s="214" t="s">
        <v>328</v>
      </c>
      <c r="G648" s="27">
        <v>0</v>
      </c>
      <c r="H648" s="27"/>
      <c r="I648" s="27">
        <v>0</v>
      </c>
      <c r="J648" s="27">
        <v>0</v>
      </c>
      <c r="K648" s="27">
        <v>0</v>
      </c>
      <c r="L648" s="27">
        <v>0</v>
      </c>
      <c r="M648" s="27">
        <v>0</v>
      </c>
      <c r="N648" s="27">
        <v>0</v>
      </c>
      <c r="O648" s="27" t="e">
        <f t="shared" si="603"/>
        <v>#DIV/0!</v>
      </c>
    </row>
    <row r="649" spans="1:15" ht="50.25" customHeight="1">
      <c r="A649" s="26" t="s">
        <v>490</v>
      </c>
      <c r="B649" s="216">
        <v>906</v>
      </c>
      <c r="C649" s="214" t="s">
        <v>317</v>
      </c>
      <c r="D649" s="214" t="s">
        <v>266</v>
      </c>
      <c r="E649" s="214" t="s">
        <v>491</v>
      </c>
      <c r="F649" s="214"/>
      <c r="G649" s="27">
        <f>G650</f>
        <v>2690</v>
      </c>
      <c r="H649" s="27">
        <f>H650</f>
        <v>1655</v>
      </c>
      <c r="I649" s="27">
        <f t="shared" ref="I649:L649" si="669">I650</f>
        <v>2206.6666666666665</v>
      </c>
      <c r="J649" s="27">
        <f t="shared" si="669"/>
        <v>2967.9</v>
      </c>
      <c r="K649" s="27">
        <f t="shared" si="669"/>
        <v>2967.9</v>
      </c>
      <c r="L649" s="27">
        <f t="shared" si="669"/>
        <v>2967.9</v>
      </c>
      <c r="M649" s="27">
        <f t="shared" ref="M649:N650" si="670">M650</f>
        <v>2967.9</v>
      </c>
      <c r="N649" s="27">
        <f t="shared" si="670"/>
        <v>970</v>
      </c>
      <c r="O649" s="27">
        <f t="shared" si="603"/>
        <v>32.683041881465009</v>
      </c>
    </row>
    <row r="650" spans="1:15" ht="47.25">
      <c r="A650" s="26" t="s">
        <v>325</v>
      </c>
      <c r="B650" s="216">
        <v>906</v>
      </c>
      <c r="C650" s="214" t="s">
        <v>317</v>
      </c>
      <c r="D650" s="214" t="s">
        <v>266</v>
      </c>
      <c r="E650" s="214" t="s">
        <v>491</v>
      </c>
      <c r="F650" s="214" t="s">
        <v>326</v>
      </c>
      <c r="G650" s="27">
        <f t="shared" ref="G650:L650" si="671">G651</f>
        <v>2690</v>
      </c>
      <c r="H650" s="27">
        <f t="shared" si="671"/>
        <v>1655</v>
      </c>
      <c r="I650" s="27">
        <f t="shared" si="671"/>
        <v>2206.6666666666665</v>
      </c>
      <c r="J650" s="27">
        <f t="shared" si="671"/>
        <v>2967.9</v>
      </c>
      <c r="K650" s="27">
        <f t="shared" si="671"/>
        <v>2967.9</v>
      </c>
      <c r="L650" s="27">
        <f t="shared" si="671"/>
        <v>2967.9</v>
      </c>
      <c r="M650" s="27">
        <f t="shared" si="670"/>
        <v>2967.9</v>
      </c>
      <c r="N650" s="27">
        <f t="shared" si="670"/>
        <v>970</v>
      </c>
      <c r="O650" s="27">
        <f t="shared" si="603"/>
        <v>32.683041881465009</v>
      </c>
    </row>
    <row r="651" spans="1:15" ht="15.75">
      <c r="A651" s="26" t="s">
        <v>327</v>
      </c>
      <c r="B651" s="216">
        <v>906</v>
      </c>
      <c r="C651" s="214" t="s">
        <v>317</v>
      </c>
      <c r="D651" s="214" t="s">
        <v>266</v>
      </c>
      <c r="E651" s="214" t="s">
        <v>491</v>
      </c>
      <c r="F651" s="214" t="s">
        <v>328</v>
      </c>
      <c r="G651" s="28">
        <f>3010-320</f>
        <v>2690</v>
      </c>
      <c r="H651" s="28">
        <v>1655</v>
      </c>
      <c r="I651" s="28">
        <f>H651/9*12</f>
        <v>2206.6666666666665</v>
      </c>
      <c r="J651" s="28">
        <f>3287.9-J654</f>
        <v>2967.9</v>
      </c>
      <c r="K651" s="28">
        <f>J651</f>
        <v>2967.9</v>
      </c>
      <c r="L651" s="28">
        <f>K651</f>
        <v>2967.9</v>
      </c>
      <c r="M651" s="28">
        <v>2967.9</v>
      </c>
      <c r="N651" s="28">
        <v>970</v>
      </c>
      <c r="O651" s="27">
        <f t="shared" si="603"/>
        <v>32.683041881465009</v>
      </c>
    </row>
    <row r="652" spans="1:15" ht="63">
      <c r="A652" s="26" t="s">
        <v>492</v>
      </c>
      <c r="B652" s="216">
        <v>906</v>
      </c>
      <c r="C652" s="214" t="s">
        <v>317</v>
      </c>
      <c r="D652" s="214" t="s">
        <v>266</v>
      </c>
      <c r="E652" s="214" t="s">
        <v>493</v>
      </c>
      <c r="F652" s="214"/>
      <c r="G652" s="27">
        <f t="shared" ref="G652:L653" si="672">G653</f>
        <v>320</v>
      </c>
      <c r="H652" s="27">
        <f t="shared" si="672"/>
        <v>320</v>
      </c>
      <c r="I652" s="27">
        <f t="shared" si="672"/>
        <v>803.3</v>
      </c>
      <c r="J652" s="27">
        <f t="shared" si="672"/>
        <v>320</v>
      </c>
      <c r="K652" s="27">
        <f t="shared" si="672"/>
        <v>320</v>
      </c>
      <c r="L652" s="27">
        <f t="shared" si="672"/>
        <v>320</v>
      </c>
      <c r="M652" s="27">
        <f t="shared" ref="M652:N653" si="673">M653</f>
        <v>320</v>
      </c>
      <c r="N652" s="27">
        <f t="shared" si="673"/>
        <v>182.3</v>
      </c>
      <c r="O652" s="27">
        <f t="shared" si="603"/>
        <v>56.96875</v>
      </c>
    </row>
    <row r="653" spans="1:15" ht="47.25">
      <c r="A653" s="26" t="s">
        <v>325</v>
      </c>
      <c r="B653" s="216">
        <v>906</v>
      </c>
      <c r="C653" s="214" t="s">
        <v>317</v>
      </c>
      <c r="D653" s="214" t="s">
        <v>266</v>
      </c>
      <c r="E653" s="214" t="s">
        <v>493</v>
      </c>
      <c r="F653" s="214" t="s">
        <v>326</v>
      </c>
      <c r="G653" s="27">
        <f>G654</f>
        <v>320</v>
      </c>
      <c r="H653" s="27">
        <f>H654</f>
        <v>320</v>
      </c>
      <c r="I653" s="27">
        <f t="shared" si="672"/>
        <v>803.3</v>
      </c>
      <c r="J653" s="27">
        <f t="shared" si="672"/>
        <v>320</v>
      </c>
      <c r="K653" s="27">
        <f t="shared" si="672"/>
        <v>320</v>
      </c>
      <c r="L653" s="27">
        <f t="shared" si="672"/>
        <v>320</v>
      </c>
      <c r="M653" s="27">
        <f t="shared" si="673"/>
        <v>320</v>
      </c>
      <c r="N653" s="27">
        <f t="shared" si="673"/>
        <v>182.3</v>
      </c>
      <c r="O653" s="27">
        <f t="shared" ref="O653:O716" si="674">N653/M653*100</f>
        <v>56.96875</v>
      </c>
    </row>
    <row r="654" spans="1:15" ht="15.75">
      <c r="A654" s="26" t="s">
        <v>327</v>
      </c>
      <c r="B654" s="216">
        <v>906</v>
      </c>
      <c r="C654" s="214" t="s">
        <v>317</v>
      </c>
      <c r="D654" s="214" t="s">
        <v>266</v>
      </c>
      <c r="E654" s="214" t="s">
        <v>493</v>
      </c>
      <c r="F654" s="214" t="s">
        <v>328</v>
      </c>
      <c r="G654" s="27">
        <v>320</v>
      </c>
      <c r="H654" s="27">
        <v>320</v>
      </c>
      <c r="I654" s="27">
        <f>320+483.3</f>
        <v>803.3</v>
      </c>
      <c r="J654" s="27">
        <v>320</v>
      </c>
      <c r="K654" s="27">
        <v>320</v>
      </c>
      <c r="L654" s="27">
        <v>320</v>
      </c>
      <c r="M654" s="27">
        <v>320</v>
      </c>
      <c r="N654" s="27">
        <v>182.3</v>
      </c>
      <c r="O654" s="27">
        <f t="shared" si="674"/>
        <v>56.96875</v>
      </c>
    </row>
    <row r="655" spans="1:15" ht="47.25" customHeight="1">
      <c r="A655" s="26" t="s">
        <v>494</v>
      </c>
      <c r="B655" s="216">
        <v>906</v>
      </c>
      <c r="C655" s="214" t="s">
        <v>317</v>
      </c>
      <c r="D655" s="214" t="s">
        <v>266</v>
      </c>
      <c r="E655" s="214" t="s">
        <v>495</v>
      </c>
      <c r="F655" s="214"/>
      <c r="G655" s="27">
        <f t="shared" ref="G655:L656" si="675">G656</f>
        <v>0</v>
      </c>
      <c r="H655" s="27">
        <f t="shared" si="675"/>
        <v>0</v>
      </c>
      <c r="I655" s="27">
        <f t="shared" si="675"/>
        <v>0</v>
      </c>
      <c r="J655" s="27">
        <f t="shared" si="675"/>
        <v>0</v>
      </c>
      <c r="K655" s="27">
        <f t="shared" si="675"/>
        <v>0</v>
      </c>
      <c r="L655" s="27">
        <f t="shared" si="675"/>
        <v>0</v>
      </c>
      <c r="M655" s="27">
        <f>M656</f>
        <v>107</v>
      </c>
      <c r="N655" s="27">
        <f t="shared" ref="N655:N656" si="676">N656</f>
        <v>107</v>
      </c>
      <c r="O655" s="27">
        <f t="shared" si="674"/>
        <v>100</v>
      </c>
    </row>
    <row r="656" spans="1:15" ht="47.25" customHeight="1">
      <c r="A656" s="26" t="s">
        <v>325</v>
      </c>
      <c r="B656" s="216">
        <v>906</v>
      </c>
      <c r="C656" s="214" t="s">
        <v>317</v>
      </c>
      <c r="D656" s="214" t="s">
        <v>266</v>
      </c>
      <c r="E656" s="214" t="s">
        <v>495</v>
      </c>
      <c r="F656" s="214" t="s">
        <v>326</v>
      </c>
      <c r="G656" s="27">
        <f t="shared" si="675"/>
        <v>0</v>
      </c>
      <c r="H656" s="27">
        <f t="shared" si="675"/>
        <v>0</v>
      </c>
      <c r="I656" s="27">
        <f t="shared" si="675"/>
        <v>0</v>
      </c>
      <c r="J656" s="27">
        <f t="shared" si="675"/>
        <v>0</v>
      </c>
      <c r="K656" s="27">
        <f t="shared" si="675"/>
        <v>0</v>
      </c>
      <c r="L656" s="27">
        <f t="shared" si="675"/>
        <v>0</v>
      </c>
      <c r="M656" s="27">
        <f>M657</f>
        <v>107</v>
      </c>
      <c r="N656" s="27">
        <f t="shared" si="676"/>
        <v>107</v>
      </c>
      <c r="O656" s="27">
        <f t="shared" si="674"/>
        <v>100</v>
      </c>
    </row>
    <row r="657" spans="1:15" ht="15.75" customHeight="1">
      <c r="A657" s="26" t="s">
        <v>327</v>
      </c>
      <c r="B657" s="216">
        <v>906</v>
      </c>
      <c r="C657" s="214" t="s">
        <v>317</v>
      </c>
      <c r="D657" s="214" t="s">
        <v>266</v>
      </c>
      <c r="E657" s="214" t="s">
        <v>495</v>
      </c>
      <c r="F657" s="214" t="s">
        <v>328</v>
      </c>
      <c r="G657" s="27">
        <v>0</v>
      </c>
      <c r="H657" s="27">
        <v>0</v>
      </c>
      <c r="I657" s="27">
        <v>0</v>
      </c>
      <c r="J657" s="27">
        <v>0</v>
      </c>
      <c r="K657" s="27">
        <v>0</v>
      </c>
      <c r="L657" s="27">
        <v>0</v>
      </c>
      <c r="M657" s="27">
        <f>72+35</f>
        <v>107</v>
      </c>
      <c r="N657" s="27">
        <v>107</v>
      </c>
      <c r="O657" s="27">
        <f t="shared" si="674"/>
        <v>100</v>
      </c>
    </row>
    <row r="658" spans="1:15" ht="47.25">
      <c r="A658" s="26" t="s">
        <v>331</v>
      </c>
      <c r="B658" s="216">
        <v>906</v>
      </c>
      <c r="C658" s="214" t="s">
        <v>317</v>
      </c>
      <c r="D658" s="214" t="s">
        <v>266</v>
      </c>
      <c r="E658" s="214" t="s">
        <v>496</v>
      </c>
      <c r="F658" s="214"/>
      <c r="G658" s="27">
        <f t="shared" ref="G658:L659" si="677">G659</f>
        <v>3309</v>
      </c>
      <c r="H658" s="27">
        <f t="shared" si="677"/>
        <v>841</v>
      </c>
      <c r="I658" s="27">
        <f t="shared" si="677"/>
        <v>3309</v>
      </c>
      <c r="J658" s="27">
        <f t="shared" si="677"/>
        <v>8601.1</v>
      </c>
      <c r="K658" s="27">
        <f t="shared" si="677"/>
        <v>4500</v>
      </c>
      <c r="L658" s="27">
        <f t="shared" si="677"/>
        <v>2000</v>
      </c>
      <c r="M658" s="27">
        <f t="shared" ref="M658:N659" si="678">M659</f>
        <v>300</v>
      </c>
      <c r="N658" s="27">
        <f t="shared" si="678"/>
        <v>0</v>
      </c>
      <c r="O658" s="27">
        <f t="shared" si="674"/>
        <v>0</v>
      </c>
    </row>
    <row r="659" spans="1:15" ht="47.25">
      <c r="A659" s="26" t="s">
        <v>325</v>
      </c>
      <c r="B659" s="216">
        <v>906</v>
      </c>
      <c r="C659" s="214" t="s">
        <v>317</v>
      </c>
      <c r="D659" s="214" t="s">
        <v>266</v>
      </c>
      <c r="E659" s="214" t="s">
        <v>496</v>
      </c>
      <c r="F659" s="214" t="s">
        <v>326</v>
      </c>
      <c r="G659" s="27">
        <f t="shared" si="677"/>
        <v>3309</v>
      </c>
      <c r="H659" s="27">
        <f t="shared" si="677"/>
        <v>841</v>
      </c>
      <c r="I659" s="27">
        <f t="shared" si="677"/>
        <v>3309</v>
      </c>
      <c r="J659" s="27">
        <f t="shared" si="677"/>
        <v>8601.1</v>
      </c>
      <c r="K659" s="27">
        <f t="shared" si="677"/>
        <v>4500</v>
      </c>
      <c r="L659" s="27">
        <f t="shared" si="677"/>
        <v>2000</v>
      </c>
      <c r="M659" s="27">
        <f t="shared" si="678"/>
        <v>300</v>
      </c>
      <c r="N659" s="27">
        <f t="shared" si="678"/>
        <v>0</v>
      </c>
      <c r="O659" s="27">
        <f t="shared" si="674"/>
        <v>0</v>
      </c>
    </row>
    <row r="660" spans="1:15" ht="15.75">
      <c r="A660" s="26" t="s">
        <v>327</v>
      </c>
      <c r="B660" s="216">
        <v>906</v>
      </c>
      <c r="C660" s="214" t="s">
        <v>317</v>
      </c>
      <c r="D660" s="214" t="s">
        <v>266</v>
      </c>
      <c r="E660" s="214" t="s">
        <v>496</v>
      </c>
      <c r="F660" s="214" t="s">
        <v>328</v>
      </c>
      <c r="G660" s="27">
        <f>341+2968</f>
        <v>3309</v>
      </c>
      <c r="H660" s="27">
        <v>841</v>
      </c>
      <c r="I660" s="27">
        <f t="shared" ref="I660" si="679">341+2968</f>
        <v>3309</v>
      </c>
      <c r="J660" s="27">
        <v>8601.1</v>
      </c>
      <c r="K660" s="27">
        <v>4500</v>
      </c>
      <c r="L660" s="27">
        <v>2000</v>
      </c>
      <c r="M660" s="27">
        <v>300</v>
      </c>
      <c r="N660" s="27">
        <v>0</v>
      </c>
      <c r="O660" s="27">
        <f t="shared" si="674"/>
        <v>0</v>
      </c>
    </row>
    <row r="661" spans="1:15" ht="31.5" hidden="1" customHeight="1">
      <c r="A661" s="26" t="s">
        <v>333</v>
      </c>
      <c r="B661" s="216">
        <v>906</v>
      </c>
      <c r="C661" s="214" t="s">
        <v>317</v>
      </c>
      <c r="D661" s="214" t="s">
        <v>266</v>
      </c>
      <c r="E661" s="214" t="s">
        <v>497</v>
      </c>
      <c r="F661" s="214"/>
      <c r="G661" s="27">
        <f t="shared" ref="G661:L662" si="680">G662</f>
        <v>0</v>
      </c>
      <c r="H661" s="27">
        <v>0</v>
      </c>
      <c r="I661" s="27">
        <f t="shared" si="680"/>
        <v>0</v>
      </c>
      <c r="J661" s="27">
        <f t="shared" si="680"/>
        <v>1000</v>
      </c>
      <c r="K661" s="27">
        <f t="shared" si="680"/>
        <v>700</v>
      </c>
      <c r="L661" s="27">
        <f t="shared" si="680"/>
        <v>700</v>
      </c>
      <c r="M661" s="27">
        <f t="shared" ref="M661:N662" si="681">M662</f>
        <v>0</v>
      </c>
      <c r="N661" s="27">
        <f t="shared" si="681"/>
        <v>0</v>
      </c>
      <c r="O661" s="27" t="e">
        <f t="shared" si="674"/>
        <v>#DIV/0!</v>
      </c>
    </row>
    <row r="662" spans="1:15" ht="47.25" hidden="1" customHeight="1">
      <c r="A662" s="26" t="s">
        <v>325</v>
      </c>
      <c r="B662" s="216">
        <v>906</v>
      </c>
      <c r="C662" s="214" t="s">
        <v>317</v>
      </c>
      <c r="D662" s="214" t="s">
        <v>266</v>
      </c>
      <c r="E662" s="214" t="s">
        <v>497</v>
      </c>
      <c r="F662" s="214" t="s">
        <v>326</v>
      </c>
      <c r="G662" s="27">
        <f t="shared" si="680"/>
        <v>0</v>
      </c>
      <c r="H662" s="27">
        <v>0</v>
      </c>
      <c r="I662" s="27">
        <f t="shared" si="680"/>
        <v>0</v>
      </c>
      <c r="J662" s="27">
        <f t="shared" si="680"/>
        <v>1000</v>
      </c>
      <c r="K662" s="27">
        <f t="shared" si="680"/>
        <v>700</v>
      </c>
      <c r="L662" s="27">
        <f t="shared" si="680"/>
        <v>700</v>
      </c>
      <c r="M662" s="27">
        <f t="shared" si="681"/>
        <v>0</v>
      </c>
      <c r="N662" s="27">
        <f t="shared" si="681"/>
        <v>0</v>
      </c>
      <c r="O662" s="27" t="e">
        <f t="shared" si="674"/>
        <v>#DIV/0!</v>
      </c>
    </row>
    <row r="663" spans="1:15" ht="15.75" hidden="1" customHeight="1">
      <c r="A663" s="26" t="s">
        <v>327</v>
      </c>
      <c r="B663" s="216">
        <v>906</v>
      </c>
      <c r="C663" s="214" t="s">
        <v>317</v>
      </c>
      <c r="D663" s="214" t="s">
        <v>266</v>
      </c>
      <c r="E663" s="214" t="s">
        <v>497</v>
      </c>
      <c r="F663" s="214" t="s">
        <v>328</v>
      </c>
      <c r="G663" s="27">
        <v>0</v>
      </c>
      <c r="H663" s="27">
        <v>0</v>
      </c>
      <c r="I663" s="27">
        <v>0</v>
      </c>
      <c r="J663" s="27">
        <v>1000</v>
      </c>
      <c r="K663" s="27">
        <v>700</v>
      </c>
      <c r="L663" s="27">
        <v>700</v>
      </c>
      <c r="M663" s="27">
        <v>0</v>
      </c>
      <c r="N663" s="27">
        <v>0</v>
      </c>
      <c r="O663" s="27" t="e">
        <f t="shared" si="674"/>
        <v>#DIV/0!</v>
      </c>
    </row>
    <row r="664" spans="1:15" ht="47.25">
      <c r="A664" s="26" t="s">
        <v>335</v>
      </c>
      <c r="B664" s="216">
        <v>906</v>
      </c>
      <c r="C664" s="214" t="s">
        <v>317</v>
      </c>
      <c r="D664" s="214" t="s">
        <v>266</v>
      </c>
      <c r="E664" s="214" t="s">
        <v>498</v>
      </c>
      <c r="F664" s="214"/>
      <c r="G664" s="27">
        <f>G665</f>
        <v>127</v>
      </c>
      <c r="H664" s="27">
        <f>H665</f>
        <v>126.3</v>
      </c>
      <c r="I664" s="27">
        <f t="shared" ref="I664:L664" si="682">I665</f>
        <v>127</v>
      </c>
      <c r="J664" s="27">
        <f t="shared" si="682"/>
        <v>214.8</v>
      </c>
      <c r="K664" s="27">
        <f t="shared" si="682"/>
        <v>214.8</v>
      </c>
      <c r="L664" s="27">
        <f t="shared" si="682"/>
        <v>214.8</v>
      </c>
      <c r="M664" s="27">
        <f t="shared" ref="M664:N665" si="683">M665</f>
        <v>127</v>
      </c>
      <c r="N664" s="27">
        <f t="shared" si="683"/>
        <v>7.8</v>
      </c>
      <c r="O664" s="27">
        <f t="shared" si="674"/>
        <v>6.1417322834645667</v>
      </c>
    </row>
    <row r="665" spans="1:15" ht="47.25">
      <c r="A665" s="26" t="s">
        <v>325</v>
      </c>
      <c r="B665" s="216">
        <v>906</v>
      </c>
      <c r="C665" s="214" t="s">
        <v>317</v>
      </c>
      <c r="D665" s="214" t="s">
        <v>266</v>
      </c>
      <c r="E665" s="214" t="s">
        <v>498</v>
      </c>
      <c r="F665" s="214" t="s">
        <v>326</v>
      </c>
      <c r="G665" s="27">
        <f t="shared" ref="G665:L665" si="684">G666</f>
        <v>127</v>
      </c>
      <c r="H665" s="27">
        <f t="shared" si="684"/>
        <v>126.3</v>
      </c>
      <c r="I665" s="27">
        <f t="shared" si="684"/>
        <v>127</v>
      </c>
      <c r="J665" s="27">
        <f t="shared" si="684"/>
        <v>214.8</v>
      </c>
      <c r="K665" s="27">
        <f t="shared" si="684"/>
        <v>214.8</v>
      </c>
      <c r="L665" s="27">
        <f t="shared" si="684"/>
        <v>214.8</v>
      </c>
      <c r="M665" s="27">
        <f t="shared" si="683"/>
        <v>127</v>
      </c>
      <c r="N665" s="27">
        <f t="shared" si="683"/>
        <v>7.8</v>
      </c>
      <c r="O665" s="27">
        <f t="shared" si="674"/>
        <v>6.1417322834645667</v>
      </c>
    </row>
    <row r="666" spans="1:15" ht="15.75">
      <c r="A666" s="26" t="s">
        <v>327</v>
      </c>
      <c r="B666" s="216">
        <v>906</v>
      </c>
      <c r="C666" s="214" t="s">
        <v>317</v>
      </c>
      <c r="D666" s="214" t="s">
        <v>266</v>
      </c>
      <c r="E666" s="214" t="s">
        <v>498</v>
      </c>
      <c r="F666" s="214" t="s">
        <v>328</v>
      </c>
      <c r="G666" s="27">
        <v>127</v>
      </c>
      <c r="H666" s="27">
        <v>126.3</v>
      </c>
      <c r="I666" s="27">
        <v>127</v>
      </c>
      <c r="J666" s="27">
        <v>214.8</v>
      </c>
      <c r="K666" s="27">
        <v>214.8</v>
      </c>
      <c r="L666" s="27">
        <v>214.8</v>
      </c>
      <c r="M666" s="27">
        <f>127-72+72</f>
        <v>127</v>
      </c>
      <c r="N666" s="27">
        <v>7.8</v>
      </c>
      <c r="O666" s="27">
        <f t="shared" si="674"/>
        <v>6.1417322834645667</v>
      </c>
    </row>
    <row r="667" spans="1:15" ht="31.5" hidden="1">
      <c r="A667" s="26" t="s">
        <v>337</v>
      </c>
      <c r="B667" s="216">
        <v>906</v>
      </c>
      <c r="C667" s="214" t="s">
        <v>317</v>
      </c>
      <c r="D667" s="214" t="s">
        <v>266</v>
      </c>
      <c r="E667" s="214" t="s">
        <v>499</v>
      </c>
      <c r="F667" s="214"/>
      <c r="G667" s="27">
        <f t="shared" ref="G667:L668" si="685">G668</f>
        <v>229.4</v>
      </c>
      <c r="H667" s="27">
        <f t="shared" si="685"/>
        <v>229.4</v>
      </c>
      <c r="I667" s="27">
        <f t="shared" si="685"/>
        <v>229.4</v>
      </c>
      <c r="J667" s="27">
        <f t="shared" si="685"/>
        <v>750</v>
      </c>
      <c r="K667" s="27">
        <f t="shared" si="685"/>
        <v>250</v>
      </c>
      <c r="L667" s="27">
        <f t="shared" si="685"/>
        <v>250</v>
      </c>
      <c r="M667" s="27">
        <f t="shared" ref="M667:N668" si="686">M668</f>
        <v>0</v>
      </c>
      <c r="N667" s="27">
        <f t="shared" si="686"/>
        <v>0</v>
      </c>
      <c r="O667" s="27" t="e">
        <f t="shared" si="674"/>
        <v>#DIV/0!</v>
      </c>
    </row>
    <row r="668" spans="1:15" ht="47.25" hidden="1">
      <c r="A668" s="26" t="s">
        <v>325</v>
      </c>
      <c r="B668" s="216">
        <v>906</v>
      </c>
      <c r="C668" s="214" t="s">
        <v>317</v>
      </c>
      <c r="D668" s="214" t="s">
        <v>266</v>
      </c>
      <c r="E668" s="214" t="s">
        <v>499</v>
      </c>
      <c r="F668" s="214" t="s">
        <v>326</v>
      </c>
      <c r="G668" s="27">
        <f t="shared" si="685"/>
        <v>229.4</v>
      </c>
      <c r="H668" s="27">
        <f t="shared" si="685"/>
        <v>229.4</v>
      </c>
      <c r="I668" s="27">
        <f t="shared" si="685"/>
        <v>229.4</v>
      </c>
      <c r="J668" s="27">
        <f t="shared" si="685"/>
        <v>750</v>
      </c>
      <c r="K668" s="27">
        <f t="shared" si="685"/>
        <v>250</v>
      </c>
      <c r="L668" s="27">
        <f t="shared" si="685"/>
        <v>250</v>
      </c>
      <c r="M668" s="27">
        <f t="shared" si="686"/>
        <v>0</v>
      </c>
      <c r="N668" s="27">
        <f t="shared" si="686"/>
        <v>0</v>
      </c>
      <c r="O668" s="27" t="e">
        <f t="shared" si="674"/>
        <v>#DIV/0!</v>
      </c>
    </row>
    <row r="669" spans="1:15" ht="15.75" hidden="1">
      <c r="A669" s="26" t="s">
        <v>327</v>
      </c>
      <c r="B669" s="216">
        <v>906</v>
      </c>
      <c r="C669" s="214" t="s">
        <v>317</v>
      </c>
      <c r="D669" s="214" t="s">
        <v>266</v>
      </c>
      <c r="E669" s="214" t="s">
        <v>499</v>
      </c>
      <c r="F669" s="214" t="s">
        <v>328</v>
      </c>
      <c r="G669" s="27">
        <v>229.4</v>
      </c>
      <c r="H669" s="27">
        <v>229.4</v>
      </c>
      <c r="I669" s="27">
        <v>229.4</v>
      </c>
      <c r="J669" s="27">
        <v>750</v>
      </c>
      <c r="K669" s="27">
        <v>250</v>
      </c>
      <c r="L669" s="27">
        <v>250</v>
      </c>
      <c r="M669" s="27">
        <v>0</v>
      </c>
      <c r="N669" s="27">
        <v>0</v>
      </c>
      <c r="O669" s="27" t="e">
        <f t="shared" si="674"/>
        <v>#DIV/0!</v>
      </c>
    </row>
    <row r="670" spans="1:15" ht="47.25">
      <c r="A670" s="70" t="s">
        <v>871</v>
      </c>
      <c r="B670" s="216">
        <v>906</v>
      </c>
      <c r="C670" s="214" t="s">
        <v>317</v>
      </c>
      <c r="D670" s="214" t="s">
        <v>266</v>
      </c>
      <c r="E670" s="214" t="s">
        <v>873</v>
      </c>
      <c r="F670" s="214"/>
      <c r="G670" s="27">
        <f>G671</f>
        <v>0</v>
      </c>
      <c r="H670" s="27">
        <v>0</v>
      </c>
      <c r="I670" s="27">
        <f t="shared" ref="I670:L671" si="687">I671</f>
        <v>0</v>
      </c>
      <c r="J670" s="27">
        <f t="shared" si="687"/>
        <v>2794</v>
      </c>
      <c r="K670" s="27">
        <f t="shared" si="687"/>
        <v>2794</v>
      </c>
      <c r="L670" s="27">
        <f t="shared" si="687"/>
        <v>2794</v>
      </c>
      <c r="M670" s="27">
        <f t="shared" ref="M670:N671" si="688">M671</f>
        <v>2794</v>
      </c>
      <c r="N670" s="27">
        <f t="shared" si="688"/>
        <v>2500</v>
      </c>
      <c r="O670" s="27">
        <f t="shared" si="674"/>
        <v>89.477451682176095</v>
      </c>
    </row>
    <row r="671" spans="1:15" ht="47.25">
      <c r="A671" s="31" t="s">
        <v>325</v>
      </c>
      <c r="B671" s="216">
        <v>906</v>
      </c>
      <c r="C671" s="214" t="s">
        <v>317</v>
      </c>
      <c r="D671" s="214" t="s">
        <v>266</v>
      </c>
      <c r="E671" s="214" t="s">
        <v>873</v>
      </c>
      <c r="F671" s="214" t="s">
        <v>326</v>
      </c>
      <c r="G671" s="27">
        <f>G672</f>
        <v>0</v>
      </c>
      <c r="H671" s="27">
        <v>0</v>
      </c>
      <c r="I671" s="27">
        <f t="shared" si="687"/>
        <v>0</v>
      </c>
      <c r="J671" s="27">
        <f t="shared" si="687"/>
        <v>2794</v>
      </c>
      <c r="K671" s="27">
        <f t="shared" si="687"/>
        <v>2794</v>
      </c>
      <c r="L671" s="27">
        <f t="shared" si="687"/>
        <v>2794</v>
      </c>
      <c r="M671" s="27">
        <f t="shared" si="688"/>
        <v>2794</v>
      </c>
      <c r="N671" s="27">
        <f t="shared" si="688"/>
        <v>2500</v>
      </c>
      <c r="O671" s="27">
        <f t="shared" si="674"/>
        <v>89.477451682176095</v>
      </c>
    </row>
    <row r="672" spans="1:15" ht="15.75">
      <c r="A672" s="258" t="s">
        <v>327</v>
      </c>
      <c r="B672" s="216">
        <v>906</v>
      </c>
      <c r="C672" s="214" t="s">
        <v>317</v>
      </c>
      <c r="D672" s="214" t="s">
        <v>266</v>
      </c>
      <c r="E672" s="214" t="s">
        <v>873</v>
      </c>
      <c r="F672" s="214" t="s">
        <v>328</v>
      </c>
      <c r="G672" s="27">
        <v>0</v>
      </c>
      <c r="H672" s="27">
        <v>0</v>
      </c>
      <c r="I672" s="27">
        <v>0</v>
      </c>
      <c r="J672" s="27">
        <v>2794</v>
      </c>
      <c r="K672" s="27">
        <v>2794</v>
      </c>
      <c r="L672" s="27">
        <v>2794</v>
      </c>
      <c r="M672" s="27">
        <v>2794</v>
      </c>
      <c r="N672" s="27">
        <v>2500</v>
      </c>
      <c r="O672" s="27">
        <f t="shared" si="674"/>
        <v>89.477451682176095</v>
      </c>
    </row>
    <row r="673" spans="1:15" ht="15.75">
      <c r="A673" s="26" t="s">
        <v>174</v>
      </c>
      <c r="B673" s="216">
        <v>906</v>
      </c>
      <c r="C673" s="214" t="s">
        <v>317</v>
      </c>
      <c r="D673" s="214" t="s">
        <v>266</v>
      </c>
      <c r="E673" s="214" t="s">
        <v>175</v>
      </c>
      <c r="F673" s="214"/>
      <c r="G673" s="27">
        <f t="shared" ref="G673:L673" si="689">G674</f>
        <v>89857.8</v>
      </c>
      <c r="H673" s="27">
        <f t="shared" si="689"/>
        <v>73186.179999999993</v>
      </c>
      <c r="I673" s="27">
        <f t="shared" si="689"/>
        <v>89857.8</v>
      </c>
      <c r="J673" s="27">
        <f t="shared" si="689"/>
        <v>89857.8</v>
      </c>
      <c r="K673" s="27">
        <f t="shared" si="689"/>
        <v>89857.8</v>
      </c>
      <c r="L673" s="27">
        <f t="shared" si="689"/>
        <v>89857.8</v>
      </c>
      <c r="M673" s="27">
        <f t="shared" ref="M673:N673" si="690">M674</f>
        <v>89567.2</v>
      </c>
      <c r="N673" s="27">
        <f t="shared" si="690"/>
        <v>25564.1</v>
      </c>
      <c r="O673" s="27">
        <f t="shared" si="674"/>
        <v>28.541809948284641</v>
      </c>
    </row>
    <row r="674" spans="1:15" ht="31.5">
      <c r="A674" s="26" t="s">
        <v>238</v>
      </c>
      <c r="B674" s="216">
        <v>906</v>
      </c>
      <c r="C674" s="214" t="s">
        <v>317</v>
      </c>
      <c r="D674" s="214" t="s">
        <v>266</v>
      </c>
      <c r="E674" s="214" t="s">
        <v>239</v>
      </c>
      <c r="F674" s="214"/>
      <c r="G674" s="27">
        <f>G681+G684+G690+G693+G696+G699+G675+G678+G702+G687</f>
        <v>89857.8</v>
      </c>
      <c r="H674" s="27">
        <f>H681+H684+H690+H693+H696+H699+H675+H678+H702+H687</f>
        <v>73186.179999999993</v>
      </c>
      <c r="I674" s="27">
        <f t="shared" ref="I674:L674" si="691">I681+I684+I690+I693+I696+I699+I675+I678+I702+I687</f>
        <v>89857.8</v>
      </c>
      <c r="J674" s="27">
        <f t="shared" si="691"/>
        <v>89857.8</v>
      </c>
      <c r="K674" s="27">
        <f t="shared" si="691"/>
        <v>89857.8</v>
      </c>
      <c r="L674" s="27">
        <f t="shared" si="691"/>
        <v>89857.8</v>
      </c>
      <c r="M674" s="27">
        <f t="shared" ref="M674:N674" si="692">M681+M684+M690+M693+M696+M699+M675+M678+M702+M687</f>
        <v>89567.2</v>
      </c>
      <c r="N674" s="27">
        <f t="shared" si="692"/>
        <v>25564.1</v>
      </c>
      <c r="O674" s="27">
        <f t="shared" si="674"/>
        <v>28.541809948284641</v>
      </c>
    </row>
    <row r="675" spans="1:15" ht="47.25" hidden="1" customHeight="1">
      <c r="A675" s="26" t="s">
        <v>504</v>
      </c>
      <c r="B675" s="216">
        <v>906</v>
      </c>
      <c r="C675" s="214" t="s">
        <v>317</v>
      </c>
      <c r="D675" s="214" t="s">
        <v>266</v>
      </c>
      <c r="E675" s="214" t="s">
        <v>505</v>
      </c>
      <c r="F675" s="214"/>
      <c r="G675" s="27">
        <f t="shared" ref="G675:L676" si="693">G676</f>
        <v>0</v>
      </c>
      <c r="H675" s="27">
        <f t="shared" si="693"/>
        <v>0</v>
      </c>
      <c r="I675" s="27">
        <f t="shared" si="693"/>
        <v>0</v>
      </c>
      <c r="J675" s="27">
        <f t="shared" si="693"/>
        <v>0</v>
      </c>
      <c r="K675" s="27">
        <f t="shared" si="693"/>
        <v>0</v>
      </c>
      <c r="L675" s="27">
        <f t="shared" si="693"/>
        <v>0</v>
      </c>
      <c r="M675" s="27">
        <f t="shared" ref="M675:N676" si="694">M676</f>
        <v>0</v>
      </c>
      <c r="N675" s="27">
        <f t="shared" si="694"/>
        <v>0</v>
      </c>
      <c r="O675" s="27" t="e">
        <f t="shared" si="674"/>
        <v>#DIV/0!</v>
      </c>
    </row>
    <row r="676" spans="1:15" ht="47.25" hidden="1" customHeight="1">
      <c r="A676" s="26" t="s">
        <v>325</v>
      </c>
      <c r="B676" s="216">
        <v>906</v>
      </c>
      <c r="C676" s="214" t="s">
        <v>317</v>
      </c>
      <c r="D676" s="214" t="s">
        <v>266</v>
      </c>
      <c r="E676" s="214" t="s">
        <v>505</v>
      </c>
      <c r="F676" s="214" t="s">
        <v>326</v>
      </c>
      <c r="G676" s="27">
        <f t="shared" si="693"/>
        <v>0</v>
      </c>
      <c r="H676" s="27">
        <f t="shared" si="693"/>
        <v>0</v>
      </c>
      <c r="I676" s="27">
        <f t="shared" si="693"/>
        <v>0</v>
      </c>
      <c r="J676" s="27">
        <f t="shared" si="693"/>
        <v>0</v>
      </c>
      <c r="K676" s="27">
        <f t="shared" si="693"/>
        <v>0</v>
      </c>
      <c r="L676" s="27">
        <f t="shared" si="693"/>
        <v>0</v>
      </c>
      <c r="M676" s="27">
        <f t="shared" si="694"/>
        <v>0</v>
      </c>
      <c r="N676" s="27">
        <f t="shared" si="694"/>
        <v>0</v>
      </c>
      <c r="O676" s="27" t="e">
        <f t="shared" si="674"/>
        <v>#DIV/0!</v>
      </c>
    </row>
    <row r="677" spans="1:15" ht="15.75" hidden="1" customHeight="1">
      <c r="A677" s="26" t="s">
        <v>327</v>
      </c>
      <c r="B677" s="216">
        <v>906</v>
      </c>
      <c r="C677" s="214" t="s">
        <v>317</v>
      </c>
      <c r="D677" s="214" t="s">
        <v>266</v>
      </c>
      <c r="E677" s="214" t="s">
        <v>505</v>
      </c>
      <c r="F677" s="214" t="s">
        <v>328</v>
      </c>
      <c r="G677" s="27">
        <v>0</v>
      </c>
      <c r="H677" s="27">
        <v>0</v>
      </c>
      <c r="I677" s="27">
        <v>0</v>
      </c>
      <c r="J677" s="27">
        <v>0</v>
      </c>
      <c r="K677" s="27">
        <v>0</v>
      </c>
      <c r="L677" s="27">
        <v>0</v>
      </c>
      <c r="M677" s="27">
        <v>0</v>
      </c>
      <c r="N677" s="27">
        <v>0</v>
      </c>
      <c r="O677" s="27" t="e">
        <f t="shared" si="674"/>
        <v>#DIV/0!</v>
      </c>
    </row>
    <row r="678" spans="1:15" ht="15.75" hidden="1" customHeight="1">
      <c r="A678" s="26" t="s">
        <v>506</v>
      </c>
      <c r="B678" s="216">
        <v>906</v>
      </c>
      <c r="C678" s="214" t="s">
        <v>317</v>
      </c>
      <c r="D678" s="214" t="s">
        <v>266</v>
      </c>
      <c r="E678" s="214" t="s">
        <v>507</v>
      </c>
      <c r="F678" s="214"/>
      <c r="G678" s="27">
        <f t="shared" ref="G678:L679" si="695">G679</f>
        <v>0</v>
      </c>
      <c r="H678" s="27">
        <f t="shared" si="695"/>
        <v>0</v>
      </c>
      <c r="I678" s="27">
        <f t="shared" si="695"/>
        <v>0</v>
      </c>
      <c r="J678" s="27">
        <f t="shared" si="695"/>
        <v>0</v>
      </c>
      <c r="K678" s="27">
        <f t="shared" si="695"/>
        <v>0</v>
      </c>
      <c r="L678" s="27">
        <f t="shared" si="695"/>
        <v>0</v>
      </c>
      <c r="M678" s="27">
        <f t="shared" ref="M678:N679" si="696">M679</f>
        <v>0</v>
      </c>
      <c r="N678" s="27">
        <f t="shared" si="696"/>
        <v>0</v>
      </c>
      <c r="O678" s="27" t="e">
        <f t="shared" si="674"/>
        <v>#DIV/0!</v>
      </c>
    </row>
    <row r="679" spans="1:15" ht="47.25" hidden="1" customHeight="1">
      <c r="A679" s="26" t="s">
        <v>325</v>
      </c>
      <c r="B679" s="216">
        <v>906</v>
      </c>
      <c r="C679" s="214" t="s">
        <v>317</v>
      </c>
      <c r="D679" s="214" t="s">
        <v>266</v>
      </c>
      <c r="E679" s="214" t="s">
        <v>507</v>
      </c>
      <c r="F679" s="214" t="s">
        <v>326</v>
      </c>
      <c r="G679" s="27">
        <f t="shared" si="695"/>
        <v>0</v>
      </c>
      <c r="H679" s="27">
        <f t="shared" si="695"/>
        <v>0</v>
      </c>
      <c r="I679" s="27">
        <f t="shared" si="695"/>
        <v>0</v>
      </c>
      <c r="J679" s="27">
        <f t="shared" si="695"/>
        <v>0</v>
      </c>
      <c r="K679" s="27">
        <f t="shared" si="695"/>
        <v>0</v>
      </c>
      <c r="L679" s="27">
        <f t="shared" si="695"/>
        <v>0</v>
      </c>
      <c r="M679" s="27">
        <f t="shared" si="696"/>
        <v>0</v>
      </c>
      <c r="N679" s="27">
        <f t="shared" si="696"/>
        <v>0</v>
      </c>
      <c r="O679" s="27" t="e">
        <f t="shared" si="674"/>
        <v>#DIV/0!</v>
      </c>
    </row>
    <row r="680" spans="1:15" ht="15.75" hidden="1" customHeight="1">
      <c r="A680" s="26" t="s">
        <v>327</v>
      </c>
      <c r="B680" s="216">
        <v>906</v>
      </c>
      <c r="C680" s="214" t="s">
        <v>317</v>
      </c>
      <c r="D680" s="214" t="s">
        <v>266</v>
      </c>
      <c r="E680" s="214" t="s">
        <v>507</v>
      </c>
      <c r="F680" s="214" t="s">
        <v>328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7" t="e">
        <f t="shared" si="674"/>
        <v>#DIV/0!</v>
      </c>
    </row>
    <row r="681" spans="1:15" ht="31.5" hidden="1" customHeight="1">
      <c r="A681" s="26" t="s">
        <v>508</v>
      </c>
      <c r="B681" s="216">
        <v>906</v>
      </c>
      <c r="C681" s="214" t="s">
        <v>317</v>
      </c>
      <c r="D681" s="214" t="s">
        <v>266</v>
      </c>
      <c r="E681" s="214" t="s">
        <v>509</v>
      </c>
      <c r="F681" s="214"/>
      <c r="G681" s="27">
        <f t="shared" ref="G681:L682" si="697">G682</f>
        <v>0</v>
      </c>
      <c r="H681" s="27">
        <f t="shared" si="697"/>
        <v>0</v>
      </c>
      <c r="I681" s="27">
        <f t="shared" si="697"/>
        <v>0</v>
      </c>
      <c r="J681" s="27">
        <f t="shared" si="697"/>
        <v>0</v>
      </c>
      <c r="K681" s="27">
        <f t="shared" si="697"/>
        <v>0</v>
      </c>
      <c r="L681" s="27">
        <f t="shared" si="697"/>
        <v>0</v>
      </c>
      <c r="M681" s="27">
        <f t="shared" ref="M681:N682" si="698">M682</f>
        <v>0</v>
      </c>
      <c r="N681" s="27">
        <f t="shared" si="698"/>
        <v>0</v>
      </c>
      <c r="O681" s="27" t="e">
        <f t="shared" si="674"/>
        <v>#DIV/0!</v>
      </c>
    </row>
    <row r="682" spans="1:15" ht="47.25" hidden="1" customHeight="1">
      <c r="A682" s="26" t="s">
        <v>325</v>
      </c>
      <c r="B682" s="216">
        <v>906</v>
      </c>
      <c r="C682" s="214" t="s">
        <v>317</v>
      </c>
      <c r="D682" s="214" t="s">
        <v>266</v>
      </c>
      <c r="E682" s="214" t="s">
        <v>509</v>
      </c>
      <c r="F682" s="214" t="s">
        <v>326</v>
      </c>
      <c r="G682" s="27">
        <f t="shared" si="697"/>
        <v>0</v>
      </c>
      <c r="H682" s="27">
        <f t="shared" si="697"/>
        <v>0</v>
      </c>
      <c r="I682" s="27">
        <f t="shared" si="697"/>
        <v>0</v>
      </c>
      <c r="J682" s="27">
        <f t="shared" si="697"/>
        <v>0</v>
      </c>
      <c r="K682" s="27">
        <f t="shared" si="697"/>
        <v>0</v>
      </c>
      <c r="L682" s="27">
        <f t="shared" si="697"/>
        <v>0</v>
      </c>
      <c r="M682" s="27">
        <f t="shared" si="698"/>
        <v>0</v>
      </c>
      <c r="N682" s="27">
        <f t="shared" si="698"/>
        <v>0</v>
      </c>
      <c r="O682" s="27" t="e">
        <f t="shared" si="674"/>
        <v>#DIV/0!</v>
      </c>
    </row>
    <row r="683" spans="1:15" ht="15.75" hidden="1" customHeight="1">
      <c r="A683" s="26" t="s">
        <v>327</v>
      </c>
      <c r="B683" s="216">
        <v>906</v>
      </c>
      <c r="C683" s="214" t="s">
        <v>317</v>
      </c>
      <c r="D683" s="214" t="s">
        <v>266</v>
      </c>
      <c r="E683" s="214" t="s">
        <v>509</v>
      </c>
      <c r="F683" s="214" t="s">
        <v>328</v>
      </c>
      <c r="G683" s="27">
        <f>157.3-157.3</f>
        <v>0</v>
      </c>
      <c r="H683" s="27">
        <f>157.3-157.3</f>
        <v>0</v>
      </c>
      <c r="I683" s="27">
        <f t="shared" ref="I683:L683" si="699">157.3-157.3</f>
        <v>0</v>
      </c>
      <c r="J683" s="27">
        <f t="shared" si="699"/>
        <v>0</v>
      </c>
      <c r="K683" s="27">
        <f t="shared" si="699"/>
        <v>0</v>
      </c>
      <c r="L683" s="27">
        <f t="shared" si="699"/>
        <v>0</v>
      </c>
      <c r="M683" s="27">
        <f t="shared" ref="M683:N683" si="700">157.3-157.3</f>
        <v>0</v>
      </c>
      <c r="N683" s="27">
        <f t="shared" si="700"/>
        <v>0</v>
      </c>
      <c r="O683" s="27" t="e">
        <f t="shared" si="674"/>
        <v>#DIV/0!</v>
      </c>
    </row>
    <row r="684" spans="1:15" ht="31.5">
      <c r="A684" s="26" t="s">
        <v>510</v>
      </c>
      <c r="B684" s="216">
        <v>906</v>
      </c>
      <c r="C684" s="214" t="s">
        <v>317</v>
      </c>
      <c r="D684" s="214" t="s">
        <v>266</v>
      </c>
      <c r="E684" s="214" t="s">
        <v>511</v>
      </c>
      <c r="F684" s="214"/>
      <c r="G684" s="27">
        <f t="shared" ref="G684:L685" si="701">G685</f>
        <v>1293.5999999999999</v>
      </c>
      <c r="H684" s="27">
        <f t="shared" si="701"/>
        <v>580</v>
      </c>
      <c r="I684" s="27">
        <f t="shared" si="701"/>
        <v>1293.5999999999999</v>
      </c>
      <c r="J684" s="27">
        <f t="shared" si="701"/>
        <v>1293.5999999999999</v>
      </c>
      <c r="K684" s="27">
        <f t="shared" si="701"/>
        <v>1293.5999999999999</v>
      </c>
      <c r="L684" s="27">
        <f t="shared" si="701"/>
        <v>1293.5999999999999</v>
      </c>
      <c r="M684" s="27">
        <f t="shared" ref="M684:N685" si="702">M685</f>
        <v>1293.5999999999999</v>
      </c>
      <c r="N684" s="27">
        <f t="shared" si="702"/>
        <v>160</v>
      </c>
      <c r="O684" s="27">
        <f t="shared" si="674"/>
        <v>12.368583797155226</v>
      </c>
    </row>
    <row r="685" spans="1:15" ht="47.25">
      <c r="A685" s="26" t="s">
        <v>325</v>
      </c>
      <c r="B685" s="216">
        <v>906</v>
      </c>
      <c r="C685" s="214" t="s">
        <v>317</v>
      </c>
      <c r="D685" s="214" t="s">
        <v>266</v>
      </c>
      <c r="E685" s="214" t="s">
        <v>511</v>
      </c>
      <c r="F685" s="214" t="s">
        <v>326</v>
      </c>
      <c r="G685" s="27">
        <f>G686</f>
        <v>1293.5999999999999</v>
      </c>
      <c r="H685" s="27">
        <f>H686</f>
        <v>580</v>
      </c>
      <c r="I685" s="27">
        <f t="shared" si="701"/>
        <v>1293.5999999999999</v>
      </c>
      <c r="J685" s="27">
        <f t="shared" si="701"/>
        <v>1293.5999999999999</v>
      </c>
      <c r="K685" s="27">
        <f t="shared" si="701"/>
        <v>1293.5999999999999</v>
      </c>
      <c r="L685" s="27">
        <f t="shared" si="701"/>
        <v>1293.5999999999999</v>
      </c>
      <c r="M685" s="27">
        <f t="shared" si="702"/>
        <v>1293.5999999999999</v>
      </c>
      <c r="N685" s="27">
        <f t="shared" si="702"/>
        <v>160</v>
      </c>
      <c r="O685" s="27">
        <f t="shared" si="674"/>
        <v>12.368583797155226</v>
      </c>
    </row>
    <row r="686" spans="1:15" ht="15.75">
      <c r="A686" s="26" t="s">
        <v>327</v>
      </c>
      <c r="B686" s="216">
        <v>906</v>
      </c>
      <c r="C686" s="214" t="s">
        <v>317</v>
      </c>
      <c r="D686" s="214" t="s">
        <v>266</v>
      </c>
      <c r="E686" s="214" t="s">
        <v>511</v>
      </c>
      <c r="F686" s="214" t="s">
        <v>328</v>
      </c>
      <c r="G686" s="28">
        <f>1572.5-278.9</f>
        <v>1293.5999999999999</v>
      </c>
      <c r="H686" s="28">
        <v>580</v>
      </c>
      <c r="I686" s="28">
        <f t="shared" ref="I686:L686" si="703">1572.5-278.9</f>
        <v>1293.5999999999999</v>
      </c>
      <c r="J686" s="28">
        <f t="shared" si="703"/>
        <v>1293.5999999999999</v>
      </c>
      <c r="K686" s="28">
        <f t="shared" si="703"/>
        <v>1293.5999999999999</v>
      </c>
      <c r="L686" s="28">
        <f t="shared" si="703"/>
        <v>1293.5999999999999</v>
      </c>
      <c r="M686" s="28">
        <f t="shared" ref="M686" si="704">1572.5-278.9</f>
        <v>1293.5999999999999</v>
      </c>
      <c r="N686" s="28">
        <v>160</v>
      </c>
      <c r="O686" s="27">
        <f t="shared" si="674"/>
        <v>12.368583797155226</v>
      </c>
    </row>
    <row r="687" spans="1:15" ht="47.25">
      <c r="A687" s="26" t="s">
        <v>512</v>
      </c>
      <c r="B687" s="216">
        <v>906</v>
      </c>
      <c r="C687" s="214" t="s">
        <v>317</v>
      </c>
      <c r="D687" s="214" t="s">
        <v>266</v>
      </c>
      <c r="E687" s="214" t="s">
        <v>513</v>
      </c>
      <c r="F687" s="214"/>
      <c r="G687" s="28">
        <f>G688</f>
        <v>488.7</v>
      </c>
      <c r="H687" s="28">
        <f>H688</f>
        <v>288.3</v>
      </c>
      <c r="I687" s="28">
        <f t="shared" ref="I687:L687" si="705">I688</f>
        <v>488.7</v>
      </c>
      <c r="J687" s="28">
        <f t="shared" si="705"/>
        <v>488.7</v>
      </c>
      <c r="K687" s="28">
        <f t="shared" si="705"/>
        <v>488.7</v>
      </c>
      <c r="L687" s="28">
        <f t="shared" si="705"/>
        <v>488.7</v>
      </c>
      <c r="M687" s="28">
        <f t="shared" ref="M687:N688" si="706">M688</f>
        <v>488.7</v>
      </c>
      <c r="N687" s="28">
        <f t="shared" si="706"/>
        <v>75</v>
      </c>
      <c r="O687" s="27">
        <f t="shared" si="674"/>
        <v>15.34683855125844</v>
      </c>
    </row>
    <row r="688" spans="1:15" ht="47.25">
      <c r="A688" s="26" t="s">
        <v>325</v>
      </c>
      <c r="B688" s="216">
        <v>906</v>
      </c>
      <c r="C688" s="214" t="s">
        <v>317</v>
      </c>
      <c r="D688" s="214" t="s">
        <v>266</v>
      </c>
      <c r="E688" s="214" t="s">
        <v>513</v>
      </c>
      <c r="F688" s="214" t="s">
        <v>326</v>
      </c>
      <c r="G688" s="28">
        <f t="shared" ref="G688:L688" si="707">G689</f>
        <v>488.7</v>
      </c>
      <c r="H688" s="28">
        <f t="shared" si="707"/>
        <v>288.3</v>
      </c>
      <c r="I688" s="28">
        <f t="shared" si="707"/>
        <v>488.7</v>
      </c>
      <c r="J688" s="28">
        <f t="shared" si="707"/>
        <v>488.7</v>
      </c>
      <c r="K688" s="28">
        <f t="shared" si="707"/>
        <v>488.7</v>
      </c>
      <c r="L688" s="28">
        <f t="shared" si="707"/>
        <v>488.7</v>
      </c>
      <c r="M688" s="28">
        <f t="shared" si="706"/>
        <v>488.7</v>
      </c>
      <c r="N688" s="28">
        <f t="shared" si="706"/>
        <v>75</v>
      </c>
      <c r="O688" s="27">
        <f t="shared" si="674"/>
        <v>15.34683855125844</v>
      </c>
    </row>
    <row r="689" spans="1:15" ht="15.75">
      <c r="A689" s="26" t="s">
        <v>327</v>
      </c>
      <c r="B689" s="216">
        <v>906</v>
      </c>
      <c r="C689" s="214" t="s">
        <v>317</v>
      </c>
      <c r="D689" s="214" t="s">
        <v>266</v>
      </c>
      <c r="E689" s="214" t="s">
        <v>513</v>
      </c>
      <c r="F689" s="214" t="s">
        <v>328</v>
      </c>
      <c r="G689" s="28">
        <f>733.5-244.8</f>
        <v>488.7</v>
      </c>
      <c r="H689" s="28">
        <v>288.3</v>
      </c>
      <c r="I689" s="28">
        <f t="shared" ref="I689:L689" si="708">733.5-244.8</f>
        <v>488.7</v>
      </c>
      <c r="J689" s="28">
        <f t="shared" si="708"/>
        <v>488.7</v>
      </c>
      <c r="K689" s="28">
        <f t="shared" si="708"/>
        <v>488.7</v>
      </c>
      <c r="L689" s="28">
        <f t="shared" si="708"/>
        <v>488.7</v>
      </c>
      <c r="M689" s="28">
        <f t="shared" ref="M689" si="709">733.5-244.8</f>
        <v>488.7</v>
      </c>
      <c r="N689" s="28">
        <v>75</v>
      </c>
      <c r="O689" s="27">
        <f t="shared" si="674"/>
        <v>15.34683855125844</v>
      </c>
    </row>
    <row r="690" spans="1:15" ht="80.25" customHeight="1">
      <c r="A690" s="33" t="s">
        <v>514</v>
      </c>
      <c r="B690" s="216">
        <v>906</v>
      </c>
      <c r="C690" s="214" t="s">
        <v>317</v>
      </c>
      <c r="D690" s="214" t="s">
        <v>266</v>
      </c>
      <c r="E690" s="214" t="s">
        <v>515</v>
      </c>
      <c r="F690" s="214"/>
      <c r="G690" s="27">
        <f t="shared" ref="G690:L691" si="710">G691</f>
        <v>79753.600000000006</v>
      </c>
      <c r="H690" s="27">
        <f t="shared" si="710"/>
        <v>66712.5</v>
      </c>
      <c r="I690" s="27">
        <f t="shared" si="710"/>
        <v>79753.600000000006</v>
      </c>
      <c r="J690" s="27">
        <f t="shared" si="710"/>
        <v>79753.600000000006</v>
      </c>
      <c r="K690" s="27">
        <f t="shared" si="710"/>
        <v>79753.600000000006</v>
      </c>
      <c r="L690" s="27">
        <f t="shared" si="710"/>
        <v>79753.600000000006</v>
      </c>
      <c r="M690" s="27">
        <f t="shared" ref="M690:N691" si="711">M691</f>
        <v>79406.8</v>
      </c>
      <c r="N690" s="27">
        <f t="shared" si="711"/>
        <v>23586.799999999999</v>
      </c>
      <c r="O690" s="27">
        <f t="shared" si="674"/>
        <v>29.703753330948985</v>
      </c>
    </row>
    <row r="691" spans="1:15" ht="47.25">
      <c r="A691" s="26" t="s">
        <v>325</v>
      </c>
      <c r="B691" s="216">
        <v>906</v>
      </c>
      <c r="C691" s="214" t="s">
        <v>317</v>
      </c>
      <c r="D691" s="214" t="s">
        <v>266</v>
      </c>
      <c r="E691" s="214" t="s">
        <v>515</v>
      </c>
      <c r="F691" s="214" t="s">
        <v>326</v>
      </c>
      <c r="G691" s="27">
        <f>G692</f>
        <v>79753.600000000006</v>
      </c>
      <c r="H691" s="27">
        <f>H692</f>
        <v>66712.5</v>
      </c>
      <c r="I691" s="27">
        <f t="shared" si="710"/>
        <v>79753.600000000006</v>
      </c>
      <c r="J691" s="27">
        <f t="shared" si="710"/>
        <v>79753.600000000006</v>
      </c>
      <c r="K691" s="27">
        <f t="shared" si="710"/>
        <v>79753.600000000006</v>
      </c>
      <c r="L691" s="27">
        <f t="shared" si="710"/>
        <v>79753.600000000006</v>
      </c>
      <c r="M691" s="27">
        <f t="shared" si="711"/>
        <v>79406.8</v>
      </c>
      <c r="N691" s="27">
        <f t="shared" si="711"/>
        <v>23586.799999999999</v>
      </c>
      <c r="O691" s="27">
        <f t="shared" si="674"/>
        <v>29.703753330948985</v>
      </c>
    </row>
    <row r="692" spans="1:15" ht="15.75">
      <c r="A692" s="26" t="s">
        <v>327</v>
      </c>
      <c r="B692" s="216">
        <v>906</v>
      </c>
      <c r="C692" s="214" t="s">
        <v>317</v>
      </c>
      <c r="D692" s="214" t="s">
        <v>266</v>
      </c>
      <c r="E692" s="214" t="s">
        <v>515</v>
      </c>
      <c r="F692" s="214" t="s">
        <v>328</v>
      </c>
      <c r="G692" s="28">
        <f>93568.6-13815</f>
        <v>79753.600000000006</v>
      </c>
      <c r="H692" s="28">
        <v>66712.5</v>
      </c>
      <c r="I692" s="28">
        <f t="shared" ref="I692:L692" si="712">93568.6-13815</f>
        <v>79753.600000000006</v>
      </c>
      <c r="J692" s="28">
        <f t="shared" si="712"/>
        <v>79753.600000000006</v>
      </c>
      <c r="K692" s="28">
        <f t="shared" si="712"/>
        <v>79753.600000000006</v>
      </c>
      <c r="L692" s="28">
        <f t="shared" si="712"/>
        <v>79753.600000000006</v>
      </c>
      <c r="M692" s="28">
        <f>'прил.№1 доходы'!I124</f>
        <v>79406.8</v>
      </c>
      <c r="N692" s="28">
        <v>23586.799999999999</v>
      </c>
      <c r="O692" s="27">
        <f t="shared" si="674"/>
        <v>29.703753330948985</v>
      </c>
    </row>
    <row r="693" spans="1:15" ht="63">
      <c r="A693" s="33" t="s">
        <v>342</v>
      </c>
      <c r="B693" s="216">
        <v>906</v>
      </c>
      <c r="C693" s="214" t="s">
        <v>317</v>
      </c>
      <c r="D693" s="214" t="s">
        <v>266</v>
      </c>
      <c r="E693" s="214" t="s">
        <v>343</v>
      </c>
      <c r="F693" s="214"/>
      <c r="G693" s="27">
        <f>G694</f>
        <v>910.90000000000009</v>
      </c>
      <c r="H693" s="27">
        <f>H694</f>
        <v>631.4</v>
      </c>
      <c r="I693" s="27">
        <f t="shared" ref="I693:L693" si="713">I694</f>
        <v>910.90000000000009</v>
      </c>
      <c r="J693" s="27">
        <f t="shared" si="713"/>
        <v>910.90000000000009</v>
      </c>
      <c r="K693" s="27">
        <f t="shared" si="713"/>
        <v>910.90000000000009</v>
      </c>
      <c r="L693" s="27">
        <f t="shared" si="713"/>
        <v>910.90000000000009</v>
      </c>
      <c r="M693" s="27">
        <f t="shared" ref="M693:N694" si="714">M694</f>
        <v>910.90000000000009</v>
      </c>
      <c r="N693" s="27">
        <f t="shared" si="714"/>
        <v>158.69999999999999</v>
      </c>
      <c r="O693" s="27">
        <f t="shared" si="674"/>
        <v>17.422329564167306</v>
      </c>
    </row>
    <row r="694" spans="1:15" ht="47.25">
      <c r="A694" s="26" t="s">
        <v>325</v>
      </c>
      <c r="B694" s="216">
        <v>906</v>
      </c>
      <c r="C694" s="214" t="s">
        <v>317</v>
      </c>
      <c r="D694" s="214" t="s">
        <v>266</v>
      </c>
      <c r="E694" s="214" t="s">
        <v>343</v>
      </c>
      <c r="F694" s="214" t="s">
        <v>326</v>
      </c>
      <c r="G694" s="27">
        <f t="shared" ref="G694:L694" si="715">G695</f>
        <v>910.90000000000009</v>
      </c>
      <c r="H694" s="27">
        <f t="shared" si="715"/>
        <v>631.4</v>
      </c>
      <c r="I694" s="27">
        <f t="shared" si="715"/>
        <v>910.90000000000009</v>
      </c>
      <c r="J694" s="27">
        <f t="shared" si="715"/>
        <v>910.90000000000009</v>
      </c>
      <c r="K694" s="27">
        <f t="shared" si="715"/>
        <v>910.90000000000009</v>
      </c>
      <c r="L694" s="27">
        <f t="shared" si="715"/>
        <v>910.90000000000009</v>
      </c>
      <c r="M694" s="27">
        <f t="shared" si="714"/>
        <v>910.90000000000009</v>
      </c>
      <c r="N694" s="27">
        <f t="shared" si="714"/>
        <v>158.69999999999999</v>
      </c>
      <c r="O694" s="27">
        <f t="shared" si="674"/>
        <v>17.422329564167306</v>
      </c>
    </row>
    <row r="695" spans="1:15" ht="15.75">
      <c r="A695" s="26" t="s">
        <v>327</v>
      </c>
      <c r="B695" s="216">
        <v>906</v>
      </c>
      <c r="C695" s="214" t="s">
        <v>317</v>
      </c>
      <c r="D695" s="214" t="s">
        <v>266</v>
      </c>
      <c r="E695" s="214" t="s">
        <v>343</v>
      </c>
      <c r="F695" s="214" t="s">
        <v>328</v>
      </c>
      <c r="G695" s="28">
        <f>1101.7-190.8</f>
        <v>910.90000000000009</v>
      </c>
      <c r="H695" s="28">
        <v>631.4</v>
      </c>
      <c r="I695" s="28">
        <f t="shared" ref="I695:L695" si="716">1101.7-190.8</f>
        <v>910.90000000000009</v>
      </c>
      <c r="J695" s="28">
        <f t="shared" si="716"/>
        <v>910.90000000000009</v>
      </c>
      <c r="K695" s="28">
        <f t="shared" si="716"/>
        <v>910.90000000000009</v>
      </c>
      <c r="L695" s="28">
        <f t="shared" si="716"/>
        <v>910.90000000000009</v>
      </c>
      <c r="M695" s="28">
        <f t="shared" ref="M695" si="717">1101.7-190.8</f>
        <v>910.90000000000009</v>
      </c>
      <c r="N695" s="28">
        <v>158.69999999999999</v>
      </c>
      <c r="O695" s="27">
        <f t="shared" si="674"/>
        <v>17.422329564167306</v>
      </c>
    </row>
    <row r="696" spans="1:15" ht="78.75">
      <c r="A696" s="33" t="s">
        <v>344</v>
      </c>
      <c r="B696" s="216">
        <v>906</v>
      </c>
      <c r="C696" s="214" t="s">
        <v>317</v>
      </c>
      <c r="D696" s="214" t="s">
        <v>266</v>
      </c>
      <c r="E696" s="214" t="s">
        <v>345</v>
      </c>
      <c r="F696" s="214"/>
      <c r="G696" s="27">
        <f>G697</f>
        <v>2155.5</v>
      </c>
      <c r="H696" s="27">
        <f>H697</f>
        <v>1390.8</v>
      </c>
      <c r="I696" s="27">
        <f t="shared" ref="I696:L696" si="718">I697</f>
        <v>2155.5</v>
      </c>
      <c r="J696" s="27">
        <f t="shared" si="718"/>
        <v>2155.5</v>
      </c>
      <c r="K696" s="27">
        <f t="shared" si="718"/>
        <v>2155.5</v>
      </c>
      <c r="L696" s="27">
        <f t="shared" si="718"/>
        <v>2155.5</v>
      </c>
      <c r="M696" s="27">
        <f t="shared" ref="M696:N697" si="719">M697</f>
        <v>2230.5</v>
      </c>
      <c r="N696" s="27">
        <f t="shared" si="719"/>
        <v>400</v>
      </c>
      <c r="O696" s="27">
        <f t="shared" si="674"/>
        <v>17.933198834342075</v>
      </c>
    </row>
    <row r="697" spans="1:15" ht="47.25">
      <c r="A697" s="26" t="s">
        <v>325</v>
      </c>
      <c r="B697" s="216">
        <v>906</v>
      </c>
      <c r="C697" s="214" t="s">
        <v>317</v>
      </c>
      <c r="D697" s="214" t="s">
        <v>266</v>
      </c>
      <c r="E697" s="214" t="s">
        <v>345</v>
      </c>
      <c r="F697" s="214" t="s">
        <v>326</v>
      </c>
      <c r="G697" s="27">
        <f t="shared" ref="G697:L697" si="720">G698</f>
        <v>2155.5</v>
      </c>
      <c r="H697" s="27">
        <f t="shared" si="720"/>
        <v>1390.8</v>
      </c>
      <c r="I697" s="27">
        <f t="shared" si="720"/>
        <v>2155.5</v>
      </c>
      <c r="J697" s="27">
        <f t="shared" si="720"/>
        <v>2155.5</v>
      </c>
      <c r="K697" s="27">
        <f t="shared" si="720"/>
        <v>2155.5</v>
      </c>
      <c r="L697" s="27">
        <f t="shared" si="720"/>
        <v>2155.5</v>
      </c>
      <c r="M697" s="27">
        <f t="shared" si="719"/>
        <v>2230.5</v>
      </c>
      <c r="N697" s="27">
        <f t="shared" si="719"/>
        <v>400</v>
      </c>
      <c r="O697" s="27">
        <f t="shared" si="674"/>
        <v>17.933198834342075</v>
      </c>
    </row>
    <row r="698" spans="1:15" ht="15.75">
      <c r="A698" s="26" t="s">
        <v>327</v>
      </c>
      <c r="B698" s="216">
        <v>906</v>
      </c>
      <c r="C698" s="214" t="s">
        <v>317</v>
      </c>
      <c r="D698" s="214" t="s">
        <v>266</v>
      </c>
      <c r="E698" s="214" t="s">
        <v>345</v>
      </c>
      <c r="F698" s="214" t="s">
        <v>328</v>
      </c>
      <c r="G698" s="28">
        <f>2823.2-667.7</f>
        <v>2155.5</v>
      </c>
      <c r="H698" s="28">
        <v>1390.8</v>
      </c>
      <c r="I698" s="28">
        <f t="shared" ref="I698:L698" si="721">2823.2-667.7</f>
        <v>2155.5</v>
      </c>
      <c r="J698" s="28">
        <f t="shared" si="721"/>
        <v>2155.5</v>
      </c>
      <c r="K698" s="28">
        <f t="shared" si="721"/>
        <v>2155.5</v>
      </c>
      <c r="L698" s="28">
        <f t="shared" si="721"/>
        <v>2155.5</v>
      </c>
      <c r="M698" s="28">
        <f>2823.2-667.7+75</f>
        <v>2230.5</v>
      </c>
      <c r="N698" s="28">
        <v>400</v>
      </c>
      <c r="O698" s="27">
        <f t="shared" si="674"/>
        <v>17.933198834342075</v>
      </c>
    </row>
    <row r="699" spans="1:15" ht="47.25">
      <c r="A699" s="33" t="s">
        <v>516</v>
      </c>
      <c r="B699" s="216">
        <v>906</v>
      </c>
      <c r="C699" s="214" t="s">
        <v>317</v>
      </c>
      <c r="D699" s="214" t="s">
        <v>266</v>
      </c>
      <c r="E699" s="214" t="s">
        <v>517</v>
      </c>
      <c r="F699" s="214"/>
      <c r="G699" s="27">
        <f t="shared" ref="G699:L700" si="722">G700</f>
        <v>886.5</v>
      </c>
      <c r="H699" s="27">
        <f t="shared" si="722"/>
        <v>623.20000000000005</v>
      </c>
      <c r="I699" s="27">
        <f t="shared" si="722"/>
        <v>886.5</v>
      </c>
      <c r="J699" s="27">
        <f t="shared" si="722"/>
        <v>886.5</v>
      </c>
      <c r="K699" s="27">
        <f t="shared" si="722"/>
        <v>886.5</v>
      </c>
      <c r="L699" s="27">
        <f t="shared" si="722"/>
        <v>886.5</v>
      </c>
      <c r="M699" s="27">
        <f t="shared" ref="M699:N700" si="723">M700</f>
        <v>942</v>
      </c>
      <c r="N699" s="27">
        <f t="shared" si="723"/>
        <v>232.6</v>
      </c>
      <c r="O699" s="27">
        <f t="shared" si="674"/>
        <v>24.692144373673035</v>
      </c>
    </row>
    <row r="700" spans="1:15" ht="47.25">
      <c r="A700" s="26" t="s">
        <v>325</v>
      </c>
      <c r="B700" s="216">
        <v>906</v>
      </c>
      <c r="C700" s="214" t="s">
        <v>317</v>
      </c>
      <c r="D700" s="214" t="s">
        <v>266</v>
      </c>
      <c r="E700" s="214" t="s">
        <v>517</v>
      </c>
      <c r="F700" s="214" t="s">
        <v>326</v>
      </c>
      <c r="G700" s="27">
        <f>G701</f>
        <v>886.5</v>
      </c>
      <c r="H700" s="27">
        <f>H701</f>
        <v>623.20000000000005</v>
      </c>
      <c r="I700" s="27">
        <f t="shared" si="722"/>
        <v>886.5</v>
      </c>
      <c r="J700" s="27">
        <f t="shared" si="722"/>
        <v>886.5</v>
      </c>
      <c r="K700" s="27">
        <f t="shared" si="722"/>
        <v>886.5</v>
      </c>
      <c r="L700" s="27">
        <f t="shared" si="722"/>
        <v>886.5</v>
      </c>
      <c r="M700" s="27">
        <f t="shared" si="723"/>
        <v>942</v>
      </c>
      <c r="N700" s="27">
        <f t="shared" si="723"/>
        <v>232.6</v>
      </c>
      <c r="O700" s="27">
        <f t="shared" si="674"/>
        <v>24.692144373673035</v>
      </c>
    </row>
    <row r="701" spans="1:15" ht="15.75">
      <c r="A701" s="26" t="s">
        <v>327</v>
      </c>
      <c r="B701" s="216">
        <v>906</v>
      </c>
      <c r="C701" s="214" t="s">
        <v>317</v>
      </c>
      <c r="D701" s="214" t="s">
        <v>266</v>
      </c>
      <c r="E701" s="214" t="s">
        <v>517</v>
      </c>
      <c r="F701" s="214" t="s">
        <v>328</v>
      </c>
      <c r="G701" s="28">
        <f>998.4-111.9</f>
        <v>886.5</v>
      </c>
      <c r="H701" s="28">
        <v>623.20000000000005</v>
      </c>
      <c r="I701" s="28">
        <f t="shared" ref="I701:L701" si="724">998.4-111.9</f>
        <v>886.5</v>
      </c>
      <c r="J701" s="28">
        <f t="shared" si="724"/>
        <v>886.5</v>
      </c>
      <c r="K701" s="28">
        <f t="shared" si="724"/>
        <v>886.5</v>
      </c>
      <c r="L701" s="28">
        <f t="shared" si="724"/>
        <v>886.5</v>
      </c>
      <c r="M701" s="28">
        <f>'прил.№1 доходы'!I134</f>
        <v>942</v>
      </c>
      <c r="N701" s="28">
        <v>232.6</v>
      </c>
      <c r="O701" s="27">
        <f t="shared" si="674"/>
        <v>24.692144373673035</v>
      </c>
    </row>
    <row r="702" spans="1:15" ht="110.25">
      <c r="A702" s="33" t="s">
        <v>518</v>
      </c>
      <c r="B702" s="216">
        <v>906</v>
      </c>
      <c r="C702" s="214" t="s">
        <v>317</v>
      </c>
      <c r="D702" s="214" t="s">
        <v>266</v>
      </c>
      <c r="E702" s="214" t="s">
        <v>347</v>
      </c>
      <c r="F702" s="214"/>
      <c r="G702" s="27">
        <f>G703</f>
        <v>4369</v>
      </c>
      <c r="H702" s="27">
        <f>H703</f>
        <v>2959.98</v>
      </c>
      <c r="I702" s="27">
        <f t="shared" ref="I702:L702" si="725">I703</f>
        <v>4369</v>
      </c>
      <c r="J702" s="27">
        <f t="shared" si="725"/>
        <v>4369</v>
      </c>
      <c r="K702" s="27">
        <f t="shared" si="725"/>
        <v>4369</v>
      </c>
      <c r="L702" s="27">
        <f t="shared" si="725"/>
        <v>4369</v>
      </c>
      <c r="M702" s="27">
        <f t="shared" ref="M702:N703" si="726">M703</f>
        <v>4294.7</v>
      </c>
      <c r="N702" s="27">
        <f t="shared" si="726"/>
        <v>951</v>
      </c>
      <c r="O702" s="27">
        <f t="shared" si="674"/>
        <v>22.143572310056584</v>
      </c>
    </row>
    <row r="703" spans="1:15" ht="47.25">
      <c r="A703" s="26" t="s">
        <v>325</v>
      </c>
      <c r="B703" s="216">
        <v>906</v>
      </c>
      <c r="C703" s="214" t="s">
        <v>317</v>
      </c>
      <c r="D703" s="214" t="s">
        <v>266</v>
      </c>
      <c r="E703" s="214" t="s">
        <v>347</v>
      </c>
      <c r="F703" s="214" t="s">
        <v>326</v>
      </c>
      <c r="G703" s="27">
        <f t="shared" ref="G703:L703" si="727">G704</f>
        <v>4369</v>
      </c>
      <c r="H703" s="27">
        <f t="shared" si="727"/>
        <v>2959.98</v>
      </c>
      <c r="I703" s="27">
        <f t="shared" si="727"/>
        <v>4369</v>
      </c>
      <c r="J703" s="27">
        <f t="shared" si="727"/>
        <v>4369</v>
      </c>
      <c r="K703" s="27">
        <f t="shared" si="727"/>
        <v>4369</v>
      </c>
      <c r="L703" s="27">
        <f t="shared" si="727"/>
        <v>4369</v>
      </c>
      <c r="M703" s="27">
        <f t="shared" si="726"/>
        <v>4294.7</v>
      </c>
      <c r="N703" s="27">
        <f t="shared" si="726"/>
        <v>951</v>
      </c>
      <c r="O703" s="27">
        <f t="shared" si="674"/>
        <v>22.143572310056584</v>
      </c>
    </row>
    <row r="704" spans="1:15" ht="15.75">
      <c r="A704" s="26" t="s">
        <v>327</v>
      </c>
      <c r="B704" s="216">
        <v>906</v>
      </c>
      <c r="C704" s="214" t="s">
        <v>317</v>
      </c>
      <c r="D704" s="214" t="s">
        <v>266</v>
      </c>
      <c r="E704" s="214" t="s">
        <v>347</v>
      </c>
      <c r="F704" s="214" t="s">
        <v>328</v>
      </c>
      <c r="G704" s="28">
        <f>5441.9-1072.9</f>
        <v>4369</v>
      </c>
      <c r="H704" s="28">
        <v>2959.98</v>
      </c>
      <c r="I704" s="28">
        <f t="shared" ref="I704:L704" si="728">5441.9-1072.9</f>
        <v>4369</v>
      </c>
      <c r="J704" s="28">
        <f t="shared" si="728"/>
        <v>4369</v>
      </c>
      <c r="K704" s="28">
        <f t="shared" si="728"/>
        <v>4369</v>
      </c>
      <c r="L704" s="28">
        <f t="shared" si="728"/>
        <v>4369</v>
      </c>
      <c r="M704" s="28">
        <f>5441.9-1072.9-74.3</f>
        <v>4294.7</v>
      </c>
      <c r="N704" s="28">
        <v>951</v>
      </c>
      <c r="O704" s="27">
        <f t="shared" si="674"/>
        <v>22.143572310056584</v>
      </c>
    </row>
    <row r="705" spans="1:16" ht="15.75">
      <c r="A705" s="24" t="s">
        <v>318</v>
      </c>
      <c r="B705" s="213">
        <v>906</v>
      </c>
      <c r="C705" s="215" t="s">
        <v>317</v>
      </c>
      <c r="D705" s="215" t="s">
        <v>268</v>
      </c>
      <c r="E705" s="215"/>
      <c r="F705" s="215"/>
      <c r="G705" s="46">
        <f>G706+G718</f>
        <v>23062.100000000002</v>
      </c>
      <c r="H705" s="46">
        <f t="shared" ref="H705:L705" si="729">H706+H718</f>
        <v>19022.7</v>
      </c>
      <c r="I705" s="46">
        <f t="shared" si="729"/>
        <v>23741.600000000002</v>
      </c>
      <c r="J705" s="46">
        <f t="shared" si="729"/>
        <v>27922</v>
      </c>
      <c r="K705" s="46">
        <f t="shared" si="729"/>
        <v>28211</v>
      </c>
      <c r="L705" s="46">
        <f t="shared" si="729"/>
        <v>28385.200000000001</v>
      </c>
      <c r="M705" s="46">
        <f t="shared" ref="M705:N705" si="730">M706+M718</f>
        <v>23507.799999999996</v>
      </c>
      <c r="N705" s="46">
        <f t="shared" si="730"/>
        <v>8496.1</v>
      </c>
      <c r="O705" s="22">
        <f t="shared" si="674"/>
        <v>36.14162107896103</v>
      </c>
    </row>
    <row r="706" spans="1:16" ht="47.25">
      <c r="A706" s="26" t="s">
        <v>480</v>
      </c>
      <c r="B706" s="216">
        <v>906</v>
      </c>
      <c r="C706" s="214" t="s">
        <v>317</v>
      </c>
      <c r="D706" s="214" t="s">
        <v>268</v>
      </c>
      <c r="E706" s="214" t="s">
        <v>460</v>
      </c>
      <c r="F706" s="214"/>
      <c r="G706" s="28">
        <f>G707+G711</f>
        <v>21479.9</v>
      </c>
      <c r="H706" s="28">
        <f t="shared" ref="H706:M706" si="731">H707+H711</f>
        <v>18210</v>
      </c>
      <c r="I706" s="28">
        <f t="shared" si="731"/>
        <v>22159.4</v>
      </c>
      <c r="J706" s="28">
        <f t="shared" si="731"/>
        <v>26339.8</v>
      </c>
      <c r="K706" s="28">
        <f t="shared" si="731"/>
        <v>26628.799999999999</v>
      </c>
      <c r="L706" s="28">
        <f t="shared" si="731"/>
        <v>26803</v>
      </c>
      <c r="M706" s="28">
        <f t="shared" si="731"/>
        <v>21921.199999999997</v>
      </c>
      <c r="N706" s="28">
        <f t="shared" ref="N706" si="732">N707+N711</f>
        <v>8240</v>
      </c>
      <c r="O706" s="27">
        <f t="shared" si="674"/>
        <v>37.589183073919315</v>
      </c>
    </row>
    <row r="707" spans="1:16" ht="47.25">
      <c r="A707" s="26" t="s">
        <v>461</v>
      </c>
      <c r="B707" s="216">
        <v>906</v>
      </c>
      <c r="C707" s="214" t="s">
        <v>317</v>
      </c>
      <c r="D707" s="214" t="s">
        <v>268</v>
      </c>
      <c r="E707" s="214" t="s">
        <v>462</v>
      </c>
      <c r="F707" s="214"/>
      <c r="G707" s="28">
        <f>G708</f>
        <v>21124</v>
      </c>
      <c r="H707" s="28">
        <f t="shared" ref="H707:H709" si="733">H708</f>
        <v>18210</v>
      </c>
      <c r="I707" s="28">
        <f t="shared" ref="I707:L709" si="734">I708</f>
        <v>21803.5</v>
      </c>
      <c r="J707" s="28">
        <f t="shared" si="734"/>
        <v>25586.7</v>
      </c>
      <c r="K707" s="28">
        <f t="shared" si="734"/>
        <v>25875.7</v>
      </c>
      <c r="L707" s="28">
        <f t="shared" si="734"/>
        <v>26049.9</v>
      </c>
      <c r="M707" s="28">
        <f t="shared" ref="M707:N709" si="735">M708</f>
        <v>21168.1</v>
      </c>
      <c r="N707" s="28">
        <f t="shared" si="735"/>
        <v>7540</v>
      </c>
      <c r="O707" s="27">
        <f t="shared" si="674"/>
        <v>35.619635205804961</v>
      </c>
    </row>
    <row r="708" spans="1:16" ht="47.25">
      <c r="A708" s="26" t="s">
        <v>323</v>
      </c>
      <c r="B708" s="216">
        <v>906</v>
      </c>
      <c r="C708" s="214" t="s">
        <v>317</v>
      </c>
      <c r="D708" s="214" t="s">
        <v>268</v>
      </c>
      <c r="E708" s="214" t="s">
        <v>483</v>
      </c>
      <c r="F708" s="214"/>
      <c r="G708" s="28">
        <f>G709</f>
        <v>21124</v>
      </c>
      <c r="H708" s="28">
        <f t="shared" si="733"/>
        <v>18210</v>
      </c>
      <c r="I708" s="28">
        <f t="shared" si="734"/>
        <v>21803.5</v>
      </c>
      <c r="J708" s="28">
        <f t="shared" si="734"/>
        <v>25586.7</v>
      </c>
      <c r="K708" s="28">
        <f t="shared" si="734"/>
        <v>25875.7</v>
      </c>
      <c r="L708" s="28">
        <f t="shared" si="734"/>
        <v>26049.9</v>
      </c>
      <c r="M708" s="28">
        <f t="shared" si="735"/>
        <v>21168.1</v>
      </c>
      <c r="N708" s="28">
        <f t="shared" si="735"/>
        <v>7540</v>
      </c>
      <c r="O708" s="27">
        <f t="shared" si="674"/>
        <v>35.619635205804961</v>
      </c>
    </row>
    <row r="709" spans="1:16" ht="47.25">
      <c r="A709" s="26" t="s">
        <v>325</v>
      </c>
      <c r="B709" s="216">
        <v>906</v>
      </c>
      <c r="C709" s="214" t="s">
        <v>317</v>
      </c>
      <c r="D709" s="214" t="s">
        <v>268</v>
      </c>
      <c r="E709" s="214" t="s">
        <v>483</v>
      </c>
      <c r="F709" s="214" t="s">
        <v>326</v>
      </c>
      <c r="G709" s="28">
        <f>G710</f>
        <v>21124</v>
      </c>
      <c r="H709" s="28">
        <f t="shared" si="733"/>
        <v>18210</v>
      </c>
      <c r="I709" s="28">
        <f t="shared" si="734"/>
        <v>21803.5</v>
      </c>
      <c r="J709" s="28">
        <f t="shared" si="734"/>
        <v>25586.7</v>
      </c>
      <c r="K709" s="28">
        <f t="shared" si="734"/>
        <v>25875.7</v>
      </c>
      <c r="L709" s="28">
        <f t="shared" si="734"/>
        <v>26049.9</v>
      </c>
      <c r="M709" s="28">
        <f t="shared" si="735"/>
        <v>21168.1</v>
      </c>
      <c r="N709" s="28">
        <f t="shared" si="735"/>
        <v>7540</v>
      </c>
      <c r="O709" s="27">
        <f t="shared" si="674"/>
        <v>35.619635205804961</v>
      </c>
    </row>
    <row r="710" spans="1:16" ht="15.75">
      <c r="A710" s="26" t="s">
        <v>327</v>
      </c>
      <c r="B710" s="216">
        <v>906</v>
      </c>
      <c r="C710" s="214" t="s">
        <v>317</v>
      </c>
      <c r="D710" s="214" t="s">
        <v>268</v>
      </c>
      <c r="E710" s="214" t="s">
        <v>483</v>
      </c>
      <c r="F710" s="214" t="s">
        <v>328</v>
      </c>
      <c r="G710" s="28">
        <f>21044+80</f>
        <v>21124</v>
      </c>
      <c r="H710" s="28">
        <v>18210</v>
      </c>
      <c r="I710" s="28">
        <v>21803.5</v>
      </c>
      <c r="J710" s="28">
        <v>25586.7</v>
      </c>
      <c r="K710" s="28">
        <v>25875.7</v>
      </c>
      <c r="L710" s="28">
        <v>26049.9</v>
      </c>
      <c r="M710" s="28">
        <f>21618.8-450.7</f>
        <v>21168.1</v>
      </c>
      <c r="N710" s="28">
        <v>7540</v>
      </c>
      <c r="O710" s="27">
        <f t="shared" si="674"/>
        <v>35.619635205804961</v>
      </c>
      <c r="P710" s="140"/>
    </row>
    <row r="711" spans="1:16" ht="43.5" customHeight="1">
      <c r="A711" s="33" t="s">
        <v>796</v>
      </c>
      <c r="B711" s="216">
        <v>906</v>
      </c>
      <c r="C711" s="214" t="s">
        <v>317</v>
      </c>
      <c r="D711" s="214" t="s">
        <v>268</v>
      </c>
      <c r="E711" s="214" t="s">
        <v>501</v>
      </c>
      <c r="F711" s="214"/>
      <c r="G711" s="28">
        <f>G712+G717</f>
        <v>355.9</v>
      </c>
      <c r="H711" s="28">
        <f t="shared" ref="H711" si="736">H712</f>
        <v>0</v>
      </c>
      <c r="I711" s="28">
        <f t="shared" ref="I711:L711" si="737">I712+I717</f>
        <v>355.9</v>
      </c>
      <c r="J711" s="28">
        <f t="shared" si="737"/>
        <v>753.1</v>
      </c>
      <c r="K711" s="28">
        <f t="shared" si="737"/>
        <v>753.1</v>
      </c>
      <c r="L711" s="28">
        <f t="shared" si="737"/>
        <v>753.1</v>
      </c>
      <c r="M711" s="28">
        <f>M712+M717</f>
        <v>753.1</v>
      </c>
      <c r="N711" s="28">
        <f t="shared" ref="N711" si="738">N712+N717</f>
        <v>700</v>
      </c>
      <c r="O711" s="27">
        <f t="shared" si="674"/>
        <v>92.949143540034513</v>
      </c>
    </row>
    <row r="712" spans="1:16" ht="31.5" hidden="1">
      <c r="A712" s="47" t="s">
        <v>885</v>
      </c>
      <c r="B712" s="216">
        <v>906</v>
      </c>
      <c r="C712" s="214" t="s">
        <v>317</v>
      </c>
      <c r="D712" s="214" t="s">
        <v>268</v>
      </c>
      <c r="E712" s="214" t="s">
        <v>798</v>
      </c>
      <c r="F712" s="214"/>
      <c r="G712" s="28">
        <f>G713</f>
        <v>355.9</v>
      </c>
      <c r="H712" s="28">
        <v>0</v>
      </c>
      <c r="I712" s="28">
        <f t="shared" ref="I712:N712" si="739">I713</f>
        <v>355.9</v>
      </c>
      <c r="J712" s="28">
        <f t="shared" si="739"/>
        <v>0</v>
      </c>
      <c r="K712" s="28">
        <f t="shared" si="739"/>
        <v>0</v>
      </c>
      <c r="L712" s="28">
        <f t="shared" si="739"/>
        <v>0</v>
      </c>
      <c r="M712" s="28">
        <f t="shared" si="739"/>
        <v>0</v>
      </c>
      <c r="N712" s="28">
        <f t="shared" si="739"/>
        <v>0</v>
      </c>
      <c r="O712" s="27" t="e">
        <f t="shared" si="674"/>
        <v>#DIV/0!</v>
      </c>
    </row>
    <row r="713" spans="1:16" ht="47.25" hidden="1">
      <c r="A713" s="33" t="s">
        <v>325</v>
      </c>
      <c r="B713" s="216">
        <v>906</v>
      </c>
      <c r="C713" s="214" t="s">
        <v>317</v>
      </c>
      <c r="D713" s="214" t="s">
        <v>268</v>
      </c>
      <c r="E713" s="214" t="s">
        <v>798</v>
      </c>
      <c r="F713" s="214" t="s">
        <v>326</v>
      </c>
      <c r="G713" s="28">
        <f>G714</f>
        <v>355.9</v>
      </c>
      <c r="H713" s="28">
        <v>0</v>
      </c>
      <c r="I713" s="28">
        <f t="shared" ref="I713:L716" si="740">I714</f>
        <v>355.9</v>
      </c>
      <c r="J713" s="28">
        <f t="shared" si="740"/>
        <v>0</v>
      </c>
      <c r="K713" s="28">
        <f t="shared" si="740"/>
        <v>0</v>
      </c>
      <c r="L713" s="28">
        <f t="shared" si="740"/>
        <v>0</v>
      </c>
      <c r="M713" s="28">
        <f t="shared" ref="M713:N713" si="741">M714</f>
        <v>0</v>
      </c>
      <c r="N713" s="28">
        <f t="shared" si="741"/>
        <v>0</v>
      </c>
      <c r="O713" s="27" t="e">
        <f t="shared" si="674"/>
        <v>#DIV/0!</v>
      </c>
    </row>
    <row r="714" spans="1:16" ht="15.75" hidden="1">
      <c r="A714" s="33" t="s">
        <v>327</v>
      </c>
      <c r="B714" s="216">
        <v>906</v>
      </c>
      <c r="C714" s="214" t="s">
        <v>317</v>
      </c>
      <c r="D714" s="214" t="s">
        <v>268</v>
      </c>
      <c r="E714" s="214" t="s">
        <v>798</v>
      </c>
      <c r="F714" s="214" t="s">
        <v>328</v>
      </c>
      <c r="G714" s="28">
        <v>355.9</v>
      </c>
      <c r="H714" s="28">
        <v>0</v>
      </c>
      <c r="I714" s="28">
        <v>355.9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7" t="e">
        <f t="shared" si="674"/>
        <v>#DIV/0!</v>
      </c>
    </row>
    <row r="715" spans="1:16" ht="47.25">
      <c r="A715" s="47" t="s">
        <v>871</v>
      </c>
      <c r="B715" s="216">
        <v>906</v>
      </c>
      <c r="C715" s="214" t="s">
        <v>317</v>
      </c>
      <c r="D715" s="214" t="s">
        <v>268</v>
      </c>
      <c r="E715" s="214" t="s">
        <v>872</v>
      </c>
      <c r="F715" s="214"/>
      <c r="G715" s="28">
        <f>G716</f>
        <v>0</v>
      </c>
      <c r="H715" s="28">
        <v>0</v>
      </c>
      <c r="I715" s="28">
        <f t="shared" si="740"/>
        <v>0</v>
      </c>
      <c r="J715" s="28">
        <f t="shared" si="740"/>
        <v>753.1</v>
      </c>
      <c r="K715" s="28">
        <f t="shared" si="740"/>
        <v>753.1</v>
      </c>
      <c r="L715" s="28">
        <f t="shared" si="740"/>
        <v>753.1</v>
      </c>
      <c r="M715" s="28">
        <f>M716</f>
        <v>753.1</v>
      </c>
      <c r="N715" s="28">
        <f t="shared" ref="N715:N716" si="742">N716</f>
        <v>700</v>
      </c>
      <c r="O715" s="27">
        <f t="shared" si="674"/>
        <v>92.949143540034513</v>
      </c>
    </row>
    <row r="716" spans="1:16" ht="47.25">
      <c r="A716" s="26" t="s">
        <v>325</v>
      </c>
      <c r="B716" s="216">
        <v>906</v>
      </c>
      <c r="C716" s="214" t="s">
        <v>317</v>
      </c>
      <c r="D716" s="214" t="s">
        <v>268</v>
      </c>
      <c r="E716" s="214" t="s">
        <v>872</v>
      </c>
      <c r="F716" s="214" t="s">
        <v>326</v>
      </c>
      <c r="G716" s="28">
        <f>G717</f>
        <v>0</v>
      </c>
      <c r="H716" s="28">
        <v>0</v>
      </c>
      <c r="I716" s="28">
        <f t="shared" si="740"/>
        <v>0</v>
      </c>
      <c r="J716" s="28">
        <f t="shared" si="740"/>
        <v>753.1</v>
      </c>
      <c r="K716" s="28">
        <f t="shared" si="740"/>
        <v>753.1</v>
      </c>
      <c r="L716" s="28">
        <f t="shared" si="740"/>
        <v>753.1</v>
      </c>
      <c r="M716" s="28">
        <f>M717</f>
        <v>753.1</v>
      </c>
      <c r="N716" s="28">
        <f t="shared" si="742"/>
        <v>700</v>
      </c>
      <c r="O716" s="27">
        <f t="shared" si="674"/>
        <v>92.949143540034513</v>
      </c>
    </row>
    <row r="717" spans="1:16" ht="15.75">
      <c r="A717" s="33" t="s">
        <v>327</v>
      </c>
      <c r="B717" s="216">
        <v>906</v>
      </c>
      <c r="C717" s="214" t="s">
        <v>317</v>
      </c>
      <c r="D717" s="214" t="s">
        <v>268</v>
      </c>
      <c r="E717" s="214" t="s">
        <v>872</v>
      </c>
      <c r="F717" s="214" t="s">
        <v>328</v>
      </c>
      <c r="G717" s="28">
        <v>0</v>
      </c>
      <c r="H717" s="28">
        <v>0</v>
      </c>
      <c r="I717" s="28">
        <v>0</v>
      </c>
      <c r="J717" s="28">
        <v>753.1</v>
      </c>
      <c r="K717" s="28">
        <v>753.1</v>
      </c>
      <c r="L717" s="28">
        <v>753.1</v>
      </c>
      <c r="M717" s="28">
        <v>753.1</v>
      </c>
      <c r="N717" s="28">
        <v>700</v>
      </c>
      <c r="O717" s="27">
        <f t="shared" ref="O717:O780" si="743">N717/M717*100</f>
        <v>92.949143540034513</v>
      </c>
    </row>
    <row r="718" spans="1:16" ht="15.75">
      <c r="A718" s="26" t="s">
        <v>519</v>
      </c>
      <c r="B718" s="216">
        <v>906</v>
      </c>
      <c r="C718" s="214" t="s">
        <v>317</v>
      </c>
      <c r="D718" s="214" t="s">
        <v>268</v>
      </c>
      <c r="E718" s="214" t="s">
        <v>175</v>
      </c>
      <c r="F718" s="214"/>
      <c r="G718" s="28">
        <f>G719</f>
        <v>1582.2</v>
      </c>
      <c r="H718" s="28">
        <f>H719</f>
        <v>812.7</v>
      </c>
      <c r="I718" s="28">
        <f t="shared" ref="I718:L718" si="744">I719</f>
        <v>1582.2</v>
      </c>
      <c r="J718" s="28">
        <f t="shared" si="744"/>
        <v>1582.2</v>
      </c>
      <c r="K718" s="28">
        <f t="shared" si="744"/>
        <v>1582.2</v>
      </c>
      <c r="L718" s="28">
        <f t="shared" si="744"/>
        <v>1582.2</v>
      </c>
      <c r="M718" s="28">
        <f t="shared" ref="M718:N718" si="745">M719</f>
        <v>1586.6</v>
      </c>
      <c r="N718" s="28">
        <f t="shared" si="745"/>
        <v>256.09999999999997</v>
      </c>
      <c r="O718" s="27">
        <f t="shared" si="743"/>
        <v>16.141434514055213</v>
      </c>
    </row>
    <row r="719" spans="1:16" ht="31.5">
      <c r="A719" s="26" t="s">
        <v>238</v>
      </c>
      <c r="B719" s="216">
        <v>906</v>
      </c>
      <c r="C719" s="214" t="s">
        <v>317</v>
      </c>
      <c r="D719" s="214" t="s">
        <v>268</v>
      </c>
      <c r="E719" s="214" t="s">
        <v>239</v>
      </c>
      <c r="F719" s="214"/>
      <c r="G719" s="28">
        <f>G720+G723+G726</f>
        <v>1582.2</v>
      </c>
      <c r="H719" s="28">
        <f>H720+H723+H726</f>
        <v>812.7</v>
      </c>
      <c r="I719" s="28">
        <f t="shared" ref="I719:L719" si="746">I720+I723+I726</f>
        <v>1582.2</v>
      </c>
      <c r="J719" s="28">
        <f t="shared" si="746"/>
        <v>1582.2</v>
      </c>
      <c r="K719" s="28">
        <f t="shared" si="746"/>
        <v>1582.2</v>
      </c>
      <c r="L719" s="28">
        <f t="shared" si="746"/>
        <v>1582.2</v>
      </c>
      <c r="M719" s="28">
        <f t="shared" ref="M719:N719" si="747">M720+M723+M726</f>
        <v>1586.6</v>
      </c>
      <c r="N719" s="28">
        <f t="shared" si="747"/>
        <v>256.09999999999997</v>
      </c>
      <c r="O719" s="27">
        <f t="shared" si="743"/>
        <v>16.141434514055213</v>
      </c>
    </row>
    <row r="720" spans="1:16" ht="63">
      <c r="A720" s="33" t="s">
        <v>342</v>
      </c>
      <c r="B720" s="216">
        <v>906</v>
      </c>
      <c r="C720" s="214" t="s">
        <v>317</v>
      </c>
      <c r="D720" s="214" t="s">
        <v>268</v>
      </c>
      <c r="E720" s="214" t="s">
        <v>343</v>
      </c>
      <c r="F720" s="214"/>
      <c r="G720" s="28">
        <f>G721</f>
        <v>110</v>
      </c>
      <c r="H720" s="28">
        <f>H721</f>
        <v>67.3</v>
      </c>
      <c r="I720" s="28">
        <f t="shared" ref="I720:L721" si="748">I721</f>
        <v>110</v>
      </c>
      <c r="J720" s="28">
        <f t="shared" si="748"/>
        <v>110</v>
      </c>
      <c r="K720" s="28">
        <f t="shared" si="748"/>
        <v>110</v>
      </c>
      <c r="L720" s="28">
        <f t="shared" si="748"/>
        <v>110</v>
      </c>
      <c r="M720" s="28">
        <f t="shared" ref="M720:N721" si="749">M721</f>
        <v>110</v>
      </c>
      <c r="N720" s="28">
        <f t="shared" si="749"/>
        <v>22.8</v>
      </c>
      <c r="O720" s="27">
        <f t="shared" si="743"/>
        <v>20.727272727272727</v>
      </c>
    </row>
    <row r="721" spans="1:15" ht="47.25">
      <c r="A721" s="26" t="s">
        <v>325</v>
      </c>
      <c r="B721" s="216">
        <v>906</v>
      </c>
      <c r="C721" s="214" t="s">
        <v>317</v>
      </c>
      <c r="D721" s="214" t="s">
        <v>268</v>
      </c>
      <c r="E721" s="214" t="s">
        <v>343</v>
      </c>
      <c r="F721" s="214" t="s">
        <v>326</v>
      </c>
      <c r="G721" s="28">
        <f>G722</f>
        <v>110</v>
      </c>
      <c r="H721" s="28">
        <f>H722</f>
        <v>67.3</v>
      </c>
      <c r="I721" s="28">
        <f t="shared" si="748"/>
        <v>110</v>
      </c>
      <c r="J721" s="28">
        <f t="shared" si="748"/>
        <v>110</v>
      </c>
      <c r="K721" s="28">
        <f t="shared" si="748"/>
        <v>110</v>
      </c>
      <c r="L721" s="28">
        <f t="shared" si="748"/>
        <v>110</v>
      </c>
      <c r="M721" s="28">
        <f t="shared" si="749"/>
        <v>110</v>
      </c>
      <c r="N721" s="28">
        <f t="shared" si="749"/>
        <v>22.8</v>
      </c>
      <c r="O721" s="27">
        <f t="shared" si="743"/>
        <v>20.727272727272727</v>
      </c>
    </row>
    <row r="722" spans="1:15" ht="15.75">
      <c r="A722" s="26" t="s">
        <v>327</v>
      </c>
      <c r="B722" s="216">
        <v>906</v>
      </c>
      <c r="C722" s="214" t="s">
        <v>317</v>
      </c>
      <c r="D722" s="214" t="s">
        <v>268</v>
      </c>
      <c r="E722" s="214" t="s">
        <v>343</v>
      </c>
      <c r="F722" s="214" t="s">
        <v>328</v>
      </c>
      <c r="G722" s="28">
        <v>110</v>
      </c>
      <c r="H722" s="28">
        <v>67.3</v>
      </c>
      <c r="I722" s="28">
        <v>110</v>
      </c>
      <c r="J722" s="28">
        <v>110</v>
      </c>
      <c r="K722" s="28">
        <v>110</v>
      </c>
      <c r="L722" s="28">
        <v>110</v>
      </c>
      <c r="M722" s="28">
        <v>110</v>
      </c>
      <c r="N722" s="28">
        <v>22.8</v>
      </c>
      <c r="O722" s="27">
        <f t="shared" si="743"/>
        <v>20.727272727272727</v>
      </c>
    </row>
    <row r="723" spans="1:15" ht="78.75">
      <c r="A723" s="33" t="s">
        <v>344</v>
      </c>
      <c r="B723" s="216">
        <v>906</v>
      </c>
      <c r="C723" s="214" t="s">
        <v>317</v>
      </c>
      <c r="D723" s="214" t="s">
        <v>268</v>
      </c>
      <c r="E723" s="214" t="s">
        <v>345</v>
      </c>
      <c r="F723" s="214"/>
      <c r="G723" s="28">
        <f>G724</f>
        <v>572.20000000000005</v>
      </c>
      <c r="H723" s="28">
        <f>H724</f>
        <v>334.1</v>
      </c>
      <c r="I723" s="28">
        <f t="shared" ref="I723:L724" si="750">I724</f>
        <v>572.20000000000005</v>
      </c>
      <c r="J723" s="28">
        <f t="shared" si="750"/>
        <v>572.20000000000005</v>
      </c>
      <c r="K723" s="28">
        <f t="shared" si="750"/>
        <v>572.20000000000005</v>
      </c>
      <c r="L723" s="28">
        <f t="shared" si="750"/>
        <v>572.20000000000005</v>
      </c>
      <c r="M723" s="28">
        <f t="shared" ref="M723:N724" si="751">M724</f>
        <v>592.1</v>
      </c>
      <c r="N723" s="28">
        <f t="shared" si="751"/>
        <v>98.6</v>
      </c>
      <c r="O723" s="27">
        <f t="shared" si="743"/>
        <v>16.652592467488596</v>
      </c>
    </row>
    <row r="724" spans="1:15" ht="47.25">
      <c r="A724" s="26" t="s">
        <v>325</v>
      </c>
      <c r="B724" s="216">
        <v>906</v>
      </c>
      <c r="C724" s="214" t="s">
        <v>317</v>
      </c>
      <c r="D724" s="214" t="s">
        <v>268</v>
      </c>
      <c r="E724" s="214" t="s">
        <v>345</v>
      </c>
      <c r="F724" s="214" t="s">
        <v>326</v>
      </c>
      <c r="G724" s="28">
        <f>G725</f>
        <v>572.20000000000005</v>
      </c>
      <c r="H724" s="28">
        <f>H725</f>
        <v>334.1</v>
      </c>
      <c r="I724" s="28">
        <f t="shared" si="750"/>
        <v>572.20000000000005</v>
      </c>
      <c r="J724" s="28">
        <f t="shared" si="750"/>
        <v>572.20000000000005</v>
      </c>
      <c r="K724" s="28">
        <f t="shared" si="750"/>
        <v>572.20000000000005</v>
      </c>
      <c r="L724" s="28">
        <f t="shared" si="750"/>
        <v>572.20000000000005</v>
      </c>
      <c r="M724" s="28">
        <f t="shared" si="751"/>
        <v>592.1</v>
      </c>
      <c r="N724" s="28">
        <f t="shared" si="751"/>
        <v>98.6</v>
      </c>
      <c r="O724" s="27">
        <f t="shared" si="743"/>
        <v>16.652592467488596</v>
      </c>
    </row>
    <row r="725" spans="1:15" ht="15.75">
      <c r="A725" s="26" t="s">
        <v>327</v>
      </c>
      <c r="B725" s="216">
        <v>906</v>
      </c>
      <c r="C725" s="214" t="s">
        <v>317</v>
      </c>
      <c r="D725" s="214" t="s">
        <v>268</v>
      </c>
      <c r="E725" s="214" t="s">
        <v>345</v>
      </c>
      <c r="F725" s="214" t="s">
        <v>328</v>
      </c>
      <c r="G725" s="28">
        <v>572.20000000000005</v>
      </c>
      <c r="H725" s="28">
        <v>334.1</v>
      </c>
      <c r="I725" s="28">
        <v>572.20000000000005</v>
      </c>
      <c r="J725" s="28">
        <v>572.20000000000005</v>
      </c>
      <c r="K725" s="28">
        <v>572.20000000000005</v>
      </c>
      <c r="L725" s="28">
        <v>572.20000000000005</v>
      </c>
      <c r="M725" s="28">
        <f>572.2+19.9</f>
        <v>592.1</v>
      </c>
      <c r="N725" s="28">
        <v>98.6</v>
      </c>
      <c r="O725" s="27">
        <f t="shared" si="743"/>
        <v>16.652592467488596</v>
      </c>
    </row>
    <row r="726" spans="1:15" ht="110.25">
      <c r="A726" s="33" t="s">
        <v>346</v>
      </c>
      <c r="B726" s="216">
        <v>906</v>
      </c>
      <c r="C726" s="214" t="s">
        <v>317</v>
      </c>
      <c r="D726" s="214" t="s">
        <v>268</v>
      </c>
      <c r="E726" s="214" t="s">
        <v>347</v>
      </c>
      <c r="F726" s="214"/>
      <c r="G726" s="28">
        <f>G727</f>
        <v>900</v>
      </c>
      <c r="H726" s="28">
        <f>H727</f>
        <v>411.3</v>
      </c>
      <c r="I726" s="28">
        <f t="shared" ref="I726:L727" si="752">I727</f>
        <v>900</v>
      </c>
      <c r="J726" s="28">
        <f t="shared" si="752"/>
        <v>900</v>
      </c>
      <c r="K726" s="28">
        <f t="shared" si="752"/>
        <v>900</v>
      </c>
      <c r="L726" s="28">
        <f t="shared" si="752"/>
        <v>900</v>
      </c>
      <c r="M726" s="28">
        <f t="shared" ref="M726:N727" si="753">M727</f>
        <v>884.5</v>
      </c>
      <c r="N726" s="28">
        <f t="shared" si="753"/>
        <v>134.69999999999999</v>
      </c>
      <c r="O726" s="27">
        <f t="shared" si="743"/>
        <v>15.228942905596382</v>
      </c>
    </row>
    <row r="727" spans="1:15" ht="47.25">
      <c r="A727" s="26" t="s">
        <v>325</v>
      </c>
      <c r="B727" s="216">
        <v>906</v>
      </c>
      <c r="C727" s="214" t="s">
        <v>317</v>
      </c>
      <c r="D727" s="214" t="s">
        <v>268</v>
      </c>
      <c r="E727" s="214" t="s">
        <v>347</v>
      </c>
      <c r="F727" s="214" t="s">
        <v>326</v>
      </c>
      <c r="G727" s="28">
        <f>G728</f>
        <v>900</v>
      </c>
      <c r="H727" s="28">
        <f>H728</f>
        <v>411.3</v>
      </c>
      <c r="I727" s="28">
        <f t="shared" si="752"/>
        <v>900</v>
      </c>
      <c r="J727" s="28">
        <f t="shared" si="752"/>
        <v>900</v>
      </c>
      <c r="K727" s="28">
        <f t="shared" si="752"/>
        <v>900</v>
      </c>
      <c r="L727" s="28">
        <f t="shared" si="752"/>
        <v>900</v>
      </c>
      <c r="M727" s="28">
        <f t="shared" si="753"/>
        <v>884.5</v>
      </c>
      <c r="N727" s="28">
        <f t="shared" si="753"/>
        <v>134.69999999999999</v>
      </c>
      <c r="O727" s="27">
        <f t="shared" si="743"/>
        <v>15.228942905596382</v>
      </c>
    </row>
    <row r="728" spans="1:15" ht="15.75">
      <c r="A728" s="26" t="s">
        <v>327</v>
      </c>
      <c r="B728" s="216">
        <v>906</v>
      </c>
      <c r="C728" s="214" t="s">
        <v>317</v>
      </c>
      <c r="D728" s="214" t="s">
        <v>268</v>
      </c>
      <c r="E728" s="214" t="s">
        <v>347</v>
      </c>
      <c r="F728" s="214" t="s">
        <v>328</v>
      </c>
      <c r="G728" s="28">
        <v>900</v>
      </c>
      <c r="H728" s="28">
        <v>411.3</v>
      </c>
      <c r="I728" s="28">
        <v>900</v>
      </c>
      <c r="J728" s="28">
        <v>900</v>
      </c>
      <c r="K728" s="28">
        <v>900</v>
      </c>
      <c r="L728" s="28">
        <v>900</v>
      </c>
      <c r="M728" s="28">
        <f>900-15.5</f>
        <v>884.5</v>
      </c>
      <c r="N728" s="28">
        <v>134.69999999999999</v>
      </c>
      <c r="O728" s="27">
        <f t="shared" si="743"/>
        <v>15.228942905596382</v>
      </c>
    </row>
    <row r="729" spans="1:15" ht="21" customHeight="1">
      <c r="A729" s="24" t="s">
        <v>520</v>
      </c>
      <c r="B729" s="213">
        <v>906</v>
      </c>
      <c r="C729" s="215" t="s">
        <v>317</v>
      </c>
      <c r="D729" s="215" t="s">
        <v>317</v>
      </c>
      <c r="E729" s="215"/>
      <c r="F729" s="215"/>
      <c r="G729" s="22">
        <f>G730+G735</f>
        <v>4788.6000000000004</v>
      </c>
      <c r="H729" s="22">
        <f>H730+H735</f>
        <v>4788.6000000000004</v>
      </c>
      <c r="I729" s="22">
        <f t="shared" ref="I729:L729" si="754">I730+I735</f>
        <v>4788.6000000000004</v>
      </c>
      <c r="J729" s="22">
        <f t="shared" si="754"/>
        <v>5474.8</v>
      </c>
      <c r="K729" s="22">
        <f t="shared" si="754"/>
        <v>5474.8</v>
      </c>
      <c r="L729" s="22">
        <f t="shared" si="754"/>
        <v>5474.8</v>
      </c>
      <c r="M729" s="22">
        <f t="shared" ref="M729:N729" si="755">M730+M735</f>
        <v>4788.8</v>
      </c>
      <c r="N729" s="22">
        <f t="shared" si="755"/>
        <v>0</v>
      </c>
      <c r="O729" s="22">
        <f t="shared" si="743"/>
        <v>0</v>
      </c>
    </row>
    <row r="730" spans="1:15" ht="47.25">
      <c r="A730" s="26" t="s">
        <v>480</v>
      </c>
      <c r="B730" s="216">
        <v>906</v>
      </c>
      <c r="C730" s="214" t="s">
        <v>317</v>
      </c>
      <c r="D730" s="214" t="s">
        <v>317</v>
      </c>
      <c r="E730" s="214" t="s">
        <v>460</v>
      </c>
      <c r="F730" s="214"/>
      <c r="G730" s="27">
        <f>G731</f>
        <v>3484.8</v>
      </c>
      <c r="H730" s="27">
        <f>H731</f>
        <v>3484.8</v>
      </c>
      <c r="I730" s="27">
        <f t="shared" ref="I730:L730" si="756">I731</f>
        <v>3484.8</v>
      </c>
      <c r="J730" s="27">
        <f t="shared" si="756"/>
        <v>4171</v>
      </c>
      <c r="K730" s="27">
        <f t="shared" si="756"/>
        <v>4171</v>
      </c>
      <c r="L730" s="27">
        <f t="shared" si="756"/>
        <v>4171</v>
      </c>
      <c r="M730" s="27">
        <f t="shared" ref="M730:N739" si="757">M731</f>
        <v>3485</v>
      </c>
      <c r="N730" s="27">
        <f t="shared" si="757"/>
        <v>0</v>
      </c>
      <c r="O730" s="27">
        <f t="shared" si="743"/>
        <v>0</v>
      </c>
    </row>
    <row r="731" spans="1:15" ht="31.5">
      <c r="A731" s="26" t="s">
        <v>521</v>
      </c>
      <c r="B731" s="216">
        <v>906</v>
      </c>
      <c r="C731" s="214" t="s">
        <v>317</v>
      </c>
      <c r="D731" s="214" t="s">
        <v>522</v>
      </c>
      <c r="E731" s="214" t="s">
        <v>523</v>
      </c>
      <c r="F731" s="214"/>
      <c r="G731" s="27">
        <f t="shared" ref="G731:L732" si="758">G732</f>
        <v>3484.8</v>
      </c>
      <c r="H731" s="27">
        <f t="shared" si="758"/>
        <v>3484.8</v>
      </c>
      <c r="I731" s="27">
        <f t="shared" si="758"/>
        <v>3484.8</v>
      </c>
      <c r="J731" s="27">
        <f t="shared" si="758"/>
        <v>4171</v>
      </c>
      <c r="K731" s="27">
        <f t="shared" si="758"/>
        <v>4171</v>
      </c>
      <c r="L731" s="27">
        <f t="shared" si="758"/>
        <v>4171</v>
      </c>
      <c r="M731" s="27">
        <f t="shared" si="757"/>
        <v>3485</v>
      </c>
      <c r="N731" s="27">
        <f t="shared" si="757"/>
        <v>0</v>
      </c>
      <c r="O731" s="27">
        <f t="shared" si="743"/>
        <v>0</v>
      </c>
    </row>
    <row r="732" spans="1:15" ht="47.25">
      <c r="A732" s="26" t="s">
        <v>524</v>
      </c>
      <c r="B732" s="216">
        <v>906</v>
      </c>
      <c r="C732" s="214" t="s">
        <v>317</v>
      </c>
      <c r="D732" s="214" t="s">
        <v>317</v>
      </c>
      <c r="E732" s="214" t="s">
        <v>525</v>
      </c>
      <c r="F732" s="214"/>
      <c r="G732" s="27">
        <f>G733</f>
        <v>3484.8</v>
      </c>
      <c r="H732" s="27">
        <f>H733</f>
        <v>3484.8</v>
      </c>
      <c r="I732" s="27">
        <f t="shared" si="758"/>
        <v>3484.8</v>
      </c>
      <c r="J732" s="27">
        <f t="shared" si="758"/>
        <v>4171</v>
      </c>
      <c r="K732" s="27">
        <f t="shared" si="758"/>
        <v>4171</v>
      </c>
      <c r="L732" s="27">
        <f t="shared" si="758"/>
        <v>4171</v>
      </c>
      <c r="M732" s="27">
        <f t="shared" si="757"/>
        <v>3485</v>
      </c>
      <c r="N732" s="27">
        <f t="shared" si="757"/>
        <v>0</v>
      </c>
      <c r="O732" s="27">
        <f t="shared" si="743"/>
        <v>0</v>
      </c>
    </row>
    <row r="733" spans="1:15" ht="47.25">
      <c r="A733" s="26" t="s">
        <v>325</v>
      </c>
      <c r="B733" s="216">
        <v>906</v>
      </c>
      <c r="C733" s="214" t="s">
        <v>317</v>
      </c>
      <c r="D733" s="214" t="s">
        <v>317</v>
      </c>
      <c r="E733" s="214" t="s">
        <v>525</v>
      </c>
      <c r="F733" s="214" t="s">
        <v>326</v>
      </c>
      <c r="G733" s="27">
        <f t="shared" ref="G733:L739" si="759">G734</f>
        <v>3484.8</v>
      </c>
      <c r="H733" s="27">
        <f t="shared" si="759"/>
        <v>3484.8</v>
      </c>
      <c r="I733" s="27">
        <f t="shared" si="759"/>
        <v>3484.8</v>
      </c>
      <c r="J733" s="27">
        <f t="shared" si="759"/>
        <v>4171</v>
      </c>
      <c r="K733" s="27">
        <f t="shared" si="759"/>
        <v>4171</v>
      </c>
      <c r="L733" s="27">
        <f t="shared" si="759"/>
        <v>4171</v>
      </c>
      <c r="M733" s="27">
        <f t="shared" si="757"/>
        <v>3485</v>
      </c>
      <c r="N733" s="27">
        <f t="shared" si="757"/>
        <v>0</v>
      </c>
      <c r="O733" s="27">
        <f t="shared" si="743"/>
        <v>0</v>
      </c>
    </row>
    <row r="734" spans="1:15" ht="15.75">
      <c r="A734" s="26" t="s">
        <v>327</v>
      </c>
      <c r="B734" s="216">
        <v>906</v>
      </c>
      <c r="C734" s="214" t="s">
        <v>317</v>
      </c>
      <c r="D734" s="214" t="s">
        <v>317</v>
      </c>
      <c r="E734" s="214" t="s">
        <v>525</v>
      </c>
      <c r="F734" s="214" t="s">
        <v>328</v>
      </c>
      <c r="G734" s="28">
        <v>3484.8</v>
      </c>
      <c r="H734" s="28">
        <v>3484.8</v>
      </c>
      <c r="I734" s="28">
        <v>3484.8</v>
      </c>
      <c r="J734" s="28">
        <v>4171</v>
      </c>
      <c r="K734" s="28">
        <v>4171</v>
      </c>
      <c r="L734" s="28">
        <v>4171</v>
      </c>
      <c r="M734" s="28">
        <v>3485</v>
      </c>
      <c r="N734" s="28">
        <v>0</v>
      </c>
      <c r="O734" s="27">
        <f t="shared" si="743"/>
        <v>0</v>
      </c>
    </row>
    <row r="735" spans="1:15" ht="15.75">
      <c r="A735" s="26" t="s">
        <v>174</v>
      </c>
      <c r="B735" s="216">
        <v>906</v>
      </c>
      <c r="C735" s="214" t="s">
        <v>317</v>
      </c>
      <c r="D735" s="214" t="s">
        <v>317</v>
      </c>
      <c r="E735" s="214" t="s">
        <v>175</v>
      </c>
      <c r="F735" s="214"/>
      <c r="G735" s="27">
        <f t="shared" ref="G735:L735" si="760">G736</f>
        <v>1303.8000000000002</v>
      </c>
      <c r="H735" s="27">
        <f t="shared" si="760"/>
        <v>1303.8000000000002</v>
      </c>
      <c r="I735" s="27">
        <f t="shared" si="760"/>
        <v>1303.8000000000002</v>
      </c>
      <c r="J735" s="27">
        <f t="shared" si="760"/>
        <v>1303.8000000000002</v>
      </c>
      <c r="K735" s="27">
        <f t="shared" si="760"/>
        <v>1303.8000000000002</v>
      </c>
      <c r="L735" s="27">
        <f t="shared" si="760"/>
        <v>1303.8000000000002</v>
      </c>
      <c r="M735" s="27">
        <f t="shared" ref="M735:N735" si="761">M736</f>
        <v>1303.8</v>
      </c>
      <c r="N735" s="27">
        <f t="shared" si="761"/>
        <v>0</v>
      </c>
      <c r="O735" s="27">
        <f t="shared" si="743"/>
        <v>0</v>
      </c>
    </row>
    <row r="736" spans="1:15" ht="31.5">
      <c r="A736" s="26" t="s">
        <v>238</v>
      </c>
      <c r="B736" s="216">
        <v>906</v>
      </c>
      <c r="C736" s="214" t="s">
        <v>317</v>
      </c>
      <c r="D736" s="214" t="s">
        <v>317</v>
      </c>
      <c r="E736" s="214" t="s">
        <v>239</v>
      </c>
      <c r="F736" s="214"/>
      <c r="G736" s="27">
        <f>G738</f>
        <v>1303.8000000000002</v>
      </c>
      <c r="H736" s="27">
        <f>H738</f>
        <v>1303.8000000000002</v>
      </c>
      <c r="I736" s="27">
        <f t="shared" ref="I736:L736" si="762">I738</f>
        <v>1303.8000000000002</v>
      </c>
      <c r="J736" s="27">
        <f t="shared" si="762"/>
        <v>1303.8000000000002</v>
      </c>
      <c r="K736" s="27">
        <f t="shared" si="762"/>
        <v>1303.8000000000002</v>
      </c>
      <c r="L736" s="27">
        <f t="shared" si="762"/>
        <v>1303.8000000000002</v>
      </c>
      <c r="M736" s="27">
        <f t="shared" ref="M736:N736" si="763">M738</f>
        <v>1303.8</v>
      </c>
      <c r="N736" s="27">
        <f t="shared" si="763"/>
        <v>0</v>
      </c>
      <c r="O736" s="27">
        <f t="shared" si="743"/>
        <v>0</v>
      </c>
    </row>
    <row r="737" spans="1:15" ht="63" hidden="1" customHeight="1">
      <c r="A737" s="26" t="s">
        <v>526</v>
      </c>
      <c r="B737" s="216">
        <v>906</v>
      </c>
      <c r="C737" s="214" t="s">
        <v>317</v>
      </c>
      <c r="D737" s="214" t="s">
        <v>317</v>
      </c>
      <c r="E737" s="214" t="s">
        <v>527</v>
      </c>
      <c r="F737" s="214"/>
      <c r="G737" s="27">
        <f t="shared" si="759"/>
        <v>1303.8000000000002</v>
      </c>
      <c r="H737" s="27">
        <f t="shared" si="759"/>
        <v>1303.8000000000002</v>
      </c>
      <c r="I737" s="27">
        <f t="shared" si="759"/>
        <v>1303.8000000000002</v>
      </c>
      <c r="J737" s="27">
        <f t="shared" si="759"/>
        <v>1303.8000000000002</v>
      </c>
      <c r="K737" s="27">
        <f t="shared" si="759"/>
        <v>1303.8000000000002</v>
      </c>
      <c r="L737" s="27">
        <f t="shared" si="759"/>
        <v>1303.8000000000002</v>
      </c>
      <c r="M737" s="27">
        <f t="shared" si="757"/>
        <v>1303.8</v>
      </c>
      <c r="N737" s="27">
        <f t="shared" si="757"/>
        <v>0</v>
      </c>
      <c r="O737" s="27">
        <f t="shared" si="743"/>
        <v>0</v>
      </c>
    </row>
    <row r="738" spans="1:15" ht="31.5">
      <c r="A738" s="33" t="s">
        <v>528</v>
      </c>
      <c r="B738" s="216">
        <v>906</v>
      </c>
      <c r="C738" s="214" t="s">
        <v>317</v>
      </c>
      <c r="D738" s="214" t="s">
        <v>317</v>
      </c>
      <c r="E738" s="214" t="s">
        <v>529</v>
      </c>
      <c r="F738" s="214"/>
      <c r="G738" s="27">
        <f t="shared" si="759"/>
        <v>1303.8000000000002</v>
      </c>
      <c r="H738" s="27">
        <f t="shared" si="759"/>
        <v>1303.8000000000002</v>
      </c>
      <c r="I738" s="27">
        <f t="shared" si="759"/>
        <v>1303.8000000000002</v>
      </c>
      <c r="J738" s="27">
        <f t="shared" si="759"/>
        <v>1303.8000000000002</v>
      </c>
      <c r="K738" s="27">
        <f t="shared" si="759"/>
        <v>1303.8000000000002</v>
      </c>
      <c r="L738" s="27">
        <f t="shared" si="759"/>
        <v>1303.8000000000002</v>
      </c>
      <c r="M738" s="27">
        <f t="shared" si="757"/>
        <v>1303.8</v>
      </c>
      <c r="N738" s="27">
        <f t="shared" si="757"/>
        <v>0</v>
      </c>
      <c r="O738" s="27">
        <f t="shared" si="743"/>
        <v>0</v>
      </c>
    </row>
    <row r="739" spans="1:15" ht="47.25">
      <c r="A739" s="26" t="s">
        <v>325</v>
      </c>
      <c r="B739" s="216">
        <v>906</v>
      </c>
      <c r="C739" s="214" t="s">
        <v>317</v>
      </c>
      <c r="D739" s="214" t="s">
        <v>317</v>
      </c>
      <c r="E739" s="214" t="s">
        <v>529</v>
      </c>
      <c r="F739" s="214" t="s">
        <v>326</v>
      </c>
      <c r="G739" s="27">
        <f>G740</f>
        <v>1303.8000000000002</v>
      </c>
      <c r="H739" s="27">
        <f>H740</f>
        <v>1303.8000000000002</v>
      </c>
      <c r="I739" s="27">
        <f t="shared" si="759"/>
        <v>1303.8000000000002</v>
      </c>
      <c r="J739" s="27">
        <f t="shared" si="759"/>
        <v>1303.8000000000002</v>
      </c>
      <c r="K739" s="27">
        <f t="shared" si="759"/>
        <v>1303.8000000000002</v>
      </c>
      <c r="L739" s="27">
        <f t="shared" si="759"/>
        <v>1303.8000000000002</v>
      </c>
      <c r="M739" s="27">
        <f t="shared" si="757"/>
        <v>1303.8</v>
      </c>
      <c r="N739" s="27">
        <f t="shared" si="757"/>
        <v>0</v>
      </c>
      <c r="O739" s="27">
        <f t="shared" si="743"/>
        <v>0</v>
      </c>
    </row>
    <row r="740" spans="1:15" ht="15.75">
      <c r="A740" s="26" t="s">
        <v>327</v>
      </c>
      <c r="B740" s="216">
        <v>906</v>
      </c>
      <c r="C740" s="214" t="s">
        <v>317</v>
      </c>
      <c r="D740" s="214" t="s">
        <v>317</v>
      </c>
      <c r="E740" s="214" t="s">
        <v>529</v>
      </c>
      <c r="F740" s="214" t="s">
        <v>328</v>
      </c>
      <c r="G740" s="28">
        <f>1660.4-356.6</f>
        <v>1303.8000000000002</v>
      </c>
      <c r="H740" s="28">
        <f>1660.4-356.6</f>
        <v>1303.8000000000002</v>
      </c>
      <c r="I740" s="28">
        <f t="shared" ref="I740:L740" si="764">1660.4-356.6</f>
        <v>1303.8000000000002</v>
      </c>
      <c r="J740" s="28">
        <f t="shared" si="764"/>
        <v>1303.8000000000002</v>
      </c>
      <c r="K740" s="28">
        <f t="shared" si="764"/>
        <v>1303.8000000000002</v>
      </c>
      <c r="L740" s="28">
        <f t="shared" si="764"/>
        <v>1303.8000000000002</v>
      </c>
      <c r="M740" s="28">
        <f>'прил.№1 доходы'!I108</f>
        <v>1303.8</v>
      </c>
      <c r="N740" s="28">
        <v>0</v>
      </c>
      <c r="O740" s="27">
        <f t="shared" si="743"/>
        <v>0</v>
      </c>
    </row>
    <row r="741" spans="1:15" ht="15.75">
      <c r="A741" s="24" t="s">
        <v>348</v>
      </c>
      <c r="B741" s="213">
        <v>906</v>
      </c>
      <c r="C741" s="215" t="s">
        <v>317</v>
      </c>
      <c r="D741" s="215" t="s">
        <v>272</v>
      </c>
      <c r="E741" s="215"/>
      <c r="F741" s="215"/>
      <c r="G741" s="22">
        <f>G742+G751</f>
        <v>18322.300000000003</v>
      </c>
      <c r="H741" s="22">
        <f t="shared" ref="H741:L741" si="765">H742+H751</f>
        <v>13841.999999999998</v>
      </c>
      <c r="I741" s="22">
        <f t="shared" si="765"/>
        <v>18662.7</v>
      </c>
      <c r="J741" s="22">
        <f t="shared" si="765"/>
        <v>19851.600000000002</v>
      </c>
      <c r="K741" s="22">
        <f t="shared" si="765"/>
        <v>19974.900000000001</v>
      </c>
      <c r="L741" s="22">
        <f t="shared" si="765"/>
        <v>20099.5</v>
      </c>
      <c r="M741" s="22">
        <f t="shared" ref="M741:N741" si="766">M742+M751</f>
        <v>18425.5</v>
      </c>
      <c r="N741" s="22">
        <f t="shared" si="766"/>
        <v>3976.9</v>
      </c>
      <c r="O741" s="22">
        <f t="shared" si="743"/>
        <v>21.583674798512931</v>
      </c>
    </row>
    <row r="742" spans="1:15" ht="47.25" hidden="1">
      <c r="A742" s="26" t="s">
        <v>387</v>
      </c>
      <c r="B742" s="216">
        <v>906</v>
      </c>
      <c r="C742" s="214" t="s">
        <v>317</v>
      </c>
      <c r="D742" s="214" t="s">
        <v>272</v>
      </c>
      <c r="E742" s="214" t="s">
        <v>388</v>
      </c>
      <c r="F742" s="214"/>
      <c r="G742" s="27">
        <f>G743+G746</f>
        <v>20</v>
      </c>
      <c r="H742" s="27">
        <f>H743+H746</f>
        <v>0</v>
      </c>
      <c r="I742" s="27">
        <f t="shared" ref="I742:L742" si="767">I743+I746</f>
        <v>20</v>
      </c>
      <c r="J742" s="27">
        <f t="shared" si="767"/>
        <v>0</v>
      </c>
      <c r="K742" s="27">
        <f t="shared" si="767"/>
        <v>0</v>
      </c>
      <c r="L742" s="27">
        <f t="shared" si="767"/>
        <v>0</v>
      </c>
      <c r="M742" s="27">
        <f t="shared" ref="M742:N742" si="768">M743+M746</f>
        <v>0</v>
      </c>
      <c r="N742" s="27">
        <f t="shared" si="768"/>
        <v>0</v>
      </c>
      <c r="O742" s="22" t="e">
        <f t="shared" si="743"/>
        <v>#DIV/0!</v>
      </c>
    </row>
    <row r="743" spans="1:15" ht="31.5" hidden="1" customHeight="1">
      <c r="A743" s="26" t="s">
        <v>389</v>
      </c>
      <c r="B743" s="216">
        <v>906</v>
      </c>
      <c r="C743" s="214" t="s">
        <v>317</v>
      </c>
      <c r="D743" s="214" t="s">
        <v>272</v>
      </c>
      <c r="E743" s="214" t="s">
        <v>390</v>
      </c>
      <c r="F743" s="214"/>
      <c r="G743" s="27">
        <f>G744</f>
        <v>0</v>
      </c>
      <c r="H743" s="27">
        <f>H744</f>
        <v>0</v>
      </c>
      <c r="I743" s="27">
        <f t="shared" ref="I743:L744" si="769">I744</f>
        <v>0</v>
      </c>
      <c r="J743" s="27">
        <f t="shared" si="769"/>
        <v>0</v>
      </c>
      <c r="K743" s="27">
        <f t="shared" si="769"/>
        <v>0</v>
      </c>
      <c r="L743" s="27">
        <f t="shared" si="769"/>
        <v>0</v>
      </c>
      <c r="M743" s="27">
        <f t="shared" ref="M743:N744" si="770">M744</f>
        <v>0</v>
      </c>
      <c r="N743" s="27">
        <f t="shared" si="770"/>
        <v>0</v>
      </c>
      <c r="O743" s="22" t="e">
        <f t="shared" si="743"/>
        <v>#DIV/0!</v>
      </c>
    </row>
    <row r="744" spans="1:15" ht="31.5" hidden="1" customHeight="1">
      <c r="A744" s="26" t="s">
        <v>184</v>
      </c>
      <c r="B744" s="216">
        <v>906</v>
      </c>
      <c r="C744" s="214" t="s">
        <v>317</v>
      </c>
      <c r="D744" s="214" t="s">
        <v>272</v>
      </c>
      <c r="E744" s="214" t="s">
        <v>390</v>
      </c>
      <c r="F744" s="214" t="s">
        <v>185</v>
      </c>
      <c r="G744" s="27">
        <f>G745</f>
        <v>0</v>
      </c>
      <c r="H744" s="27">
        <f>H745</f>
        <v>0</v>
      </c>
      <c r="I744" s="27">
        <f t="shared" si="769"/>
        <v>0</v>
      </c>
      <c r="J744" s="27">
        <f t="shared" si="769"/>
        <v>0</v>
      </c>
      <c r="K744" s="27">
        <f t="shared" si="769"/>
        <v>0</v>
      </c>
      <c r="L744" s="27">
        <f t="shared" si="769"/>
        <v>0</v>
      </c>
      <c r="M744" s="27">
        <f t="shared" si="770"/>
        <v>0</v>
      </c>
      <c r="N744" s="27">
        <f t="shared" si="770"/>
        <v>0</v>
      </c>
      <c r="O744" s="22" t="e">
        <f t="shared" si="743"/>
        <v>#DIV/0!</v>
      </c>
    </row>
    <row r="745" spans="1:15" ht="47.25" hidden="1" customHeight="1">
      <c r="A745" s="26" t="s">
        <v>186</v>
      </c>
      <c r="B745" s="216">
        <v>906</v>
      </c>
      <c r="C745" s="214" t="s">
        <v>317</v>
      </c>
      <c r="D745" s="214" t="s">
        <v>272</v>
      </c>
      <c r="E745" s="214" t="s">
        <v>390</v>
      </c>
      <c r="F745" s="214" t="s">
        <v>187</v>
      </c>
      <c r="G745" s="27">
        <f>50-50</f>
        <v>0</v>
      </c>
      <c r="H745" s="27">
        <f>50-50</f>
        <v>0</v>
      </c>
      <c r="I745" s="27">
        <f t="shared" ref="I745:L745" si="771">50-50</f>
        <v>0</v>
      </c>
      <c r="J745" s="27">
        <f t="shared" si="771"/>
        <v>0</v>
      </c>
      <c r="K745" s="27">
        <f t="shared" si="771"/>
        <v>0</v>
      </c>
      <c r="L745" s="27">
        <f t="shared" si="771"/>
        <v>0</v>
      </c>
      <c r="M745" s="27">
        <f t="shared" ref="M745:N745" si="772">50-50</f>
        <v>0</v>
      </c>
      <c r="N745" s="27">
        <f t="shared" si="772"/>
        <v>0</v>
      </c>
      <c r="O745" s="22" t="e">
        <f t="shared" si="743"/>
        <v>#DIV/0!</v>
      </c>
    </row>
    <row r="746" spans="1:15" ht="63" hidden="1">
      <c r="A746" s="26" t="s">
        <v>530</v>
      </c>
      <c r="B746" s="216">
        <v>906</v>
      </c>
      <c r="C746" s="214" t="s">
        <v>317</v>
      </c>
      <c r="D746" s="214" t="s">
        <v>272</v>
      </c>
      <c r="E746" s="214" t="s">
        <v>531</v>
      </c>
      <c r="F746" s="214"/>
      <c r="G746" s="27">
        <f>G747+G749</f>
        <v>20</v>
      </c>
      <c r="H746" s="27">
        <f>H747+H749</f>
        <v>0</v>
      </c>
      <c r="I746" s="27">
        <f t="shared" ref="I746:L746" si="773">I747+I749</f>
        <v>20</v>
      </c>
      <c r="J746" s="27">
        <f t="shared" si="773"/>
        <v>0</v>
      </c>
      <c r="K746" s="27">
        <f t="shared" si="773"/>
        <v>0</v>
      </c>
      <c r="L746" s="27">
        <f t="shared" si="773"/>
        <v>0</v>
      </c>
      <c r="M746" s="27">
        <f t="shared" ref="M746:N746" si="774">M747+M749</f>
        <v>0</v>
      </c>
      <c r="N746" s="27">
        <f t="shared" si="774"/>
        <v>0</v>
      </c>
      <c r="O746" s="22" t="e">
        <f t="shared" si="743"/>
        <v>#DIV/0!</v>
      </c>
    </row>
    <row r="747" spans="1:15" ht="94.5" hidden="1">
      <c r="A747" s="26" t="s">
        <v>180</v>
      </c>
      <c r="B747" s="216">
        <v>906</v>
      </c>
      <c r="C747" s="214" t="s">
        <v>317</v>
      </c>
      <c r="D747" s="214" t="s">
        <v>272</v>
      </c>
      <c r="E747" s="214" t="s">
        <v>531</v>
      </c>
      <c r="F747" s="214" t="s">
        <v>181</v>
      </c>
      <c r="G747" s="27">
        <f>G748</f>
        <v>5</v>
      </c>
      <c r="H747" s="27">
        <f>H748</f>
        <v>0</v>
      </c>
      <c r="I747" s="27">
        <f t="shared" ref="I747:L747" si="775">I748</f>
        <v>5</v>
      </c>
      <c r="J747" s="27">
        <f t="shared" si="775"/>
        <v>0</v>
      </c>
      <c r="K747" s="27">
        <f t="shared" si="775"/>
        <v>0</v>
      </c>
      <c r="L747" s="27">
        <f t="shared" si="775"/>
        <v>0</v>
      </c>
      <c r="M747" s="27">
        <f t="shared" ref="M747:N747" si="776">M748</f>
        <v>0</v>
      </c>
      <c r="N747" s="27">
        <f t="shared" si="776"/>
        <v>0</v>
      </c>
      <c r="O747" s="22" t="e">
        <f t="shared" si="743"/>
        <v>#DIV/0!</v>
      </c>
    </row>
    <row r="748" spans="1:15" ht="31.5" hidden="1">
      <c r="A748" s="26" t="s">
        <v>395</v>
      </c>
      <c r="B748" s="216">
        <v>906</v>
      </c>
      <c r="C748" s="214" t="s">
        <v>317</v>
      </c>
      <c r="D748" s="214" t="s">
        <v>272</v>
      </c>
      <c r="E748" s="214" t="s">
        <v>531</v>
      </c>
      <c r="F748" s="214" t="s">
        <v>262</v>
      </c>
      <c r="G748" s="27">
        <v>5</v>
      </c>
      <c r="H748" s="27">
        <v>0</v>
      </c>
      <c r="I748" s="27">
        <v>5</v>
      </c>
      <c r="J748" s="27">
        <v>0</v>
      </c>
      <c r="K748" s="27">
        <v>0</v>
      </c>
      <c r="L748" s="27">
        <v>0</v>
      </c>
      <c r="M748" s="27">
        <v>0</v>
      </c>
      <c r="N748" s="27">
        <v>0</v>
      </c>
      <c r="O748" s="22" t="e">
        <f t="shared" si="743"/>
        <v>#DIV/0!</v>
      </c>
    </row>
    <row r="749" spans="1:15" ht="31.5" hidden="1">
      <c r="A749" s="26" t="s">
        <v>184</v>
      </c>
      <c r="B749" s="216">
        <v>906</v>
      </c>
      <c r="C749" s="214" t="s">
        <v>317</v>
      </c>
      <c r="D749" s="214" t="s">
        <v>272</v>
      </c>
      <c r="E749" s="214" t="s">
        <v>531</v>
      </c>
      <c r="F749" s="214" t="s">
        <v>185</v>
      </c>
      <c r="G749" s="27">
        <f>G750</f>
        <v>15</v>
      </c>
      <c r="H749" s="27">
        <f>H750</f>
        <v>0</v>
      </c>
      <c r="I749" s="27">
        <f t="shared" ref="I749:L749" si="777">I750</f>
        <v>15</v>
      </c>
      <c r="J749" s="27">
        <f t="shared" si="777"/>
        <v>0</v>
      </c>
      <c r="K749" s="27">
        <f t="shared" si="777"/>
        <v>0</v>
      </c>
      <c r="L749" s="27">
        <f t="shared" si="777"/>
        <v>0</v>
      </c>
      <c r="M749" s="27">
        <f t="shared" ref="M749:N749" si="778">M750</f>
        <v>0</v>
      </c>
      <c r="N749" s="27">
        <f t="shared" si="778"/>
        <v>0</v>
      </c>
      <c r="O749" s="22" t="e">
        <f t="shared" si="743"/>
        <v>#DIV/0!</v>
      </c>
    </row>
    <row r="750" spans="1:15" ht="47.25" hidden="1">
      <c r="A750" s="26" t="s">
        <v>186</v>
      </c>
      <c r="B750" s="216">
        <v>906</v>
      </c>
      <c r="C750" s="214" t="s">
        <v>317</v>
      </c>
      <c r="D750" s="214" t="s">
        <v>272</v>
      </c>
      <c r="E750" s="214" t="s">
        <v>531</v>
      </c>
      <c r="F750" s="214" t="s">
        <v>187</v>
      </c>
      <c r="G750" s="27">
        <v>15</v>
      </c>
      <c r="H750" s="27">
        <v>0</v>
      </c>
      <c r="I750" s="27">
        <v>15</v>
      </c>
      <c r="J750" s="27">
        <v>0</v>
      </c>
      <c r="K750" s="27">
        <v>0</v>
      </c>
      <c r="L750" s="27">
        <v>0</v>
      </c>
      <c r="M750" s="27">
        <v>0</v>
      </c>
      <c r="N750" s="27">
        <v>0</v>
      </c>
      <c r="O750" s="22" t="e">
        <f t="shared" si="743"/>
        <v>#DIV/0!</v>
      </c>
    </row>
    <row r="751" spans="1:15" ht="15.75">
      <c r="A751" s="26" t="s">
        <v>174</v>
      </c>
      <c r="B751" s="216">
        <v>906</v>
      </c>
      <c r="C751" s="214" t="s">
        <v>317</v>
      </c>
      <c r="D751" s="214" t="s">
        <v>272</v>
      </c>
      <c r="E751" s="214" t="s">
        <v>175</v>
      </c>
      <c r="F751" s="214"/>
      <c r="G751" s="27">
        <f>G752+G758</f>
        <v>18302.300000000003</v>
      </c>
      <c r="H751" s="27">
        <f>H752+H758</f>
        <v>13841.999999999998</v>
      </c>
      <c r="I751" s="27">
        <f t="shared" ref="I751:L751" si="779">I752+I758</f>
        <v>18642.7</v>
      </c>
      <c r="J751" s="27">
        <f t="shared" si="779"/>
        <v>19851.600000000002</v>
      </c>
      <c r="K751" s="27">
        <f t="shared" si="779"/>
        <v>19974.900000000001</v>
      </c>
      <c r="L751" s="27">
        <f t="shared" si="779"/>
        <v>20099.5</v>
      </c>
      <c r="M751" s="27">
        <f t="shared" ref="M751:N751" si="780">M752+M758</f>
        <v>18425.5</v>
      </c>
      <c r="N751" s="27">
        <f t="shared" si="780"/>
        <v>3976.9</v>
      </c>
      <c r="O751" s="27">
        <f t="shared" si="743"/>
        <v>21.583674798512931</v>
      </c>
    </row>
    <row r="752" spans="1:15" ht="31.5">
      <c r="A752" s="26" t="s">
        <v>176</v>
      </c>
      <c r="B752" s="216">
        <v>906</v>
      </c>
      <c r="C752" s="214" t="s">
        <v>317</v>
      </c>
      <c r="D752" s="214" t="s">
        <v>272</v>
      </c>
      <c r="E752" s="214" t="s">
        <v>177</v>
      </c>
      <c r="F752" s="214"/>
      <c r="G752" s="27">
        <f t="shared" ref="G752:L752" si="781">G753</f>
        <v>5138.7</v>
      </c>
      <c r="H752" s="27">
        <f t="shared" si="781"/>
        <v>4105</v>
      </c>
      <c r="I752" s="27">
        <f t="shared" si="781"/>
        <v>5221.4000000000005</v>
      </c>
      <c r="J752" s="27">
        <f t="shared" si="781"/>
        <v>5488.3</v>
      </c>
      <c r="K752" s="27">
        <f t="shared" si="781"/>
        <v>5488.3</v>
      </c>
      <c r="L752" s="27">
        <f t="shared" si="781"/>
        <v>5488.3</v>
      </c>
      <c r="M752" s="27">
        <f t="shared" ref="M752:N752" si="782">M753</f>
        <v>5276.7</v>
      </c>
      <c r="N752" s="27">
        <f t="shared" si="782"/>
        <v>1163.0999999999999</v>
      </c>
      <c r="O752" s="27">
        <f t="shared" si="743"/>
        <v>22.042185456819603</v>
      </c>
    </row>
    <row r="753" spans="1:15" ht="47.25">
      <c r="A753" s="26" t="s">
        <v>178</v>
      </c>
      <c r="B753" s="216">
        <v>906</v>
      </c>
      <c r="C753" s="214" t="s">
        <v>317</v>
      </c>
      <c r="D753" s="214" t="s">
        <v>272</v>
      </c>
      <c r="E753" s="214" t="s">
        <v>179</v>
      </c>
      <c r="F753" s="214"/>
      <c r="G753" s="27">
        <f>G754+G756</f>
        <v>5138.7</v>
      </c>
      <c r="H753" s="27">
        <f>H754+H756</f>
        <v>4105</v>
      </c>
      <c r="I753" s="27">
        <f t="shared" ref="I753:L753" si="783">I754+I756</f>
        <v>5221.4000000000005</v>
      </c>
      <c r="J753" s="27">
        <f t="shared" si="783"/>
        <v>5488.3</v>
      </c>
      <c r="K753" s="27">
        <f t="shared" si="783"/>
        <v>5488.3</v>
      </c>
      <c r="L753" s="27">
        <f t="shared" si="783"/>
        <v>5488.3</v>
      </c>
      <c r="M753" s="27">
        <f t="shared" ref="M753:N753" si="784">M754+M756</f>
        <v>5276.7</v>
      </c>
      <c r="N753" s="27">
        <f t="shared" si="784"/>
        <v>1163.0999999999999</v>
      </c>
      <c r="O753" s="27">
        <f t="shared" si="743"/>
        <v>22.042185456819603</v>
      </c>
    </row>
    <row r="754" spans="1:15" ht="94.5">
      <c r="A754" s="26" t="s">
        <v>180</v>
      </c>
      <c r="B754" s="216">
        <v>906</v>
      </c>
      <c r="C754" s="214" t="s">
        <v>317</v>
      </c>
      <c r="D754" s="214" t="s">
        <v>272</v>
      </c>
      <c r="E754" s="214" t="s">
        <v>179</v>
      </c>
      <c r="F754" s="214" t="s">
        <v>181</v>
      </c>
      <c r="G754" s="27">
        <f t="shared" ref="G754:L754" si="785">G755</f>
        <v>4981.5</v>
      </c>
      <c r="H754" s="27">
        <f t="shared" si="785"/>
        <v>4009.1</v>
      </c>
      <c r="I754" s="27">
        <f t="shared" si="785"/>
        <v>5072.6000000000004</v>
      </c>
      <c r="J754" s="27">
        <f t="shared" si="785"/>
        <v>4925.5</v>
      </c>
      <c r="K754" s="27">
        <f t="shared" si="785"/>
        <v>4925.5</v>
      </c>
      <c r="L754" s="27">
        <f t="shared" si="785"/>
        <v>4925.5</v>
      </c>
      <c r="M754" s="27">
        <f t="shared" ref="M754:N754" si="786">M755</f>
        <v>5119.5</v>
      </c>
      <c r="N754" s="27">
        <f t="shared" si="786"/>
        <v>1133.5</v>
      </c>
      <c r="O754" s="27">
        <f t="shared" si="743"/>
        <v>22.140834065826741</v>
      </c>
    </row>
    <row r="755" spans="1:15" ht="31.5">
      <c r="A755" s="26" t="s">
        <v>182</v>
      </c>
      <c r="B755" s="216">
        <v>906</v>
      </c>
      <c r="C755" s="214" t="s">
        <v>317</v>
      </c>
      <c r="D755" s="214" t="s">
        <v>272</v>
      </c>
      <c r="E755" s="214" t="s">
        <v>179</v>
      </c>
      <c r="F755" s="214" t="s">
        <v>183</v>
      </c>
      <c r="G755" s="28">
        <f>4975.7+5.8</f>
        <v>4981.5</v>
      </c>
      <c r="H755" s="28">
        <v>4009.1</v>
      </c>
      <c r="I755" s="28">
        <v>5072.6000000000004</v>
      </c>
      <c r="J755" s="28">
        <v>4925.5</v>
      </c>
      <c r="K755" s="28">
        <v>4925.5</v>
      </c>
      <c r="L755" s="28">
        <v>4925.5</v>
      </c>
      <c r="M755" s="28">
        <v>5119.5</v>
      </c>
      <c r="N755" s="28">
        <v>1133.5</v>
      </c>
      <c r="O755" s="27">
        <f t="shared" si="743"/>
        <v>22.140834065826741</v>
      </c>
    </row>
    <row r="756" spans="1:15" ht="31.5">
      <c r="A756" s="26" t="s">
        <v>184</v>
      </c>
      <c r="B756" s="216">
        <v>906</v>
      </c>
      <c r="C756" s="214" t="s">
        <v>317</v>
      </c>
      <c r="D756" s="214" t="s">
        <v>272</v>
      </c>
      <c r="E756" s="214" t="s">
        <v>179</v>
      </c>
      <c r="F756" s="214" t="s">
        <v>185</v>
      </c>
      <c r="G756" s="27">
        <f t="shared" ref="G756:L756" si="787">G757</f>
        <v>157.19999999999999</v>
      </c>
      <c r="H756" s="27">
        <f t="shared" si="787"/>
        <v>95.9</v>
      </c>
      <c r="I756" s="27">
        <f t="shared" si="787"/>
        <v>148.80000000000001</v>
      </c>
      <c r="J756" s="27">
        <f t="shared" si="787"/>
        <v>562.79999999999995</v>
      </c>
      <c r="K756" s="27">
        <f t="shared" si="787"/>
        <v>562.79999999999995</v>
      </c>
      <c r="L756" s="27">
        <f t="shared" si="787"/>
        <v>562.79999999999995</v>
      </c>
      <c r="M756" s="27">
        <f t="shared" ref="M756:N756" si="788">M757</f>
        <v>157.19999999999999</v>
      </c>
      <c r="N756" s="27">
        <f t="shared" si="788"/>
        <v>29.6</v>
      </c>
      <c r="O756" s="27">
        <f t="shared" si="743"/>
        <v>18.829516539440206</v>
      </c>
    </row>
    <row r="757" spans="1:15" ht="47.25">
      <c r="A757" s="26" t="s">
        <v>186</v>
      </c>
      <c r="B757" s="216">
        <v>906</v>
      </c>
      <c r="C757" s="214" t="s">
        <v>317</v>
      </c>
      <c r="D757" s="214" t="s">
        <v>272</v>
      </c>
      <c r="E757" s="214" t="s">
        <v>179</v>
      </c>
      <c r="F757" s="214" t="s">
        <v>187</v>
      </c>
      <c r="G757" s="27">
        <f>163-5.8</f>
        <v>157.19999999999999</v>
      </c>
      <c r="H757" s="27">
        <v>95.9</v>
      </c>
      <c r="I757" s="27">
        <v>148.80000000000001</v>
      </c>
      <c r="J757" s="27">
        <v>562.79999999999995</v>
      </c>
      <c r="K757" s="27">
        <v>562.79999999999995</v>
      </c>
      <c r="L757" s="27">
        <v>562.79999999999995</v>
      </c>
      <c r="M757" s="27">
        <f t="shared" ref="M757" si="789">163-5.8</f>
        <v>157.19999999999999</v>
      </c>
      <c r="N757" s="27">
        <v>29.6</v>
      </c>
      <c r="O757" s="27">
        <f t="shared" si="743"/>
        <v>18.829516539440206</v>
      </c>
    </row>
    <row r="758" spans="1:15" ht="15.75">
      <c r="A758" s="26" t="s">
        <v>194</v>
      </c>
      <c r="B758" s="216">
        <v>906</v>
      </c>
      <c r="C758" s="214" t="s">
        <v>317</v>
      </c>
      <c r="D758" s="214" t="s">
        <v>272</v>
      </c>
      <c r="E758" s="214" t="s">
        <v>195</v>
      </c>
      <c r="F758" s="214"/>
      <c r="G758" s="27">
        <f>G762+G759</f>
        <v>13163.600000000002</v>
      </c>
      <c r="H758" s="27">
        <f>H762+H759</f>
        <v>9736.9999999999982</v>
      </c>
      <c r="I758" s="27">
        <f t="shared" ref="I758:L758" si="790">I762+I759</f>
        <v>13421.300000000001</v>
      </c>
      <c r="J758" s="27">
        <f t="shared" si="790"/>
        <v>14363.300000000001</v>
      </c>
      <c r="K758" s="27">
        <f t="shared" si="790"/>
        <v>14486.6</v>
      </c>
      <c r="L758" s="27">
        <f t="shared" si="790"/>
        <v>14611.2</v>
      </c>
      <c r="M758" s="27">
        <f t="shared" ref="M758:N758" si="791">M762+M759</f>
        <v>13148.800000000001</v>
      </c>
      <c r="N758" s="27">
        <f t="shared" si="791"/>
        <v>2813.8</v>
      </c>
      <c r="O758" s="27">
        <f t="shared" si="743"/>
        <v>21.399671452908251</v>
      </c>
    </row>
    <row r="759" spans="1:15" ht="15.75">
      <c r="A759" s="26" t="s">
        <v>532</v>
      </c>
      <c r="B759" s="216">
        <v>906</v>
      </c>
      <c r="C759" s="214" t="s">
        <v>317</v>
      </c>
      <c r="D759" s="214" t="s">
        <v>272</v>
      </c>
      <c r="E759" s="214" t="s">
        <v>533</v>
      </c>
      <c r="F759" s="214"/>
      <c r="G759" s="27">
        <f>G760</f>
        <v>375</v>
      </c>
      <c r="H759" s="27">
        <f>H760</f>
        <v>212.5</v>
      </c>
      <c r="I759" s="27">
        <f t="shared" ref="I759:L760" si="792">I760</f>
        <v>375</v>
      </c>
      <c r="J759" s="27">
        <f t="shared" si="792"/>
        <v>0</v>
      </c>
      <c r="K759" s="27">
        <f t="shared" si="792"/>
        <v>0</v>
      </c>
      <c r="L759" s="27">
        <f t="shared" si="792"/>
        <v>0</v>
      </c>
      <c r="M759" s="27">
        <f t="shared" ref="M759:N760" si="793">M760</f>
        <v>350</v>
      </c>
      <c r="N759" s="27">
        <f t="shared" si="793"/>
        <v>63.4</v>
      </c>
      <c r="O759" s="27">
        <f t="shared" si="743"/>
        <v>18.114285714285714</v>
      </c>
    </row>
    <row r="760" spans="1:15" ht="31.5">
      <c r="A760" s="26" t="s">
        <v>184</v>
      </c>
      <c r="B760" s="216">
        <v>906</v>
      </c>
      <c r="C760" s="214" t="s">
        <v>317</v>
      </c>
      <c r="D760" s="214" t="s">
        <v>272</v>
      </c>
      <c r="E760" s="214" t="s">
        <v>533</v>
      </c>
      <c r="F760" s="214" t="s">
        <v>185</v>
      </c>
      <c r="G760" s="27">
        <f>G761</f>
        <v>375</v>
      </c>
      <c r="H760" s="27">
        <f>H761</f>
        <v>212.5</v>
      </c>
      <c r="I760" s="27">
        <f t="shared" si="792"/>
        <v>375</v>
      </c>
      <c r="J760" s="27">
        <f t="shared" si="792"/>
        <v>0</v>
      </c>
      <c r="K760" s="27">
        <f t="shared" si="792"/>
        <v>0</v>
      </c>
      <c r="L760" s="27">
        <f t="shared" si="792"/>
        <v>0</v>
      </c>
      <c r="M760" s="27">
        <f t="shared" si="793"/>
        <v>350</v>
      </c>
      <c r="N760" s="27">
        <f t="shared" si="793"/>
        <v>63.4</v>
      </c>
      <c r="O760" s="27">
        <f t="shared" si="743"/>
        <v>18.114285714285714</v>
      </c>
    </row>
    <row r="761" spans="1:15" ht="47.25">
      <c r="A761" s="26" t="s">
        <v>186</v>
      </c>
      <c r="B761" s="216">
        <v>906</v>
      </c>
      <c r="C761" s="214" t="s">
        <v>317</v>
      </c>
      <c r="D761" s="214" t="s">
        <v>272</v>
      </c>
      <c r="E761" s="214" t="s">
        <v>533</v>
      </c>
      <c r="F761" s="214" t="s">
        <v>187</v>
      </c>
      <c r="G761" s="27">
        <f>206.3+143.7+25</f>
        <v>375</v>
      </c>
      <c r="H761" s="27">
        <v>212.5</v>
      </c>
      <c r="I761" s="27">
        <f t="shared" ref="I761" si="794">206.3+143.7+25</f>
        <v>375</v>
      </c>
      <c r="J761" s="27">
        <v>0</v>
      </c>
      <c r="K761" s="27">
        <v>0</v>
      </c>
      <c r="L761" s="27">
        <v>0</v>
      </c>
      <c r="M761" s="27">
        <f>350-35+35</f>
        <v>350</v>
      </c>
      <c r="N761" s="27">
        <v>63.4</v>
      </c>
      <c r="O761" s="27">
        <f t="shared" si="743"/>
        <v>18.114285714285714</v>
      </c>
    </row>
    <row r="762" spans="1:15" ht="31.5">
      <c r="A762" s="26" t="s">
        <v>393</v>
      </c>
      <c r="B762" s="216">
        <v>906</v>
      </c>
      <c r="C762" s="214" t="s">
        <v>317</v>
      </c>
      <c r="D762" s="214" t="s">
        <v>272</v>
      </c>
      <c r="E762" s="214" t="s">
        <v>394</v>
      </c>
      <c r="F762" s="214"/>
      <c r="G762" s="27">
        <f>G763+G765+G767</f>
        <v>12788.600000000002</v>
      </c>
      <c r="H762" s="27">
        <f>H763+H765+H767</f>
        <v>9524.4999999999982</v>
      </c>
      <c r="I762" s="27">
        <f t="shared" ref="I762:L762" si="795">I763+I765+I767</f>
        <v>13046.300000000001</v>
      </c>
      <c r="J762" s="27">
        <f t="shared" si="795"/>
        <v>14363.300000000001</v>
      </c>
      <c r="K762" s="27">
        <f t="shared" si="795"/>
        <v>14486.6</v>
      </c>
      <c r="L762" s="27">
        <f t="shared" si="795"/>
        <v>14611.2</v>
      </c>
      <c r="M762" s="27">
        <f t="shared" ref="M762:N762" si="796">M763+M765+M767</f>
        <v>12798.800000000001</v>
      </c>
      <c r="N762" s="27">
        <f t="shared" si="796"/>
        <v>2750.4</v>
      </c>
      <c r="O762" s="27">
        <f t="shared" si="743"/>
        <v>21.489514641997687</v>
      </c>
    </row>
    <row r="763" spans="1:15" ht="94.5">
      <c r="A763" s="26" t="s">
        <v>180</v>
      </c>
      <c r="B763" s="216">
        <v>906</v>
      </c>
      <c r="C763" s="214" t="s">
        <v>317</v>
      </c>
      <c r="D763" s="214" t="s">
        <v>272</v>
      </c>
      <c r="E763" s="214" t="s">
        <v>394</v>
      </c>
      <c r="F763" s="214" t="s">
        <v>181</v>
      </c>
      <c r="G763" s="27">
        <f>G764</f>
        <v>11519.300000000001</v>
      </c>
      <c r="H763" s="27">
        <f>H764</f>
        <v>8420.7999999999993</v>
      </c>
      <c r="I763" s="27">
        <f t="shared" ref="I763:L763" si="797">I764</f>
        <v>11777</v>
      </c>
      <c r="J763" s="27">
        <f t="shared" si="797"/>
        <v>12334.2</v>
      </c>
      <c r="K763" s="27">
        <f t="shared" si="797"/>
        <v>12457.5</v>
      </c>
      <c r="L763" s="27">
        <f t="shared" si="797"/>
        <v>12582.1</v>
      </c>
      <c r="M763" s="27">
        <f t="shared" ref="M763:N763" si="798">M764</f>
        <v>11519.300000000001</v>
      </c>
      <c r="N763" s="27">
        <f t="shared" si="798"/>
        <v>2433.6999999999998</v>
      </c>
      <c r="O763" s="27">
        <f t="shared" si="743"/>
        <v>21.127151823461489</v>
      </c>
    </row>
    <row r="764" spans="1:15" ht="31.5">
      <c r="A764" s="26" t="s">
        <v>395</v>
      </c>
      <c r="B764" s="216">
        <v>906</v>
      </c>
      <c r="C764" s="214" t="s">
        <v>317</v>
      </c>
      <c r="D764" s="214" t="s">
        <v>272</v>
      </c>
      <c r="E764" s="214" t="s">
        <v>394</v>
      </c>
      <c r="F764" s="214" t="s">
        <v>262</v>
      </c>
      <c r="G764" s="28">
        <f>11988.7-469.4</f>
        <v>11519.300000000001</v>
      </c>
      <c r="H764" s="28">
        <v>8420.7999999999993</v>
      </c>
      <c r="I764" s="28">
        <v>11777</v>
      </c>
      <c r="J764" s="28">
        <v>12334.2</v>
      </c>
      <c r="K764" s="28">
        <v>12457.5</v>
      </c>
      <c r="L764" s="28">
        <v>12582.1</v>
      </c>
      <c r="M764" s="28">
        <f t="shared" ref="M764" si="799">11988.7-469.4</f>
        <v>11519.300000000001</v>
      </c>
      <c r="N764" s="28">
        <v>2433.6999999999998</v>
      </c>
      <c r="O764" s="27">
        <f t="shared" si="743"/>
        <v>21.127151823461489</v>
      </c>
    </row>
    <row r="765" spans="1:15" ht="31.5">
      <c r="A765" s="26" t="s">
        <v>184</v>
      </c>
      <c r="B765" s="216">
        <v>906</v>
      </c>
      <c r="C765" s="214" t="s">
        <v>317</v>
      </c>
      <c r="D765" s="214" t="s">
        <v>272</v>
      </c>
      <c r="E765" s="214" t="s">
        <v>394</v>
      </c>
      <c r="F765" s="214" t="s">
        <v>185</v>
      </c>
      <c r="G765" s="27">
        <f>G766</f>
        <v>1264.0999999999999</v>
      </c>
      <c r="H765" s="27">
        <f>H766</f>
        <v>1098.8</v>
      </c>
      <c r="I765" s="27">
        <f t="shared" ref="I765:L765" si="800">I766</f>
        <v>1264.0999999999999</v>
      </c>
      <c r="J765" s="27">
        <f t="shared" si="800"/>
        <v>2023.8999999999999</v>
      </c>
      <c r="K765" s="27">
        <f t="shared" si="800"/>
        <v>2023.8999999999999</v>
      </c>
      <c r="L765" s="27">
        <f t="shared" si="800"/>
        <v>2023.8999999999999</v>
      </c>
      <c r="M765" s="27">
        <f t="shared" ref="M765:N765" si="801">M766</f>
        <v>1264.0999999999999</v>
      </c>
      <c r="N765" s="27">
        <f t="shared" si="801"/>
        <v>315.89999999999998</v>
      </c>
      <c r="O765" s="27">
        <f t="shared" si="743"/>
        <v>24.990111541808403</v>
      </c>
    </row>
    <row r="766" spans="1:15" ht="47.25">
      <c r="A766" s="26" t="s">
        <v>186</v>
      </c>
      <c r="B766" s="216">
        <v>906</v>
      </c>
      <c r="C766" s="214" t="s">
        <v>317</v>
      </c>
      <c r="D766" s="214" t="s">
        <v>272</v>
      </c>
      <c r="E766" s="214" t="s">
        <v>394</v>
      </c>
      <c r="F766" s="214" t="s">
        <v>187</v>
      </c>
      <c r="G766" s="27">
        <f>1416.8-152.7</f>
        <v>1264.0999999999999</v>
      </c>
      <c r="H766" s="27">
        <v>1098.8</v>
      </c>
      <c r="I766" s="27">
        <v>1264.0999999999999</v>
      </c>
      <c r="J766" s="27">
        <f>2029.1-J768</f>
        <v>2023.8999999999999</v>
      </c>
      <c r="K766" s="27">
        <f>J766</f>
        <v>2023.8999999999999</v>
      </c>
      <c r="L766" s="27">
        <f>K766</f>
        <v>2023.8999999999999</v>
      </c>
      <c r="M766" s="27">
        <f t="shared" ref="M766" si="802">1416.8-152.7</f>
        <v>1264.0999999999999</v>
      </c>
      <c r="N766" s="27">
        <v>315.89999999999998</v>
      </c>
      <c r="O766" s="27">
        <f t="shared" si="743"/>
        <v>24.990111541808403</v>
      </c>
    </row>
    <row r="767" spans="1:15" ht="15.75">
      <c r="A767" s="26" t="s">
        <v>188</v>
      </c>
      <c r="B767" s="216">
        <v>906</v>
      </c>
      <c r="C767" s="214" t="s">
        <v>317</v>
      </c>
      <c r="D767" s="214" t="s">
        <v>272</v>
      </c>
      <c r="E767" s="214" t="s">
        <v>394</v>
      </c>
      <c r="F767" s="214" t="s">
        <v>198</v>
      </c>
      <c r="G767" s="27">
        <f>G768</f>
        <v>5.2</v>
      </c>
      <c r="H767" s="27">
        <f>H768</f>
        <v>4.9000000000000004</v>
      </c>
      <c r="I767" s="27">
        <f t="shared" ref="I767:L767" si="803">I768</f>
        <v>5.2</v>
      </c>
      <c r="J767" s="27">
        <f t="shared" si="803"/>
        <v>5.2</v>
      </c>
      <c r="K767" s="27">
        <f t="shared" si="803"/>
        <v>5.2</v>
      </c>
      <c r="L767" s="27">
        <f t="shared" si="803"/>
        <v>5.2</v>
      </c>
      <c r="M767" s="27">
        <f t="shared" ref="M767:N767" si="804">M768</f>
        <v>15.399999999999999</v>
      </c>
      <c r="N767" s="27">
        <f t="shared" si="804"/>
        <v>0.8</v>
      </c>
      <c r="O767" s="27">
        <f t="shared" si="743"/>
        <v>5.1948051948051956</v>
      </c>
    </row>
    <row r="768" spans="1:15" ht="15.75">
      <c r="A768" s="26" t="s">
        <v>622</v>
      </c>
      <c r="B768" s="216">
        <v>906</v>
      </c>
      <c r="C768" s="214" t="s">
        <v>317</v>
      </c>
      <c r="D768" s="214" t="s">
        <v>272</v>
      </c>
      <c r="E768" s="214" t="s">
        <v>394</v>
      </c>
      <c r="F768" s="214" t="s">
        <v>191</v>
      </c>
      <c r="G768" s="27">
        <f>7-1.8</f>
        <v>5.2</v>
      </c>
      <c r="H768" s="27">
        <v>4.9000000000000004</v>
      </c>
      <c r="I768" s="27">
        <f t="shared" ref="I768:L768" si="805">7-1.8</f>
        <v>5.2</v>
      </c>
      <c r="J768" s="27">
        <f t="shared" si="805"/>
        <v>5.2</v>
      </c>
      <c r="K768" s="27">
        <f t="shared" si="805"/>
        <v>5.2</v>
      </c>
      <c r="L768" s="27">
        <f t="shared" si="805"/>
        <v>5.2</v>
      </c>
      <c r="M768" s="27">
        <f>7-1.8+10.2</f>
        <v>15.399999999999999</v>
      </c>
      <c r="N768" s="27">
        <v>0.8</v>
      </c>
      <c r="O768" s="27">
        <f t="shared" si="743"/>
        <v>5.1948051948051956</v>
      </c>
    </row>
    <row r="769" spans="1:15" ht="36.75" customHeight="1">
      <c r="A769" s="20" t="s">
        <v>534</v>
      </c>
      <c r="B769" s="213">
        <v>907</v>
      </c>
      <c r="C769" s="214"/>
      <c r="D769" s="214"/>
      <c r="E769" s="214"/>
      <c r="F769" s="214"/>
      <c r="G769" s="22">
        <f t="shared" ref="G769:L769" si="806">G776+G809</f>
        <v>46187.799999999996</v>
      </c>
      <c r="H769" s="22">
        <f t="shared" ref="H769" si="807">H776+H809</f>
        <v>33497.699999999997</v>
      </c>
      <c r="I769" s="22">
        <f t="shared" si="806"/>
        <v>52301.9</v>
      </c>
      <c r="J769" s="22">
        <f t="shared" si="806"/>
        <v>81221.2</v>
      </c>
      <c r="K769" s="22">
        <f t="shared" si="806"/>
        <v>83149.7</v>
      </c>
      <c r="L769" s="22">
        <f t="shared" si="806"/>
        <v>84365.599999999991</v>
      </c>
      <c r="M769" s="22">
        <f>M776+M809+M770</f>
        <v>65926.8</v>
      </c>
      <c r="N769" s="22">
        <f t="shared" ref="N769" si="808">N776+N809+N770</f>
        <v>21539.9</v>
      </c>
      <c r="O769" s="22">
        <f t="shared" si="743"/>
        <v>32.672448837195198</v>
      </c>
    </row>
    <row r="770" spans="1:15" ht="24" customHeight="1">
      <c r="A770" s="24" t="s">
        <v>170</v>
      </c>
      <c r="B770" s="213">
        <v>907</v>
      </c>
      <c r="C770" s="215" t="s">
        <v>171</v>
      </c>
      <c r="D770" s="215"/>
      <c r="E770" s="214"/>
      <c r="F770" s="214"/>
      <c r="G770" s="22"/>
      <c r="H770" s="22"/>
      <c r="I770" s="22"/>
      <c r="J770" s="22"/>
      <c r="K770" s="22"/>
      <c r="L770" s="22"/>
      <c r="M770" s="22">
        <f>M771</f>
        <v>868.6</v>
      </c>
      <c r="N770" s="22">
        <f t="shared" ref="N770:N772" si="809">N771</f>
        <v>289.5</v>
      </c>
      <c r="O770" s="22">
        <f t="shared" si="743"/>
        <v>33.329495740271703</v>
      </c>
    </row>
    <row r="771" spans="1:15" ht="21.75" customHeight="1">
      <c r="A771" s="36" t="s">
        <v>192</v>
      </c>
      <c r="B771" s="213">
        <v>907</v>
      </c>
      <c r="C771" s="215" t="s">
        <v>171</v>
      </c>
      <c r="D771" s="215" t="s">
        <v>193</v>
      </c>
      <c r="E771" s="214"/>
      <c r="F771" s="214"/>
      <c r="G771" s="22"/>
      <c r="H771" s="22"/>
      <c r="I771" s="22"/>
      <c r="J771" s="22"/>
      <c r="K771" s="22"/>
      <c r="L771" s="22"/>
      <c r="M771" s="22">
        <f>M772</f>
        <v>868.6</v>
      </c>
      <c r="N771" s="22">
        <f t="shared" si="809"/>
        <v>289.5</v>
      </c>
      <c r="O771" s="22">
        <f t="shared" si="743"/>
        <v>33.329495740271703</v>
      </c>
    </row>
    <row r="772" spans="1:15" ht="62.25" customHeight="1">
      <c r="A772" s="31" t="s">
        <v>807</v>
      </c>
      <c r="B772" s="216">
        <v>907</v>
      </c>
      <c r="C772" s="214" t="s">
        <v>171</v>
      </c>
      <c r="D772" s="214" t="s">
        <v>193</v>
      </c>
      <c r="E772" s="214" t="s">
        <v>805</v>
      </c>
      <c r="F772" s="221"/>
      <c r="G772" s="27">
        <f>G774</f>
        <v>29</v>
      </c>
      <c r="H772" s="27">
        <f t="shared" ref="H772:L772" si="810">H774</f>
        <v>19.100000000000001</v>
      </c>
      <c r="I772" s="27">
        <f t="shared" si="810"/>
        <v>29</v>
      </c>
      <c r="J772" s="27">
        <f t="shared" si="810"/>
        <v>0</v>
      </c>
      <c r="K772" s="27">
        <f t="shared" si="810"/>
        <v>0</v>
      </c>
      <c r="L772" s="27">
        <f t="shared" si="810"/>
        <v>0</v>
      </c>
      <c r="M772" s="27">
        <f>M773</f>
        <v>868.6</v>
      </c>
      <c r="N772" s="27">
        <f t="shared" si="809"/>
        <v>289.5</v>
      </c>
      <c r="O772" s="27">
        <f t="shared" si="743"/>
        <v>33.329495740271703</v>
      </c>
    </row>
    <row r="773" spans="1:15" ht="53.25" customHeight="1">
      <c r="A773" s="123" t="s">
        <v>957</v>
      </c>
      <c r="B773" s="216">
        <v>907</v>
      </c>
      <c r="C773" s="214" t="s">
        <v>171</v>
      </c>
      <c r="D773" s="214" t="s">
        <v>193</v>
      </c>
      <c r="E773" s="214" t="s">
        <v>958</v>
      </c>
      <c r="F773" s="221"/>
      <c r="G773" s="27">
        <f>G774</f>
        <v>29</v>
      </c>
      <c r="H773" s="27">
        <f t="shared" ref="H773:N774" si="811">H774</f>
        <v>19.100000000000001</v>
      </c>
      <c r="I773" s="27">
        <f t="shared" si="811"/>
        <v>29</v>
      </c>
      <c r="J773" s="27">
        <f t="shared" si="811"/>
        <v>0</v>
      </c>
      <c r="K773" s="27">
        <f t="shared" si="811"/>
        <v>0</v>
      </c>
      <c r="L773" s="27">
        <f t="shared" si="811"/>
        <v>0</v>
      </c>
      <c r="M773" s="27">
        <f t="shared" si="811"/>
        <v>868.6</v>
      </c>
      <c r="N773" s="27">
        <f t="shared" si="811"/>
        <v>289.5</v>
      </c>
      <c r="O773" s="27">
        <f t="shared" si="743"/>
        <v>33.329495740271703</v>
      </c>
    </row>
    <row r="774" spans="1:15" ht="54.75" customHeight="1">
      <c r="A774" s="31" t="s">
        <v>325</v>
      </c>
      <c r="B774" s="216">
        <v>907</v>
      </c>
      <c r="C774" s="214" t="s">
        <v>171</v>
      </c>
      <c r="D774" s="214" t="s">
        <v>193</v>
      </c>
      <c r="E774" s="214" t="s">
        <v>958</v>
      </c>
      <c r="F774" s="221" t="s">
        <v>326</v>
      </c>
      <c r="G774" s="27">
        <f>G775</f>
        <v>29</v>
      </c>
      <c r="H774" s="27">
        <f t="shared" si="811"/>
        <v>19.100000000000001</v>
      </c>
      <c r="I774" s="27">
        <f t="shared" si="811"/>
        <v>29</v>
      </c>
      <c r="J774" s="27">
        <f t="shared" si="811"/>
        <v>0</v>
      </c>
      <c r="K774" s="27">
        <f t="shared" si="811"/>
        <v>0</v>
      </c>
      <c r="L774" s="27">
        <f t="shared" si="811"/>
        <v>0</v>
      </c>
      <c r="M774" s="27">
        <f t="shared" si="811"/>
        <v>868.6</v>
      </c>
      <c r="N774" s="27">
        <f t="shared" si="811"/>
        <v>289.5</v>
      </c>
      <c r="O774" s="27">
        <f t="shared" si="743"/>
        <v>33.329495740271703</v>
      </c>
    </row>
    <row r="775" spans="1:15" ht="18.75" customHeight="1">
      <c r="A775" s="258" t="s">
        <v>327</v>
      </c>
      <c r="B775" s="216">
        <v>907</v>
      </c>
      <c r="C775" s="214" t="s">
        <v>171</v>
      </c>
      <c r="D775" s="214" t="s">
        <v>193</v>
      </c>
      <c r="E775" s="214" t="s">
        <v>958</v>
      </c>
      <c r="F775" s="221" t="s">
        <v>328</v>
      </c>
      <c r="G775" s="27">
        <v>29</v>
      </c>
      <c r="H775" s="27">
        <v>19.100000000000001</v>
      </c>
      <c r="I775" s="27">
        <v>29</v>
      </c>
      <c r="J775" s="27">
        <v>0</v>
      </c>
      <c r="K775" s="27">
        <v>0</v>
      </c>
      <c r="L775" s="27">
        <v>0</v>
      </c>
      <c r="M775" s="27">
        <v>868.6</v>
      </c>
      <c r="N775" s="27">
        <v>289.5</v>
      </c>
      <c r="O775" s="22">
        <f t="shared" si="743"/>
        <v>33.329495740271703</v>
      </c>
    </row>
    <row r="776" spans="1:15" ht="15.75">
      <c r="A776" s="24" t="s">
        <v>316</v>
      </c>
      <c r="B776" s="213">
        <v>907</v>
      </c>
      <c r="C776" s="215" t="s">
        <v>522</v>
      </c>
      <c r="D776" s="215"/>
      <c r="E776" s="215"/>
      <c r="F776" s="215"/>
      <c r="G776" s="22">
        <f>G777</f>
        <v>11485.1</v>
      </c>
      <c r="H776" s="22">
        <f t="shared" ref="H776:L776" si="812">H777</f>
        <v>8595.7000000000007</v>
      </c>
      <c r="I776" s="22">
        <f t="shared" si="812"/>
        <v>11485.1</v>
      </c>
      <c r="J776" s="22">
        <f t="shared" si="812"/>
        <v>17191.599999999999</v>
      </c>
      <c r="K776" s="22">
        <f t="shared" si="812"/>
        <v>17334.399999999998</v>
      </c>
      <c r="L776" s="22">
        <f t="shared" si="812"/>
        <v>17469.699999999997</v>
      </c>
      <c r="M776" s="22">
        <f t="shared" ref="M776:N776" si="813">M777</f>
        <v>12532.5</v>
      </c>
      <c r="N776" s="22">
        <f t="shared" si="813"/>
        <v>3982.9</v>
      </c>
      <c r="O776" s="22">
        <f t="shared" si="743"/>
        <v>31.780570516656692</v>
      </c>
    </row>
    <row r="777" spans="1:15" ht="15.75">
      <c r="A777" s="24" t="s">
        <v>318</v>
      </c>
      <c r="B777" s="213">
        <v>907</v>
      </c>
      <c r="C777" s="215" t="s">
        <v>317</v>
      </c>
      <c r="D777" s="215" t="s">
        <v>268</v>
      </c>
      <c r="E777" s="215"/>
      <c r="F777" s="215"/>
      <c r="G777" s="22">
        <f t="shared" ref="G777:L777" si="814">G778+G798</f>
        <v>11485.1</v>
      </c>
      <c r="H777" s="22">
        <f t="shared" ref="H777" si="815">H778+H798</f>
        <v>8595.7000000000007</v>
      </c>
      <c r="I777" s="22">
        <f t="shared" si="814"/>
        <v>11485.1</v>
      </c>
      <c r="J777" s="22">
        <f t="shared" si="814"/>
        <v>17191.599999999999</v>
      </c>
      <c r="K777" s="22">
        <f t="shared" si="814"/>
        <v>17334.399999999998</v>
      </c>
      <c r="L777" s="22">
        <f t="shared" si="814"/>
        <v>17469.699999999997</v>
      </c>
      <c r="M777" s="22">
        <f t="shared" ref="M777:N777" si="816">M778+M798</f>
        <v>12532.5</v>
      </c>
      <c r="N777" s="22">
        <f t="shared" si="816"/>
        <v>3982.9</v>
      </c>
      <c r="O777" s="22">
        <f t="shared" si="743"/>
        <v>31.780570516656692</v>
      </c>
    </row>
    <row r="778" spans="1:15" ht="47.25">
      <c r="A778" s="26" t="s">
        <v>535</v>
      </c>
      <c r="B778" s="216">
        <v>907</v>
      </c>
      <c r="C778" s="214" t="s">
        <v>317</v>
      </c>
      <c r="D778" s="214" t="s">
        <v>268</v>
      </c>
      <c r="E778" s="214" t="s">
        <v>536</v>
      </c>
      <c r="F778" s="214"/>
      <c r="G778" s="27">
        <f>G779</f>
        <v>10758</v>
      </c>
      <c r="H778" s="27">
        <f>H779</f>
        <v>8319.5</v>
      </c>
      <c r="I778" s="27">
        <f t="shared" ref="I778:L778" si="817">I779</f>
        <v>10758</v>
      </c>
      <c r="J778" s="27">
        <f t="shared" si="817"/>
        <v>16464.5</v>
      </c>
      <c r="K778" s="27">
        <f t="shared" si="817"/>
        <v>16607.3</v>
      </c>
      <c r="L778" s="27">
        <f t="shared" si="817"/>
        <v>16742.599999999999</v>
      </c>
      <c r="M778" s="27">
        <f t="shared" ref="M778:N778" si="818">M779</f>
        <v>11806.7</v>
      </c>
      <c r="N778" s="27">
        <f t="shared" si="818"/>
        <v>3852.5</v>
      </c>
      <c r="O778" s="27">
        <f t="shared" si="743"/>
        <v>32.629778007402578</v>
      </c>
    </row>
    <row r="779" spans="1:15" ht="47.25">
      <c r="A779" s="26" t="s">
        <v>537</v>
      </c>
      <c r="B779" s="216">
        <v>907</v>
      </c>
      <c r="C779" s="214" t="s">
        <v>317</v>
      </c>
      <c r="D779" s="214" t="s">
        <v>268</v>
      </c>
      <c r="E779" s="214" t="s">
        <v>538</v>
      </c>
      <c r="F779" s="214"/>
      <c r="G779" s="27">
        <f t="shared" ref="G779:L779" si="819">G780+G783+G786+G792+G789+G795</f>
        <v>10758</v>
      </c>
      <c r="H779" s="27">
        <f t="shared" ref="H779" si="820">H780+H783+H786+H792+H789</f>
        <v>8319.5</v>
      </c>
      <c r="I779" s="27">
        <f t="shared" si="819"/>
        <v>10758</v>
      </c>
      <c r="J779" s="27">
        <f>J780+J783+J786+J792+J789+J795</f>
        <v>16464.5</v>
      </c>
      <c r="K779" s="27">
        <f t="shared" si="819"/>
        <v>16607.3</v>
      </c>
      <c r="L779" s="27">
        <f t="shared" si="819"/>
        <v>16742.599999999999</v>
      </c>
      <c r="M779" s="27">
        <f t="shared" ref="M779:N779" si="821">M780+M783+M786+M792+M789+M795</f>
        <v>11806.7</v>
      </c>
      <c r="N779" s="27">
        <f t="shared" si="821"/>
        <v>3852.5</v>
      </c>
      <c r="O779" s="27">
        <f t="shared" si="743"/>
        <v>32.629778007402578</v>
      </c>
    </row>
    <row r="780" spans="1:15" ht="47.25">
      <c r="A780" s="26" t="s">
        <v>323</v>
      </c>
      <c r="B780" s="216">
        <v>907</v>
      </c>
      <c r="C780" s="214" t="s">
        <v>317</v>
      </c>
      <c r="D780" s="214" t="s">
        <v>268</v>
      </c>
      <c r="E780" s="214" t="s">
        <v>539</v>
      </c>
      <c r="F780" s="214"/>
      <c r="G780" s="27">
        <f>G781</f>
        <v>10722</v>
      </c>
      <c r="H780" s="27">
        <f>H781</f>
        <v>8300</v>
      </c>
      <c r="I780" s="27">
        <f t="shared" ref="I780:L780" si="822">I781</f>
        <v>10722</v>
      </c>
      <c r="J780" s="27">
        <f t="shared" si="822"/>
        <v>15788.3</v>
      </c>
      <c r="K780" s="27">
        <f t="shared" si="822"/>
        <v>15931.1</v>
      </c>
      <c r="L780" s="27">
        <f t="shared" si="822"/>
        <v>16066.4</v>
      </c>
      <c r="M780" s="27">
        <f t="shared" ref="M780:N781" si="823">M781</f>
        <v>11348.5</v>
      </c>
      <c r="N780" s="27">
        <f t="shared" si="823"/>
        <v>3481.9</v>
      </c>
      <c r="O780" s="27">
        <f t="shared" si="743"/>
        <v>30.681587875049566</v>
      </c>
    </row>
    <row r="781" spans="1:15" ht="47.25">
      <c r="A781" s="26" t="s">
        <v>325</v>
      </c>
      <c r="B781" s="216">
        <v>907</v>
      </c>
      <c r="C781" s="214" t="s">
        <v>317</v>
      </c>
      <c r="D781" s="214" t="s">
        <v>268</v>
      </c>
      <c r="E781" s="214" t="s">
        <v>539</v>
      </c>
      <c r="F781" s="214" t="s">
        <v>326</v>
      </c>
      <c r="G781" s="27">
        <f t="shared" ref="G781:L781" si="824">G782</f>
        <v>10722</v>
      </c>
      <c r="H781" s="27">
        <f t="shared" si="824"/>
        <v>8300</v>
      </c>
      <c r="I781" s="27">
        <f t="shared" si="824"/>
        <v>10722</v>
      </c>
      <c r="J781" s="27">
        <f t="shared" si="824"/>
        <v>15788.3</v>
      </c>
      <c r="K781" s="27">
        <f t="shared" si="824"/>
        <v>15931.1</v>
      </c>
      <c r="L781" s="27">
        <f t="shared" si="824"/>
        <v>16066.4</v>
      </c>
      <c r="M781" s="27">
        <f t="shared" si="823"/>
        <v>11348.5</v>
      </c>
      <c r="N781" s="27">
        <f t="shared" si="823"/>
        <v>3481.9</v>
      </c>
      <c r="O781" s="27">
        <f t="shared" ref="O781:O844" si="825">N781/M781*100</f>
        <v>30.681587875049566</v>
      </c>
    </row>
    <row r="782" spans="1:15" ht="15.75">
      <c r="A782" s="26" t="s">
        <v>327</v>
      </c>
      <c r="B782" s="216">
        <v>907</v>
      </c>
      <c r="C782" s="214" t="s">
        <v>317</v>
      </c>
      <c r="D782" s="214" t="s">
        <v>268</v>
      </c>
      <c r="E782" s="214" t="s">
        <v>539</v>
      </c>
      <c r="F782" s="214" t="s">
        <v>328</v>
      </c>
      <c r="G782" s="28">
        <f>10500+753.9-531.9</f>
        <v>10722</v>
      </c>
      <c r="H782" s="28">
        <v>8300</v>
      </c>
      <c r="I782" s="28">
        <v>10722</v>
      </c>
      <c r="J782" s="28">
        <v>15788.3</v>
      </c>
      <c r="K782" s="28">
        <v>15931.1</v>
      </c>
      <c r="L782" s="28">
        <v>16066.4</v>
      </c>
      <c r="M782" s="28">
        <f>10445.7+902.8</f>
        <v>11348.5</v>
      </c>
      <c r="N782" s="28">
        <v>3481.9</v>
      </c>
      <c r="O782" s="27">
        <f t="shared" si="825"/>
        <v>30.681587875049566</v>
      </c>
    </row>
    <row r="783" spans="1:15" ht="47.25" hidden="1" customHeight="1">
      <c r="A783" s="26" t="s">
        <v>331</v>
      </c>
      <c r="B783" s="216">
        <v>907</v>
      </c>
      <c r="C783" s="214" t="s">
        <v>317</v>
      </c>
      <c r="D783" s="214" t="s">
        <v>266</v>
      </c>
      <c r="E783" s="214" t="s">
        <v>540</v>
      </c>
      <c r="F783" s="214"/>
      <c r="G783" s="27">
        <f t="shared" ref="G783:L784" si="826">G784</f>
        <v>0</v>
      </c>
      <c r="H783" s="27"/>
      <c r="I783" s="27">
        <f t="shared" si="826"/>
        <v>0</v>
      </c>
      <c r="J783" s="27">
        <f t="shared" si="826"/>
        <v>0</v>
      </c>
      <c r="K783" s="27">
        <f t="shared" si="826"/>
        <v>0</v>
      </c>
      <c r="L783" s="27">
        <f t="shared" si="826"/>
        <v>0</v>
      </c>
      <c r="M783" s="27">
        <f t="shared" ref="M783:N784" si="827">M784</f>
        <v>0</v>
      </c>
      <c r="N783" s="27">
        <f t="shared" si="827"/>
        <v>0</v>
      </c>
      <c r="O783" s="27" t="e">
        <f t="shared" si="825"/>
        <v>#DIV/0!</v>
      </c>
    </row>
    <row r="784" spans="1:15" ht="47.25" hidden="1" customHeight="1">
      <c r="A784" s="26" t="s">
        <v>325</v>
      </c>
      <c r="B784" s="216">
        <v>907</v>
      </c>
      <c r="C784" s="214" t="s">
        <v>317</v>
      </c>
      <c r="D784" s="214" t="s">
        <v>266</v>
      </c>
      <c r="E784" s="214" t="s">
        <v>540</v>
      </c>
      <c r="F784" s="214" t="s">
        <v>326</v>
      </c>
      <c r="G784" s="27">
        <f t="shared" si="826"/>
        <v>0</v>
      </c>
      <c r="H784" s="27"/>
      <c r="I784" s="27">
        <f t="shared" si="826"/>
        <v>0</v>
      </c>
      <c r="J784" s="27">
        <f t="shared" si="826"/>
        <v>0</v>
      </c>
      <c r="K784" s="27">
        <f t="shared" si="826"/>
        <v>0</v>
      </c>
      <c r="L784" s="27">
        <f t="shared" si="826"/>
        <v>0</v>
      </c>
      <c r="M784" s="27">
        <f t="shared" si="827"/>
        <v>0</v>
      </c>
      <c r="N784" s="27">
        <f t="shared" si="827"/>
        <v>0</v>
      </c>
      <c r="O784" s="27" t="e">
        <f t="shared" si="825"/>
        <v>#DIV/0!</v>
      </c>
    </row>
    <row r="785" spans="1:15" ht="15.75" hidden="1" customHeight="1">
      <c r="A785" s="26" t="s">
        <v>327</v>
      </c>
      <c r="B785" s="216">
        <v>907</v>
      </c>
      <c r="C785" s="214" t="s">
        <v>317</v>
      </c>
      <c r="D785" s="214" t="s">
        <v>266</v>
      </c>
      <c r="E785" s="214" t="s">
        <v>540</v>
      </c>
      <c r="F785" s="214" t="s">
        <v>328</v>
      </c>
      <c r="G785" s="27">
        <v>0</v>
      </c>
      <c r="H785" s="27"/>
      <c r="I785" s="27">
        <v>0</v>
      </c>
      <c r="J785" s="27">
        <v>0</v>
      </c>
      <c r="K785" s="27">
        <v>0</v>
      </c>
      <c r="L785" s="27">
        <v>0</v>
      </c>
      <c r="M785" s="27">
        <v>0</v>
      </c>
      <c r="N785" s="27">
        <v>0</v>
      </c>
      <c r="O785" s="27" t="e">
        <f t="shared" si="825"/>
        <v>#DIV/0!</v>
      </c>
    </row>
    <row r="786" spans="1:15" ht="31.5" hidden="1" customHeight="1">
      <c r="A786" s="26" t="s">
        <v>333</v>
      </c>
      <c r="B786" s="216">
        <v>907</v>
      </c>
      <c r="C786" s="214" t="s">
        <v>317</v>
      </c>
      <c r="D786" s="214" t="s">
        <v>266</v>
      </c>
      <c r="E786" s="214" t="s">
        <v>541</v>
      </c>
      <c r="F786" s="214"/>
      <c r="G786" s="27">
        <f t="shared" ref="G786:L787" si="828">G787</f>
        <v>0</v>
      </c>
      <c r="H786" s="27"/>
      <c r="I786" s="27">
        <f t="shared" si="828"/>
        <v>0</v>
      </c>
      <c r="J786" s="27">
        <f t="shared" si="828"/>
        <v>0</v>
      </c>
      <c r="K786" s="27">
        <f t="shared" si="828"/>
        <v>0</v>
      </c>
      <c r="L786" s="27">
        <f t="shared" si="828"/>
        <v>0</v>
      </c>
      <c r="M786" s="27">
        <f t="shared" ref="M786:N787" si="829">M787</f>
        <v>0</v>
      </c>
      <c r="N786" s="27">
        <f t="shared" si="829"/>
        <v>0</v>
      </c>
      <c r="O786" s="27" t="e">
        <f t="shared" si="825"/>
        <v>#DIV/0!</v>
      </c>
    </row>
    <row r="787" spans="1:15" ht="47.25" hidden="1" customHeight="1">
      <c r="A787" s="26" t="s">
        <v>325</v>
      </c>
      <c r="B787" s="216">
        <v>907</v>
      </c>
      <c r="C787" s="214" t="s">
        <v>317</v>
      </c>
      <c r="D787" s="214" t="s">
        <v>266</v>
      </c>
      <c r="E787" s="214" t="s">
        <v>541</v>
      </c>
      <c r="F787" s="214" t="s">
        <v>326</v>
      </c>
      <c r="G787" s="27">
        <f t="shared" si="828"/>
        <v>0</v>
      </c>
      <c r="H787" s="27"/>
      <c r="I787" s="27">
        <f t="shared" si="828"/>
        <v>0</v>
      </c>
      <c r="J787" s="27">
        <f t="shared" si="828"/>
        <v>0</v>
      </c>
      <c r="K787" s="27">
        <f t="shared" si="828"/>
        <v>0</v>
      </c>
      <c r="L787" s="27">
        <f t="shared" si="828"/>
        <v>0</v>
      </c>
      <c r="M787" s="27">
        <f t="shared" si="829"/>
        <v>0</v>
      </c>
      <c r="N787" s="27">
        <f t="shared" si="829"/>
        <v>0</v>
      </c>
      <c r="O787" s="27" t="e">
        <f t="shared" si="825"/>
        <v>#DIV/0!</v>
      </c>
    </row>
    <row r="788" spans="1:15" ht="15.75" hidden="1" customHeight="1">
      <c r="A788" s="26" t="s">
        <v>327</v>
      </c>
      <c r="B788" s="216">
        <v>907</v>
      </c>
      <c r="C788" s="214" t="s">
        <v>317</v>
      </c>
      <c r="D788" s="214" t="s">
        <v>266</v>
      </c>
      <c r="E788" s="214" t="s">
        <v>541</v>
      </c>
      <c r="F788" s="214" t="s">
        <v>328</v>
      </c>
      <c r="G788" s="27">
        <v>0</v>
      </c>
      <c r="H788" s="27"/>
      <c r="I788" s="27">
        <v>0</v>
      </c>
      <c r="J788" s="27">
        <v>0</v>
      </c>
      <c r="K788" s="27">
        <v>0</v>
      </c>
      <c r="L788" s="27">
        <v>0</v>
      </c>
      <c r="M788" s="27">
        <v>0</v>
      </c>
      <c r="N788" s="27">
        <v>0</v>
      </c>
      <c r="O788" s="27" t="e">
        <f t="shared" si="825"/>
        <v>#DIV/0!</v>
      </c>
    </row>
    <row r="789" spans="1:15" ht="47.25">
      <c r="A789" s="26" t="s">
        <v>335</v>
      </c>
      <c r="B789" s="216">
        <v>907</v>
      </c>
      <c r="C789" s="214" t="s">
        <v>317</v>
      </c>
      <c r="D789" s="214" t="s">
        <v>268</v>
      </c>
      <c r="E789" s="214" t="s">
        <v>542</v>
      </c>
      <c r="F789" s="214"/>
      <c r="G789" s="27">
        <f t="shared" ref="G789:L790" si="830">G790</f>
        <v>36</v>
      </c>
      <c r="H789" s="27">
        <f t="shared" si="830"/>
        <v>19.5</v>
      </c>
      <c r="I789" s="27">
        <f t="shared" si="830"/>
        <v>36</v>
      </c>
      <c r="J789" s="27">
        <f t="shared" si="830"/>
        <v>36</v>
      </c>
      <c r="K789" s="27">
        <f t="shared" si="830"/>
        <v>36</v>
      </c>
      <c r="L789" s="27">
        <f t="shared" si="830"/>
        <v>36</v>
      </c>
      <c r="M789" s="27">
        <f t="shared" ref="M789:N790" si="831">M790</f>
        <v>36</v>
      </c>
      <c r="N789" s="27">
        <f t="shared" si="831"/>
        <v>5.4</v>
      </c>
      <c r="O789" s="27">
        <f t="shared" si="825"/>
        <v>15.000000000000002</v>
      </c>
    </row>
    <row r="790" spans="1:15" ht="47.25">
      <c r="A790" s="26" t="s">
        <v>325</v>
      </c>
      <c r="B790" s="216">
        <v>907</v>
      </c>
      <c r="C790" s="214" t="s">
        <v>317</v>
      </c>
      <c r="D790" s="214" t="s">
        <v>268</v>
      </c>
      <c r="E790" s="214" t="s">
        <v>542</v>
      </c>
      <c r="F790" s="214" t="s">
        <v>326</v>
      </c>
      <c r="G790" s="27">
        <f>G791</f>
        <v>36</v>
      </c>
      <c r="H790" s="27">
        <f>H791</f>
        <v>19.5</v>
      </c>
      <c r="I790" s="27">
        <f t="shared" si="830"/>
        <v>36</v>
      </c>
      <c r="J790" s="27">
        <f t="shared" si="830"/>
        <v>36</v>
      </c>
      <c r="K790" s="27">
        <f t="shared" si="830"/>
        <v>36</v>
      </c>
      <c r="L790" s="27">
        <f t="shared" si="830"/>
        <v>36</v>
      </c>
      <c r="M790" s="27">
        <f t="shared" si="831"/>
        <v>36</v>
      </c>
      <c r="N790" s="27">
        <f t="shared" si="831"/>
        <v>5.4</v>
      </c>
      <c r="O790" s="27">
        <f t="shared" si="825"/>
        <v>15.000000000000002</v>
      </c>
    </row>
    <row r="791" spans="1:15" ht="15.75">
      <c r="A791" s="26" t="s">
        <v>327</v>
      </c>
      <c r="B791" s="216">
        <v>907</v>
      </c>
      <c r="C791" s="214" t="s">
        <v>317</v>
      </c>
      <c r="D791" s="214" t="s">
        <v>268</v>
      </c>
      <c r="E791" s="214" t="s">
        <v>542</v>
      </c>
      <c r="F791" s="214" t="s">
        <v>328</v>
      </c>
      <c r="G791" s="27">
        <v>36</v>
      </c>
      <c r="H791" s="27">
        <v>19.5</v>
      </c>
      <c r="I791" s="27">
        <v>36</v>
      </c>
      <c r="J791" s="27">
        <v>36</v>
      </c>
      <c r="K791" s="27">
        <v>36</v>
      </c>
      <c r="L791" s="27">
        <v>36</v>
      </c>
      <c r="M791" s="27">
        <v>36</v>
      </c>
      <c r="N791" s="27">
        <v>5.4</v>
      </c>
      <c r="O791" s="27">
        <f t="shared" si="825"/>
        <v>15.000000000000002</v>
      </c>
    </row>
    <row r="792" spans="1:15" ht="31.5" hidden="1" customHeight="1">
      <c r="A792" s="26" t="s">
        <v>337</v>
      </c>
      <c r="B792" s="216">
        <v>907</v>
      </c>
      <c r="C792" s="214" t="s">
        <v>317</v>
      </c>
      <c r="D792" s="214" t="s">
        <v>268</v>
      </c>
      <c r="E792" s="214" t="s">
        <v>543</v>
      </c>
      <c r="F792" s="214"/>
      <c r="G792" s="27">
        <f t="shared" ref="G792:L793" si="832">G793</f>
        <v>0</v>
      </c>
      <c r="H792" s="27">
        <v>0</v>
      </c>
      <c r="I792" s="27">
        <f t="shared" si="832"/>
        <v>0</v>
      </c>
      <c r="J792" s="27">
        <f t="shared" si="832"/>
        <v>275</v>
      </c>
      <c r="K792" s="27">
        <f t="shared" si="832"/>
        <v>275</v>
      </c>
      <c r="L792" s="27">
        <f t="shared" si="832"/>
        <v>275</v>
      </c>
      <c r="M792" s="27">
        <f t="shared" ref="M792:N793" si="833">M793</f>
        <v>0</v>
      </c>
      <c r="N792" s="27">
        <f t="shared" si="833"/>
        <v>0</v>
      </c>
      <c r="O792" s="27" t="e">
        <f t="shared" si="825"/>
        <v>#DIV/0!</v>
      </c>
    </row>
    <row r="793" spans="1:15" ht="47.25" hidden="1" customHeight="1">
      <c r="A793" s="26" t="s">
        <v>325</v>
      </c>
      <c r="B793" s="216">
        <v>907</v>
      </c>
      <c r="C793" s="214" t="s">
        <v>317</v>
      </c>
      <c r="D793" s="214" t="s">
        <v>268</v>
      </c>
      <c r="E793" s="214" t="s">
        <v>543</v>
      </c>
      <c r="F793" s="214" t="s">
        <v>326</v>
      </c>
      <c r="G793" s="27">
        <f t="shared" si="832"/>
        <v>0</v>
      </c>
      <c r="H793" s="27">
        <v>0</v>
      </c>
      <c r="I793" s="27">
        <f t="shared" si="832"/>
        <v>0</v>
      </c>
      <c r="J793" s="27">
        <f t="shared" si="832"/>
        <v>275</v>
      </c>
      <c r="K793" s="27">
        <f t="shared" si="832"/>
        <v>275</v>
      </c>
      <c r="L793" s="27">
        <f t="shared" si="832"/>
        <v>275</v>
      </c>
      <c r="M793" s="27">
        <f t="shared" si="833"/>
        <v>0</v>
      </c>
      <c r="N793" s="27">
        <f t="shared" si="833"/>
        <v>0</v>
      </c>
      <c r="O793" s="27" t="e">
        <f t="shared" si="825"/>
        <v>#DIV/0!</v>
      </c>
    </row>
    <row r="794" spans="1:15" ht="15.75" hidden="1" customHeight="1">
      <c r="A794" s="26" t="s">
        <v>327</v>
      </c>
      <c r="B794" s="216">
        <v>907</v>
      </c>
      <c r="C794" s="214" t="s">
        <v>317</v>
      </c>
      <c r="D794" s="214" t="s">
        <v>268</v>
      </c>
      <c r="E794" s="214" t="s">
        <v>543</v>
      </c>
      <c r="F794" s="214" t="s">
        <v>328</v>
      </c>
      <c r="G794" s="27">
        <v>0</v>
      </c>
      <c r="H794" s="27">
        <v>0</v>
      </c>
      <c r="I794" s="27">
        <v>0</v>
      </c>
      <c r="J794" s="27">
        <v>275</v>
      </c>
      <c r="K794" s="27">
        <v>275</v>
      </c>
      <c r="L794" s="27">
        <v>275</v>
      </c>
      <c r="M794" s="27">
        <v>0</v>
      </c>
      <c r="N794" s="27">
        <v>0</v>
      </c>
      <c r="O794" s="27" t="e">
        <f t="shared" si="825"/>
        <v>#DIV/0!</v>
      </c>
    </row>
    <row r="795" spans="1:15" ht="52.5" customHeight="1">
      <c r="A795" s="47" t="s">
        <v>871</v>
      </c>
      <c r="B795" s="216">
        <v>907</v>
      </c>
      <c r="C795" s="214" t="s">
        <v>317</v>
      </c>
      <c r="D795" s="214" t="s">
        <v>268</v>
      </c>
      <c r="E795" s="214" t="s">
        <v>878</v>
      </c>
      <c r="F795" s="214"/>
      <c r="G795" s="27">
        <f>G796</f>
        <v>0</v>
      </c>
      <c r="H795" s="27">
        <v>0</v>
      </c>
      <c r="I795" s="27">
        <f t="shared" ref="I795:L796" si="834">I796</f>
        <v>0</v>
      </c>
      <c r="J795" s="27">
        <f t="shared" si="834"/>
        <v>365.2</v>
      </c>
      <c r="K795" s="27">
        <f t="shared" si="834"/>
        <v>365.2</v>
      </c>
      <c r="L795" s="27">
        <f t="shared" si="834"/>
        <v>365.2</v>
      </c>
      <c r="M795" s="27">
        <f t="shared" ref="M795:N796" si="835">M796</f>
        <v>422.2</v>
      </c>
      <c r="N795" s="27">
        <f t="shared" si="835"/>
        <v>365.2</v>
      </c>
      <c r="O795" s="27">
        <f t="shared" si="825"/>
        <v>86.499289436286119</v>
      </c>
    </row>
    <row r="796" spans="1:15" ht="54.75" customHeight="1">
      <c r="A796" s="33" t="s">
        <v>325</v>
      </c>
      <c r="B796" s="216">
        <v>907</v>
      </c>
      <c r="C796" s="214" t="s">
        <v>317</v>
      </c>
      <c r="D796" s="214" t="s">
        <v>268</v>
      </c>
      <c r="E796" s="214" t="s">
        <v>878</v>
      </c>
      <c r="F796" s="214" t="s">
        <v>326</v>
      </c>
      <c r="G796" s="27">
        <f>G797</f>
        <v>0</v>
      </c>
      <c r="H796" s="27">
        <v>0</v>
      </c>
      <c r="I796" s="27">
        <f t="shared" si="834"/>
        <v>0</v>
      </c>
      <c r="J796" s="27">
        <f t="shared" si="834"/>
        <v>365.2</v>
      </c>
      <c r="K796" s="27">
        <f t="shared" si="834"/>
        <v>365.2</v>
      </c>
      <c r="L796" s="27">
        <f t="shared" si="834"/>
        <v>365.2</v>
      </c>
      <c r="M796" s="27">
        <f t="shared" si="835"/>
        <v>422.2</v>
      </c>
      <c r="N796" s="27">
        <f t="shared" si="835"/>
        <v>365.2</v>
      </c>
      <c r="O796" s="27">
        <f t="shared" si="825"/>
        <v>86.499289436286119</v>
      </c>
    </row>
    <row r="797" spans="1:15" ht="15.75" customHeight="1">
      <c r="A797" s="33" t="s">
        <v>327</v>
      </c>
      <c r="B797" s="216">
        <v>907</v>
      </c>
      <c r="C797" s="214" t="s">
        <v>317</v>
      </c>
      <c r="D797" s="214" t="s">
        <v>268</v>
      </c>
      <c r="E797" s="214" t="s">
        <v>878</v>
      </c>
      <c r="F797" s="214" t="s">
        <v>328</v>
      </c>
      <c r="G797" s="27">
        <v>0</v>
      </c>
      <c r="H797" s="27">
        <v>0</v>
      </c>
      <c r="I797" s="27">
        <v>0</v>
      </c>
      <c r="J797" s="27">
        <v>365.2</v>
      </c>
      <c r="K797" s="27">
        <v>365.2</v>
      </c>
      <c r="L797" s="27">
        <v>365.2</v>
      </c>
      <c r="M797" s="27">
        <f>365.2+57</f>
        <v>422.2</v>
      </c>
      <c r="N797" s="27">
        <v>365.2</v>
      </c>
      <c r="O797" s="27">
        <f t="shared" si="825"/>
        <v>86.499289436286119</v>
      </c>
    </row>
    <row r="798" spans="1:15" ht="15.75">
      <c r="A798" s="26" t="s">
        <v>174</v>
      </c>
      <c r="B798" s="216">
        <v>907</v>
      </c>
      <c r="C798" s="214" t="s">
        <v>317</v>
      </c>
      <c r="D798" s="214" t="s">
        <v>268</v>
      </c>
      <c r="E798" s="214" t="s">
        <v>175</v>
      </c>
      <c r="F798" s="214"/>
      <c r="G798" s="27">
        <f>G799</f>
        <v>727.1</v>
      </c>
      <c r="H798" s="27">
        <f>H799</f>
        <v>276.2</v>
      </c>
      <c r="I798" s="27">
        <f t="shared" ref="I798:L798" si="836">I799</f>
        <v>727.1</v>
      </c>
      <c r="J798" s="27">
        <f t="shared" si="836"/>
        <v>727.1</v>
      </c>
      <c r="K798" s="27">
        <f t="shared" si="836"/>
        <v>727.1</v>
      </c>
      <c r="L798" s="27">
        <f t="shared" si="836"/>
        <v>727.1</v>
      </c>
      <c r="M798" s="27">
        <f t="shared" ref="M798:N798" si="837">M799</f>
        <v>725.80000000000007</v>
      </c>
      <c r="N798" s="27">
        <f t="shared" si="837"/>
        <v>130.4</v>
      </c>
      <c r="O798" s="27">
        <f t="shared" si="825"/>
        <v>17.966381923394874</v>
      </c>
    </row>
    <row r="799" spans="1:15" ht="31.5">
      <c r="A799" s="26" t="s">
        <v>238</v>
      </c>
      <c r="B799" s="216">
        <v>907</v>
      </c>
      <c r="C799" s="214" t="s">
        <v>317</v>
      </c>
      <c r="D799" s="214" t="s">
        <v>268</v>
      </c>
      <c r="E799" s="214" t="s">
        <v>239</v>
      </c>
      <c r="F799" s="214"/>
      <c r="G799" s="27">
        <f>G800+G803+G806</f>
        <v>727.1</v>
      </c>
      <c r="H799" s="27">
        <f>H800+H803+H806</f>
        <v>276.2</v>
      </c>
      <c r="I799" s="27">
        <f t="shared" ref="I799:L799" si="838">I800+I803+I806</f>
        <v>727.1</v>
      </c>
      <c r="J799" s="27">
        <f t="shared" si="838"/>
        <v>727.1</v>
      </c>
      <c r="K799" s="27">
        <f t="shared" si="838"/>
        <v>727.1</v>
      </c>
      <c r="L799" s="27">
        <f t="shared" si="838"/>
        <v>727.1</v>
      </c>
      <c r="M799" s="27">
        <f t="shared" ref="M799:N799" si="839">M800+M803+M806</f>
        <v>725.80000000000007</v>
      </c>
      <c r="N799" s="27">
        <f t="shared" si="839"/>
        <v>130.4</v>
      </c>
      <c r="O799" s="27">
        <f t="shared" si="825"/>
        <v>17.966381923394874</v>
      </c>
    </row>
    <row r="800" spans="1:15" ht="63">
      <c r="A800" s="33" t="s">
        <v>342</v>
      </c>
      <c r="B800" s="216">
        <v>907</v>
      </c>
      <c r="C800" s="214" t="s">
        <v>317</v>
      </c>
      <c r="D800" s="214" t="s">
        <v>268</v>
      </c>
      <c r="E800" s="214" t="s">
        <v>343</v>
      </c>
      <c r="F800" s="214"/>
      <c r="G800" s="27">
        <f>G801</f>
        <v>50</v>
      </c>
      <c r="H800" s="27">
        <f>H801</f>
        <v>0</v>
      </c>
      <c r="I800" s="27">
        <f t="shared" ref="I800:L800" si="840">I801</f>
        <v>50</v>
      </c>
      <c r="J800" s="27">
        <f t="shared" si="840"/>
        <v>50</v>
      </c>
      <c r="K800" s="27">
        <f t="shared" si="840"/>
        <v>50</v>
      </c>
      <c r="L800" s="27">
        <f t="shared" si="840"/>
        <v>50</v>
      </c>
      <c r="M800" s="27">
        <f t="shared" ref="M800:N801" si="841">M801</f>
        <v>50</v>
      </c>
      <c r="N800" s="27">
        <f t="shared" si="841"/>
        <v>0</v>
      </c>
      <c r="O800" s="27">
        <f t="shared" si="825"/>
        <v>0</v>
      </c>
    </row>
    <row r="801" spans="1:15" ht="47.25">
      <c r="A801" s="26" t="s">
        <v>325</v>
      </c>
      <c r="B801" s="216">
        <v>907</v>
      </c>
      <c r="C801" s="214" t="s">
        <v>317</v>
      </c>
      <c r="D801" s="214" t="s">
        <v>268</v>
      </c>
      <c r="E801" s="214" t="s">
        <v>343</v>
      </c>
      <c r="F801" s="214" t="s">
        <v>326</v>
      </c>
      <c r="G801" s="27">
        <f t="shared" ref="G801:L801" si="842">G802</f>
        <v>50</v>
      </c>
      <c r="H801" s="27">
        <f t="shared" si="842"/>
        <v>0</v>
      </c>
      <c r="I801" s="27">
        <f t="shared" si="842"/>
        <v>50</v>
      </c>
      <c r="J801" s="27">
        <f t="shared" si="842"/>
        <v>50</v>
      </c>
      <c r="K801" s="27">
        <f t="shared" si="842"/>
        <v>50</v>
      </c>
      <c r="L801" s="27">
        <f t="shared" si="842"/>
        <v>50</v>
      </c>
      <c r="M801" s="27">
        <f t="shared" si="841"/>
        <v>50</v>
      </c>
      <c r="N801" s="27">
        <f t="shared" si="841"/>
        <v>0</v>
      </c>
      <c r="O801" s="27">
        <f t="shared" si="825"/>
        <v>0</v>
      </c>
    </row>
    <row r="802" spans="1:15" ht="15.75">
      <c r="A802" s="26" t="s">
        <v>327</v>
      </c>
      <c r="B802" s="216">
        <v>907</v>
      </c>
      <c r="C802" s="214" t="s">
        <v>317</v>
      </c>
      <c r="D802" s="214" t="s">
        <v>268</v>
      </c>
      <c r="E802" s="214" t="s">
        <v>343</v>
      </c>
      <c r="F802" s="214" t="s">
        <v>328</v>
      </c>
      <c r="G802" s="27">
        <v>50</v>
      </c>
      <c r="H802" s="27">
        <v>0</v>
      </c>
      <c r="I802" s="27">
        <v>50</v>
      </c>
      <c r="J802" s="27">
        <v>50</v>
      </c>
      <c r="K802" s="27">
        <v>50</v>
      </c>
      <c r="L802" s="27">
        <v>50</v>
      </c>
      <c r="M802" s="27">
        <v>50</v>
      </c>
      <c r="N802" s="27">
        <v>0</v>
      </c>
      <c r="O802" s="27">
        <f t="shared" si="825"/>
        <v>0</v>
      </c>
    </row>
    <row r="803" spans="1:15" ht="78.75">
      <c r="A803" s="33" t="s">
        <v>344</v>
      </c>
      <c r="B803" s="216">
        <v>907</v>
      </c>
      <c r="C803" s="214" t="s">
        <v>317</v>
      </c>
      <c r="D803" s="214" t="s">
        <v>268</v>
      </c>
      <c r="E803" s="214" t="s">
        <v>345</v>
      </c>
      <c r="F803" s="214"/>
      <c r="G803" s="27">
        <f t="shared" ref="G803:L807" si="843">G804</f>
        <v>197.3</v>
      </c>
      <c r="H803" s="27">
        <f t="shared" si="843"/>
        <v>118</v>
      </c>
      <c r="I803" s="27">
        <f t="shared" si="843"/>
        <v>197.3</v>
      </c>
      <c r="J803" s="27">
        <f t="shared" si="843"/>
        <v>197.3</v>
      </c>
      <c r="K803" s="27">
        <f t="shared" si="843"/>
        <v>197.3</v>
      </c>
      <c r="L803" s="27">
        <f t="shared" si="843"/>
        <v>197.3</v>
      </c>
      <c r="M803" s="27">
        <f t="shared" ref="M803:N807" si="844">M804</f>
        <v>204.20000000000002</v>
      </c>
      <c r="N803" s="27">
        <f t="shared" si="844"/>
        <v>40</v>
      </c>
      <c r="O803" s="27">
        <f t="shared" si="825"/>
        <v>19.588638589618022</v>
      </c>
    </row>
    <row r="804" spans="1:15" ht="47.25">
      <c r="A804" s="26" t="s">
        <v>325</v>
      </c>
      <c r="B804" s="216">
        <v>907</v>
      </c>
      <c r="C804" s="214" t="s">
        <v>317</v>
      </c>
      <c r="D804" s="214" t="s">
        <v>268</v>
      </c>
      <c r="E804" s="214" t="s">
        <v>345</v>
      </c>
      <c r="F804" s="214" t="s">
        <v>326</v>
      </c>
      <c r="G804" s="27">
        <f>G805</f>
        <v>197.3</v>
      </c>
      <c r="H804" s="27">
        <f>H805</f>
        <v>118</v>
      </c>
      <c r="I804" s="27">
        <f t="shared" si="843"/>
        <v>197.3</v>
      </c>
      <c r="J804" s="27">
        <f t="shared" si="843"/>
        <v>197.3</v>
      </c>
      <c r="K804" s="27">
        <f t="shared" si="843"/>
        <v>197.3</v>
      </c>
      <c r="L804" s="27">
        <f t="shared" si="843"/>
        <v>197.3</v>
      </c>
      <c r="M804" s="27">
        <f t="shared" si="844"/>
        <v>204.20000000000002</v>
      </c>
      <c r="N804" s="27">
        <f t="shared" si="844"/>
        <v>40</v>
      </c>
      <c r="O804" s="27">
        <f t="shared" si="825"/>
        <v>19.588638589618022</v>
      </c>
    </row>
    <row r="805" spans="1:15" ht="15.75">
      <c r="A805" s="26" t="s">
        <v>327</v>
      </c>
      <c r="B805" s="216">
        <v>907</v>
      </c>
      <c r="C805" s="214" t="s">
        <v>317</v>
      </c>
      <c r="D805" s="214" t="s">
        <v>268</v>
      </c>
      <c r="E805" s="214" t="s">
        <v>345</v>
      </c>
      <c r="F805" s="214" t="s">
        <v>328</v>
      </c>
      <c r="G805" s="27">
        <f>200-2.7</f>
        <v>197.3</v>
      </c>
      <c r="H805" s="27">
        <v>118</v>
      </c>
      <c r="I805" s="27">
        <f t="shared" ref="I805:L805" si="845">200-2.7</f>
        <v>197.3</v>
      </c>
      <c r="J805" s="27">
        <f t="shared" si="845"/>
        <v>197.3</v>
      </c>
      <c r="K805" s="27">
        <f t="shared" si="845"/>
        <v>197.3</v>
      </c>
      <c r="L805" s="27">
        <f t="shared" si="845"/>
        <v>197.3</v>
      </c>
      <c r="M805" s="27">
        <f>200-2.7+6.9</f>
        <v>204.20000000000002</v>
      </c>
      <c r="N805" s="27">
        <v>40</v>
      </c>
      <c r="O805" s="27">
        <f t="shared" si="825"/>
        <v>19.588638589618022</v>
      </c>
    </row>
    <row r="806" spans="1:15" ht="110.25">
      <c r="A806" s="33" t="s">
        <v>518</v>
      </c>
      <c r="B806" s="216">
        <v>907</v>
      </c>
      <c r="C806" s="214" t="s">
        <v>317</v>
      </c>
      <c r="D806" s="214" t="s">
        <v>268</v>
      </c>
      <c r="E806" s="214" t="s">
        <v>347</v>
      </c>
      <c r="F806" s="214"/>
      <c r="G806" s="27">
        <f>G807</f>
        <v>479.8</v>
      </c>
      <c r="H806" s="27">
        <f>H807</f>
        <v>158.19999999999999</v>
      </c>
      <c r="I806" s="27">
        <f t="shared" ref="I806:L806" si="846">I807</f>
        <v>479.8</v>
      </c>
      <c r="J806" s="27">
        <f t="shared" si="846"/>
        <v>479.8</v>
      </c>
      <c r="K806" s="27">
        <f t="shared" si="846"/>
        <v>479.8</v>
      </c>
      <c r="L806" s="27">
        <f t="shared" si="846"/>
        <v>479.8</v>
      </c>
      <c r="M806" s="27">
        <f t="shared" ref="M806:N806" si="847">M807</f>
        <v>471.6</v>
      </c>
      <c r="N806" s="27">
        <f t="shared" si="847"/>
        <v>90.4</v>
      </c>
      <c r="O806" s="27">
        <f t="shared" si="825"/>
        <v>19.168787107718405</v>
      </c>
    </row>
    <row r="807" spans="1:15" ht="47.25">
      <c r="A807" s="26" t="s">
        <v>325</v>
      </c>
      <c r="B807" s="216">
        <v>907</v>
      </c>
      <c r="C807" s="214" t="s">
        <v>317</v>
      </c>
      <c r="D807" s="214" t="s">
        <v>268</v>
      </c>
      <c r="E807" s="214" t="s">
        <v>347</v>
      </c>
      <c r="F807" s="214" t="s">
        <v>326</v>
      </c>
      <c r="G807" s="27">
        <f t="shared" si="843"/>
        <v>479.8</v>
      </c>
      <c r="H807" s="27">
        <f t="shared" si="843"/>
        <v>158.19999999999999</v>
      </c>
      <c r="I807" s="27">
        <f t="shared" si="843"/>
        <v>479.8</v>
      </c>
      <c r="J807" s="27">
        <f t="shared" si="843"/>
        <v>479.8</v>
      </c>
      <c r="K807" s="27">
        <f t="shared" si="843"/>
        <v>479.8</v>
      </c>
      <c r="L807" s="27">
        <f t="shared" si="843"/>
        <v>479.8</v>
      </c>
      <c r="M807" s="27">
        <f t="shared" si="844"/>
        <v>471.6</v>
      </c>
      <c r="N807" s="27">
        <f t="shared" si="844"/>
        <v>90.4</v>
      </c>
      <c r="O807" s="27">
        <f t="shared" si="825"/>
        <v>19.168787107718405</v>
      </c>
    </row>
    <row r="808" spans="1:15" ht="15.75">
      <c r="A808" s="26" t="s">
        <v>327</v>
      </c>
      <c r="B808" s="216">
        <v>907</v>
      </c>
      <c r="C808" s="214" t="s">
        <v>317</v>
      </c>
      <c r="D808" s="214" t="s">
        <v>268</v>
      </c>
      <c r="E808" s="214" t="s">
        <v>347</v>
      </c>
      <c r="F808" s="214" t="s">
        <v>328</v>
      </c>
      <c r="G808" s="27">
        <f>500-20.2</f>
        <v>479.8</v>
      </c>
      <c r="H808" s="27">
        <v>158.19999999999999</v>
      </c>
      <c r="I808" s="27">
        <f t="shared" ref="I808:L808" si="848">500-20.2</f>
        <v>479.8</v>
      </c>
      <c r="J808" s="27">
        <f t="shared" si="848"/>
        <v>479.8</v>
      </c>
      <c r="K808" s="27">
        <f t="shared" si="848"/>
        <v>479.8</v>
      </c>
      <c r="L808" s="27">
        <f t="shared" si="848"/>
        <v>479.8</v>
      </c>
      <c r="M808" s="27">
        <f>500-20.2-8.2</f>
        <v>471.6</v>
      </c>
      <c r="N808" s="27">
        <v>90.4</v>
      </c>
      <c r="O808" s="27">
        <f t="shared" si="825"/>
        <v>19.168787107718405</v>
      </c>
    </row>
    <row r="809" spans="1:15" ht="15.75">
      <c r="A809" s="24" t="s">
        <v>544</v>
      </c>
      <c r="B809" s="213">
        <v>907</v>
      </c>
      <c r="C809" s="215" t="s">
        <v>545</v>
      </c>
      <c r="D809" s="214"/>
      <c r="E809" s="214"/>
      <c r="F809" s="214"/>
      <c r="G809" s="22">
        <f t="shared" ref="G809:M809" si="849">G810+G837</f>
        <v>34702.699999999997</v>
      </c>
      <c r="H809" s="22">
        <f t="shared" si="849"/>
        <v>24902</v>
      </c>
      <c r="I809" s="22">
        <f t="shared" si="849"/>
        <v>40816.800000000003</v>
      </c>
      <c r="J809" s="22">
        <f t="shared" si="849"/>
        <v>64029.599999999999</v>
      </c>
      <c r="K809" s="22">
        <f t="shared" si="849"/>
        <v>65815.3</v>
      </c>
      <c r="L809" s="22">
        <f t="shared" si="849"/>
        <v>66895.899999999994</v>
      </c>
      <c r="M809" s="22">
        <f t="shared" si="849"/>
        <v>52525.7</v>
      </c>
      <c r="N809" s="22">
        <f t="shared" ref="N809" si="850">N810+N837</f>
        <v>17267.5</v>
      </c>
      <c r="O809" s="22">
        <f t="shared" si="825"/>
        <v>32.87438339707991</v>
      </c>
    </row>
    <row r="810" spans="1:15" ht="15.75">
      <c r="A810" s="24" t="s">
        <v>546</v>
      </c>
      <c r="B810" s="213">
        <v>907</v>
      </c>
      <c r="C810" s="215" t="s">
        <v>545</v>
      </c>
      <c r="D810" s="215" t="s">
        <v>171</v>
      </c>
      <c r="E810" s="214"/>
      <c r="F810" s="214"/>
      <c r="G810" s="22">
        <f t="shared" ref="G810:L810" si="851">G811+G833</f>
        <v>23173.9</v>
      </c>
      <c r="H810" s="22">
        <f t="shared" si="851"/>
        <v>15997.5</v>
      </c>
      <c r="I810" s="22">
        <f t="shared" si="851"/>
        <v>28397</v>
      </c>
      <c r="J810" s="22">
        <f t="shared" si="851"/>
        <v>52737</v>
      </c>
      <c r="K810" s="22">
        <f t="shared" si="851"/>
        <v>54355.7</v>
      </c>
      <c r="L810" s="22">
        <f t="shared" si="851"/>
        <v>55263.1</v>
      </c>
      <c r="M810" s="22">
        <f>M811+M833+M828</f>
        <v>42347.5</v>
      </c>
      <c r="N810" s="22">
        <f t="shared" ref="N810" si="852">N811+N833+N828</f>
        <v>14481.6</v>
      </c>
      <c r="O810" s="22">
        <f t="shared" si="825"/>
        <v>34.197060038963336</v>
      </c>
    </row>
    <row r="811" spans="1:15" ht="47.25">
      <c r="A811" s="26" t="s">
        <v>535</v>
      </c>
      <c r="B811" s="216">
        <v>907</v>
      </c>
      <c r="C811" s="214" t="s">
        <v>545</v>
      </c>
      <c r="D811" s="214" t="s">
        <v>171</v>
      </c>
      <c r="E811" s="214" t="s">
        <v>536</v>
      </c>
      <c r="F811" s="214"/>
      <c r="G811" s="27">
        <f>G812</f>
        <v>22673.9</v>
      </c>
      <c r="H811" s="27">
        <f>H812</f>
        <v>15997.5</v>
      </c>
      <c r="I811" s="27">
        <f t="shared" ref="I811:N811" si="853">I812</f>
        <v>27897</v>
      </c>
      <c r="J811" s="27">
        <f t="shared" si="853"/>
        <v>52737</v>
      </c>
      <c r="K811" s="27">
        <f t="shared" si="853"/>
        <v>54355.7</v>
      </c>
      <c r="L811" s="27">
        <f t="shared" si="853"/>
        <v>55263.1</v>
      </c>
      <c r="M811" s="27">
        <f t="shared" si="853"/>
        <v>41802.5</v>
      </c>
      <c r="N811" s="27">
        <f t="shared" si="853"/>
        <v>14481.6</v>
      </c>
      <c r="O811" s="27">
        <f t="shared" si="825"/>
        <v>34.64290413252796</v>
      </c>
    </row>
    <row r="812" spans="1:15" ht="47.25">
      <c r="A812" s="26" t="s">
        <v>547</v>
      </c>
      <c r="B812" s="216">
        <v>907</v>
      </c>
      <c r="C812" s="214" t="s">
        <v>545</v>
      </c>
      <c r="D812" s="214" t="s">
        <v>171</v>
      </c>
      <c r="E812" s="214" t="s">
        <v>548</v>
      </c>
      <c r="F812" s="214"/>
      <c r="G812" s="27">
        <f>G813+G816+G819+G822+G825</f>
        <v>22673.9</v>
      </c>
      <c r="H812" s="27">
        <f>H813+H816+H819+H822</f>
        <v>15997.5</v>
      </c>
      <c r="I812" s="27">
        <f t="shared" ref="I812:M812" si="854">I813+I816+I819+I822+I825</f>
        <v>27897</v>
      </c>
      <c r="J812" s="27">
        <f t="shared" si="854"/>
        <v>52737</v>
      </c>
      <c r="K812" s="27">
        <f t="shared" si="854"/>
        <v>54355.7</v>
      </c>
      <c r="L812" s="27">
        <f t="shared" si="854"/>
        <v>55263.1</v>
      </c>
      <c r="M812" s="27">
        <f t="shared" si="854"/>
        <v>41802.5</v>
      </c>
      <c r="N812" s="27">
        <f t="shared" ref="N812" si="855">N813+N816+N819+N822+N825</f>
        <v>14481.6</v>
      </c>
      <c r="O812" s="27">
        <f t="shared" si="825"/>
        <v>34.64290413252796</v>
      </c>
    </row>
    <row r="813" spans="1:15" ht="47.25">
      <c r="A813" s="26" t="s">
        <v>549</v>
      </c>
      <c r="B813" s="216">
        <v>907</v>
      </c>
      <c r="C813" s="214" t="s">
        <v>545</v>
      </c>
      <c r="D813" s="214" t="s">
        <v>171</v>
      </c>
      <c r="E813" s="214" t="s">
        <v>550</v>
      </c>
      <c r="F813" s="214"/>
      <c r="G813" s="27">
        <f>G814</f>
        <v>22376.400000000001</v>
      </c>
      <c r="H813" s="27">
        <f>H814</f>
        <v>15700</v>
      </c>
      <c r="I813" s="27">
        <f t="shared" ref="I813:L813" si="856">I814</f>
        <v>27599.5</v>
      </c>
      <c r="J813" s="27">
        <f t="shared" si="856"/>
        <v>50955.8</v>
      </c>
      <c r="K813" s="27">
        <f t="shared" si="856"/>
        <v>52684.5</v>
      </c>
      <c r="L813" s="27">
        <f t="shared" si="856"/>
        <v>54166.9</v>
      </c>
      <c r="M813" s="27">
        <f t="shared" ref="M813:N814" si="857">M814</f>
        <v>40981.300000000003</v>
      </c>
      <c r="N813" s="27">
        <f t="shared" si="857"/>
        <v>13660.4</v>
      </c>
      <c r="O813" s="27">
        <f t="shared" si="825"/>
        <v>33.333251995422295</v>
      </c>
    </row>
    <row r="814" spans="1:15" ht="47.25">
      <c r="A814" s="26" t="s">
        <v>325</v>
      </c>
      <c r="B814" s="216">
        <v>907</v>
      </c>
      <c r="C814" s="214" t="s">
        <v>545</v>
      </c>
      <c r="D814" s="214" t="s">
        <v>171</v>
      </c>
      <c r="E814" s="214" t="s">
        <v>550</v>
      </c>
      <c r="F814" s="214" t="s">
        <v>326</v>
      </c>
      <c r="G814" s="27">
        <f t="shared" ref="G814:L814" si="858">G815</f>
        <v>22376.400000000001</v>
      </c>
      <c r="H814" s="27">
        <f t="shared" si="858"/>
        <v>15700</v>
      </c>
      <c r="I814" s="27">
        <f t="shared" si="858"/>
        <v>27599.5</v>
      </c>
      <c r="J814" s="27">
        <f t="shared" si="858"/>
        <v>50955.8</v>
      </c>
      <c r="K814" s="27">
        <f t="shared" si="858"/>
        <v>52684.5</v>
      </c>
      <c r="L814" s="27">
        <f t="shared" si="858"/>
        <v>54166.9</v>
      </c>
      <c r="M814" s="27">
        <f t="shared" si="857"/>
        <v>40981.300000000003</v>
      </c>
      <c r="N814" s="27">
        <f t="shared" si="857"/>
        <v>13660.4</v>
      </c>
      <c r="O814" s="27">
        <f t="shared" si="825"/>
        <v>33.333251995422295</v>
      </c>
    </row>
    <row r="815" spans="1:15" ht="15.75">
      <c r="A815" s="26" t="s">
        <v>327</v>
      </c>
      <c r="B815" s="216">
        <v>907</v>
      </c>
      <c r="C815" s="214" t="s">
        <v>545</v>
      </c>
      <c r="D815" s="214" t="s">
        <v>171</v>
      </c>
      <c r="E815" s="214" t="s">
        <v>550</v>
      </c>
      <c r="F815" s="214" t="s">
        <v>328</v>
      </c>
      <c r="G815" s="28">
        <f>10890+1490.1+9887.3-199+308</f>
        <v>22376.400000000001</v>
      </c>
      <c r="H815" s="28">
        <v>15700</v>
      </c>
      <c r="I815" s="28">
        <v>27599.5</v>
      </c>
      <c r="J815" s="28">
        <v>50955.8</v>
      </c>
      <c r="K815" s="28">
        <v>52684.5</v>
      </c>
      <c r="L815" s="28">
        <v>54166.9</v>
      </c>
      <c r="M815" s="28">
        <f>12075+28906.3</f>
        <v>40981.300000000003</v>
      </c>
      <c r="N815" s="28">
        <v>13660.4</v>
      </c>
      <c r="O815" s="27">
        <f t="shared" si="825"/>
        <v>33.333251995422295</v>
      </c>
    </row>
    <row r="816" spans="1:15" ht="47.25" hidden="1">
      <c r="A816" s="26" t="s">
        <v>331</v>
      </c>
      <c r="B816" s="216">
        <v>907</v>
      </c>
      <c r="C816" s="214" t="s">
        <v>545</v>
      </c>
      <c r="D816" s="214" t="s">
        <v>171</v>
      </c>
      <c r="E816" s="214" t="s">
        <v>551</v>
      </c>
      <c r="F816" s="214"/>
      <c r="G816" s="27">
        <f t="shared" ref="G816:L817" si="859">G817</f>
        <v>297.5</v>
      </c>
      <c r="H816" s="27">
        <f t="shared" si="859"/>
        <v>297.5</v>
      </c>
      <c r="I816" s="27">
        <f t="shared" si="859"/>
        <v>297.5</v>
      </c>
      <c r="J816" s="27">
        <f t="shared" si="859"/>
        <v>0</v>
      </c>
      <c r="K816" s="27">
        <f t="shared" si="859"/>
        <v>0</v>
      </c>
      <c r="L816" s="27">
        <f t="shared" si="859"/>
        <v>0</v>
      </c>
      <c r="M816" s="27">
        <f t="shared" ref="M816:N817" si="860">M817</f>
        <v>0</v>
      </c>
      <c r="N816" s="27">
        <f t="shared" si="860"/>
        <v>0</v>
      </c>
      <c r="O816" s="27" t="e">
        <f t="shared" si="825"/>
        <v>#DIV/0!</v>
      </c>
    </row>
    <row r="817" spans="1:15" ht="47.25" hidden="1">
      <c r="A817" s="26" t="s">
        <v>325</v>
      </c>
      <c r="B817" s="216">
        <v>907</v>
      </c>
      <c r="C817" s="214" t="s">
        <v>545</v>
      </c>
      <c r="D817" s="214" t="s">
        <v>171</v>
      </c>
      <c r="E817" s="214" t="s">
        <v>551</v>
      </c>
      <c r="F817" s="214" t="s">
        <v>326</v>
      </c>
      <c r="G817" s="27">
        <f t="shared" si="859"/>
        <v>297.5</v>
      </c>
      <c r="H817" s="27">
        <f t="shared" si="859"/>
        <v>297.5</v>
      </c>
      <c r="I817" s="27">
        <f t="shared" si="859"/>
        <v>297.5</v>
      </c>
      <c r="J817" s="27">
        <f t="shared" si="859"/>
        <v>0</v>
      </c>
      <c r="K817" s="27">
        <f t="shared" si="859"/>
        <v>0</v>
      </c>
      <c r="L817" s="27">
        <f t="shared" si="859"/>
        <v>0</v>
      </c>
      <c r="M817" s="27">
        <f t="shared" si="860"/>
        <v>0</v>
      </c>
      <c r="N817" s="27">
        <f t="shared" si="860"/>
        <v>0</v>
      </c>
      <c r="O817" s="27" t="e">
        <f t="shared" si="825"/>
        <v>#DIV/0!</v>
      </c>
    </row>
    <row r="818" spans="1:15" ht="15.75" hidden="1">
      <c r="A818" s="26" t="s">
        <v>327</v>
      </c>
      <c r="B818" s="216">
        <v>907</v>
      </c>
      <c r="C818" s="214" t="s">
        <v>545</v>
      </c>
      <c r="D818" s="214" t="s">
        <v>171</v>
      </c>
      <c r="E818" s="214" t="s">
        <v>551</v>
      </c>
      <c r="F818" s="214" t="s">
        <v>328</v>
      </c>
      <c r="G818" s="27">
        <f>797.5-500</f>
        <v>297.5</v>
      </c>
      <c r="H818" s="27">
        <f>797.5-500</f>
        <v>297.5</v>
      </c>
      <c r="I818" s="27">
        <f t="shared" ref="I818" si="861">797.5-500</f>
        <v>297.5</v>
      </c>
      <c r="J818" s="27">
        <v>0</v>
      </c>
      <c r="K818" s="27">
        <v>0</v>
      </c>
      <c r="L818" s="27">
        <v>0</v>
      </c>
      <c r="M818" s="27">
        <v>0</v>
      </c>
      <c r="N818" s="27">
        <v>0</v>
      </c>
      <c r="O818" s="27" t="e">
        <f t="shared" si="825"/>
        <v>#DIV/0!</v>
      </c>
    </row>
    <row r="819" spans="1:15" ht="31.5" hidden="1" customHeight="1">
      <c r="A819" s="26" t="s">
        <v>333</v>
      </c>
      <c r="B819" s="216">
        <v>907</v>
      </c>
      <c r="C819" s="214" t="s">
        <v>545</v>
      </c>
      <c r="D819" s="214" t="s">
        <v>171</v>
      </c>
      <c r="E819" s="214" t="s">
        <v>552</v>
      </c>
      <c r="F819" s="214"/>
      <c r="G819" s="27">
        <f t="shared" ref="G819:L820" si="862">G820</f>
        <v>0</v>
      </c>
      <c r="H819" s="27">
        <v>0</v>
      </c>
      <c r="I819" s="27">
        <f t="shared" si="862"/>
        <v>0</v>
      </c>
      <c r="J819" s="27">
        <f t="shared" si="862"/>
        <v>685</v>
      </c>
      <c r="K819" s="27">
        <f t="shared" si="862"/>
        <v>300</v>
      </c>
      <c r="L819" s="27">
        <f t="shared" si="862"/>
        <v>0</v>
      </c>
      <c r="M819" s="27">
        <f t="shared" ref="M819:N820" si="863">M820</f>
        <v>0</v>
      </c>
      <c r="N819" s="27">
        <f t="shared" si="863"/>
        <v>0</v>
      </c>
      <c r="O819" s="27" t="e">
        <f t="shared" si="825"/>
        <v>#DIV/0!</v>
      </c>
    </row>
    <row r="820" spans="1:15" ht="47.25" hidden="1" customHeight="1">
      <c r="A820" s="26" t="s">
        <v>325</v>
      </c>
      <c r="B820" s="216">
        <v>907</v>
      </c>
      <c r="C820" s="214" t="s">
        <v>545</v>
      </c>
      <c r="D820" s="214" t="s">
        <v>171</v>
      </c>
      <c r="E820" s="214" t="s">
        <v>552</v>
      </c>
      <c r="F820" s="214" t="s">
        <v>326</v>
      </c>
      <c r="G820" s="27">
        <f t="shared" si="862"/>
        <v>0</v>
      </c>
      <c r="H820" s="27">
        <v>0</v>
      </c>
      <c r="I820" s="27">
        <f t="shared" si="862"/>
        <v>0</v>
      </c>
      <c r="J820" s="27">
        <f t="shared" si="862"/>
        <v>685</v>
      </c>
      <c r="K820" s="27">
        <f t="shared" si="862"/>
        <v>300</v>
      </c>
      <c r="L820" s="27">
        <f t="shared" si="862"/>
        <v>0</v>
      </c>
      <c r="M820" s="27">
        <f t="shared" si="863"/>
        <v>0</v>
      </c>
      <c r="N820" s="27">
        <f t="shared" si="863"/>
        <v>0</v>
      </c>
      <c r="O820" s="27" t="e">
        <f t="shared" si="825"/>
        <v>#DIV/0!</v>
      </c>
    </row>
    <row r="821" spans="1:15" ht="15.75" hidden="1" customHeight="1">
      <c r="A821" s="26" t="s">
        <v>327</v>
      </c>
      <c r="B821" s="216">
        <v>907</v>
      </c>
      <c r="C821" s="214" t="s">
        <v>545</v>
      </c>
      <c r="D821" s="214" t="s">
        <v>171</v>
      </c>
      <c r="E821" s="214" t="s">
        <v>552</v>
      </c>
      <c r="F821" s="214" t="s">
        <v>328</v>
      </c>
      <c r="G821" s="27">
        <v>0</v>
      </c>
      <c r="H821" s="27">
        <v>0</v>
      </c>
      <c r="I821" s="27">
        <v>0</v>
      </c>
      <c r="J821" s="27">
        <v>685</v>
      </c>
      <c r="K821" s="27">
        <v>300</v>
      </c>
      <c r="L821" s="27">
        <v>0</v>
      </c>
      <c r="M821" s="27">
        <v>0</v>
      </c>
      <c r="N821" s="27">
        <v>0</v>
      </c>
      <c r="O821" s="27" t="e">
        <f t="shared" si="825"/>
        <v>#DIV/0!</v>
      </c>
    </row>
    <row r="822" spans="1:15" ht="33.75" hidden="1" customHeight="1">
      <c r="A822" s="26" t="s">
        <v>337</v>
      </c>
      <c r="B822" s="216">
        <v>907</v>
      </c>
      <c r="C822" s="214" t="s">
        <v>545</v>
      </c>
      <c r="D822" s="214" t="s">
        <v>171</v>
      </c>
      <c r="E822" s="214" t="s">
        <v>553</v>
      </c>
      <c r="F822" s="214"/>
      <c r="G822" s="27">
        <f>G823</f>
        <v>0</v>
      </c>
      <c r="H822" s="27">
        <v>0</v>
      </c>
      <c r="I822" s="27">
        <f t="shared" ref="I822:L823" si="864">I823</f>
        <v>0</v>
      </c>
      <c r="J822" s="27">
        <f t="shared" si="864"/>
        <v>275</v>
      </c>
      <c r="K822" s="27">
        <f t="shared" si="864"/>
        <v>550</v>
      </c>
      <c r="L822" s="27">
        <f t="shared" si="864"/>
        <v>275</v>
      </c>
      <c r="M822" s="27">
        <f t="shared" ref="M822:N823" si="865">M823</f>
        <v>0</v>
      </c>
      <c r="N822" s="27">
        <f t="shared" si="865"/>
        <v>0</v>
      </c>
      <c r="O822" s="27" t="e">
        <f t="shared" si="825"/>
        <v>#DIV/0!</v>
      </c>
    </row>
    <row r="823" spans="1:15" ht="15.75" hidden="1" customHeight="1">
      <c r="A823" s="26" t="s">
        <v>325</v>
      </c>
      <c r="B823" s="216">
        <v>907</v>
      </c>
      <c r="C823" s="214" t="s">
        <v>545</v>
      </c>
      <c r="D823" s="214" t="s">
        <v>171</v>
      </c>
      <c r="E823" s="214" t="s">
        <v>553</v>
      </c>
      <c r="F823" s="214" t="s">
        <v>326</v>
      </c>
      <c r="G823" s="27">
        <f>G824</f>
        <v>0</v>
      </c>
      <c r="H823" s="27">
        <v>0</v>
      </c>
      <c r="I823" s="27">
        <f t="shared" si="864"/>
        <v>0</v>
      </c>
      <c r="J823" s="27">
        <f t="shared" si="864"/>
        <v>275</v>
      </c>
      <c r="K823" s="27">
        <f t="shared" si="864"/>
        <v>550</v>
      </c>
      <c r="L823" s="27">
        <f t="shared" si="864"/>
        <v>275</v>
      </c>
      <c r="M823" s="27">
        <f t="shared" si="865"/>
        <v>0</v>
      </c>
      <c r="N823" s="27">
        <f t="shared" si="865"/>
        <v>0</v>
      </c>
      <c r="O823" s="27" t="e">
        <f t="shared" si="825"/>
        <v>#DIV/0!</v>
      </c>
    </row>
    <row r="824" spans="1:15" ht="15.75" hidden="1" customHeight="1">
      <c r="A824" s="26" t="s">
        <v>327</v>
      </c>
      <c r="B824" s="216">
        <v>907</v>
      </c>
      <c r="C824" s="214" t="s">
        <v>545</v>
      </c>
      <c r="D824" s="214" t="s">
        <v>171</v>
      </c>
      <c r="E824" s="214" t="s">
        <v>553</v>
      </c>
      <c r="F824" s="214" t="s">
        <v>328</v>
      </c>
      <c r="G824" s="27">
        <v>0</v>
      </c>
      <c r="H824" s="27">
        <v>0</v>
      </c>
      <c r="I824" s="27">
        <v>0</v>
      </c>
      <c r="J824" s="27">
        <v>275</v>
      </c>
      <c r="K824" s="27">
        <f>275+275</f>
        <v>550</v>
      </c>
      <c r="L824" s="27">
        <v>275</v>
      </c>
      <c r="M824" s="27">
        <v>0</v>
      </c>
      <c r="N824" s="27">
        <v>0</v>
      </c>
      <c r="O824" s="27" t="e">
        <f t="shared" si="825"/>
        <v>#DIV/0!</v>
      </c>
    </row>
    <row r="825" spans="1:15" ht="49.5" customHeight="1">
      <c r="A825" s="47" t="s">
        <v>871</v>
      </c>
      <c r="B825" s="216">
        <v>907</v>
      </c>
      <c r="C825" s="214" t="s">
        <v>545</v>
      </c>
      <c r="D825" s="214" t="s">
        <v>171</v>
      </c>
      <c r="E825" s="214" t="s">
        <v>879</v>
      </c>
      <c r="F825" s="214"/>
      <c r="G825" s="27">
        <f>G826</f>
        <v>0</v>
      </c>
      <c r="H825" s="27">
        <v>0</v>
      </c>
      <c r="I825" s="27">
        <f t="shared" ref="I825:L826" si="866">I826</f>
        <v>0</v>
      </c>
      <c r="J825" s="27">
        <f t="shared" si="866"/>
        <v>821.2</v>
      </c>
      <c r="K825" s="27">
        <f t="shared" si="866"/>
        <v>821.2</v>
      </c>
      <c r="L825" s="27">
        <f t="shared" si="866"/>
        <v>821.2</v>
      </c>
      <c r="M825" s="27">
        <f t="shared" ref="M825:N826" si="867">M826</f>
        <v>821.2</v>
      </c>
      <c r="N825" s="27">
        <f t="shared" si="867"/>
        <v>821.2</v>
      </c>
      <c r="O825" s="27">
        <f t="shared" si="825"/>
        <v>100</v>
      </c>
    </row>
    <row r="826" spans="1:15" ht="48" customHeight="1">
      <c r="A826" s="33" t="s">
        <v>325</v>
      </c>
      <c r="B826" s="216">
        <v>907</v>
      </c>
      <c r="C826" s="214" t="s">
        <v>545</v>
      </c>
      <c r="D826" s="214" t="s">
        <v>171</v>
      </c>
      <c r="E826" s="214" t="s">
        <v>879</v>
      </c>
      <c r="F826" s="214" t="s">
        <v>326</v>
      </c>
      <c r="G826" s="27">
        <f>G827</f>
        <v>0</v>
      </c>
      <c r="H826" s="27">
        <v>0</v>
      </c>
      <c r="I826" s="27">
        <f t="shared" si="866"/>
        <v>0</v>
      </c>
      <c r="J826" s="27">
        <f t="shared" si="866"/>
        <v>821.2</v>
      </c>
      <c r="K826" s="27">
        <f t="shared" si="866"/>
        <v>821.2</v>
      </c>
      <c r="L826" s="27">
        <f t="shared" si="866"/>
        <v>821.2</v>
      </c>
      <c r="M826" s="27">
        <f t="shared" si="867"/>
        <v>821.2</v>
      </c>
      <c r="N826" s="27">
        <f t="shared" si="867"/>
        <v>821.2</v>
      </c>
      <c r="O826" s="27">
        <f t="shared" si="825"/>
        <v>100</v>
      </c>
    </row>
    <row r="827" spans="1:15" ht="15.75" customHeight="1">
      <c r="A827" s="33" t="s">
        <v>327</v>
      </c>
      <c r="B827" s="216">
        <v>907</v>
      </c>
      <c r="C827" s="214" t="s">
        <v>545</v>
      </c>
      <c r="D827" s="214" t="s">
        <v>171</v>
      </c>
      <c r="E827" s="214" t="s">
        <v>879</v>
      </c>
      <c r="F827" s="214" t="s">
        <v>328</v>
      </c>
      <c r="G827" s="27">
        <v>0</v>
      </c>
      <c r="H827" s="27">
        <v>0</v>
      </c>
      <c r="I827" s="27">
        <v>0</v>
      </c>
      <c r="J827" s="27">
        <v>821.2</v>
      </c>
      <c r="K827" s="27">
        <v>821.2</v>
      </c>
      <c r="L827" s="27">
        <v>821.2</v>
      </c>
      <c r="M827" s="27">
        <v>821.2</v>
      </c>
      <c r="N827" s="27">
        <v>821.2</v>
      </c>
      <c r="O827" s="27">
        <f t="shared" si="825"/>
        <v>100</v>
      </c>
    </row>
    <row r="828" spans="1:15" ht="61.5" customHeight="1">
      <c r="A828" s="33" t="s">
        <v>965</v>
      </c>
      <c r="B828" s="216">
        <v>907</v>
      </c>
      <c r="C828" s="214" t="s">
        <v>545</v>
      </c>
      <c r="D828" s="214" t="s">
        <v>171</v>
      </c>
      <c r="E828" s="214" t="s">
        <v>377</v>
      </c>
      <c r="F828" s="214"/>
      <c r="G828" s="27"/>
      <c r="H828" s="27"/>
      <c r="I828" s="27"/>
      <c r="J828" s="27"/>
      <c r="K828" s="27"/>
      <c r="L828" s="27"/>
      <c r="M828" s="27">
        <f>M829</f>
        <v>545</v>
      </c>
      <c r="N828" s="27">
        <f t="shared" ref="N828:N830" si="868">N829</f>
        <v>0</v>
      </c>
      <c r="O828" s="27">
        <f t="shared" si="825"/>
        <v>0</v>
      </c>
    </row>
    <row r="829" spans="1:15" ht="47.25">
      <c r="A829" s="33" t="s">
        <v>378</v>
      </c>
      <c r="B829" s="216">
        <v>907</v>
      </c>
      <c r="C829" s="214" t="s">
        <v>545</v>
      </c>
      <c r="D829" s="214" t="s">
        <v>171</v>
      </c>
      <c r="E829" s="214" t="s">
        <v>379</v>
      </c>
      <c r="F829" s="214"/>
      <c r="G829" s="27"/>
      <c r="H829" s="27"/>
      <c r="I829" s="27"/>
      <c r="J829" s="27"/>
      <c r="K829" s="27"/>
      <c r="L829" s="27"/>
      <c r="M829" s="27">
        <f>M830</f>
        <v>545</v>
      </c>
      <c r="N829" s="27">
        <f t="shared" si="868"/>
        <v>0</v>
      </c>
      <c r="O829" s="27">
        <f t="shared" si="825"/>
        <v>0</v>
      </c>
    </row>
    <row r="830" spans="1:15" ht="47.25">
      <c r="A830" s="33" t="s">
        <v>325</v>
      </c>
      <c r="B830" s="216">
        <v>907</v>
      </c>
      <c r="C830" s="214" t="s">
        <v>545</v>
      </c>
      <c r="D830" s="214" t="s">
        <v>171</v>
      </c>
      <c r="E830" s="214" t="s">
        <v>379</v>
      </c>
      <c r="F830" s="214" t="s">
        <v>326</v>
      </c>
      <c r="G830" s="27"/>
      <c r="H830" s="27"/>
      <c r="I830" s="27"/>
      <c r="J830" s="27"/>
      <c r="K830" s="27"/>
      <c r="L830" s="27"/>
      <c r="M830" s="27">
        <f>M831</f>
        <v>545</v>
      </c>
      <c r="N830" s="27">
        <f t="shared" si="868"/>
        <v>0</v>
      </c>
      <c r="O830" s="27">
        <f t="shared" si="825"/>
        <v>0</v>
      </c>
    </row>
    <row r="831" spans="1:15" ht="21" customHeight="1">
      <c r="A831" s="33" t="s">
        <v>327</v>
      </c>
      <c r="B831" s="216">
        <v>907</v>
      </c>
      <c r="C831" s="214" t="s">
        <v>545</v>
      </c>
      <c r="D831" s="214" t="s">
        <v>171</v>
      </c>
      <c r="E831" s="214" t="s">
        <v>379</v>
      </c>
      <c r="F831" s="214" t="s">
        <v>328</v>
      </c>
      <c r="G831" s="27"/>
      <c r="H831" s="27"/>
      <c r="I831" s="27"/>
      <c r="J831" s="27"/>
      <c r="K831" s="27"/>
      <c r="L831" s="27"/>
      <c r="M831" s="27">
        <v>545</v>
      </c>
      <c r="N831" s="27">
        <v>0</v>
      </c>
      <c r="O831" s="27">
        <f t="shared" si="825"/>
        <v>0</v>
      </c>
    </row>
    <row r="832" spans="1:15" ht="15.75" hidden="1">
      <c r="A832" s="26" t="s">
        <v>174</v>
      </c>
      <c r="B832" s="216">
        <v>907</v>
      </c>
      <c r="C832" s="214" t="s">
        <v>545</v>
      </c>
      <c r="D832" s="214" t="s">
        <v>171</v>
      </c>
      <c r="E832" s="214" t="s">
        <v>175</v>
      </c>
      <c r="F832" s="214"/>
      <c r="G832" s="27">
        <f>G833</f>
        <v>500</v>
      </c>
      <c r="H832" s="27">
        <f>H833</f>
        <v>0</v>
      </c>
      <c r="I832" s="27">
        <f t="shared" ref="I832:L833" si="869">I833</f>
        <v>500</v>
      </c>
      <c r="J832" s="27">
        <f t="shared" si="869"/>
        <v>0</v>
      </c>
      <c r="K832" s="27">
        <f t="shared" si="869"/>
        <v>0</v>
      </c>
      <c r="L832" s="27">
        <f t="shared" si="869"/>
        <v>0</v>
      </c>
      <c r="M832" s="27">
        <f t="shared" ref="M832:N833" si="870">M833</f>
        <v>0</v>
      </c>
      <c r="N832" s="27">
        <f t="shared" si="870"/>
        <v>0</v>
      </c>
      <c r="O832" s="22" t="e">
        <f t="shared" si="825"/>
        <v>#DIV/0!</v>
      </c>
    </row>
    <row r="833" spans="1:16" ht="31.5" hidden="1">
      <c r="A833" s="26" t="s">
        <v>238</v>
      </c>
      <c r="B833" s="216">
        <v>907</v>
      </c>
      <c r="C833" s="214" t="s">
        <v>545</v>
      </c>
      <c r="D833" s="214" t="s">
        <v>171</v>
      </c>
      <c r="E833" s="214" t="s">
        <v>239</v>
      </c>
      <c r="F833" s="214"/>
      <c r="G833" s="27">
        <f>G834</f>
        <v>500</v>
      </c>
      <c r="H833" s="27">
        <f>H834</f>
        <v>0</v>
      </c>
      <c r="I833" s="27">
        <f t="shared" si="869"/>
        <v>500</v>
      </c>
      <c r="J833" s="27">
        <f t="shared" si="869"/>
        <v>0</v>
      </c>
      <c r="K833" s="27">
        <f t="shared" si="869"/>
        <v>0</v>
      </c>
      <c r="L833" s="27">
        <f t="shared" si="869"/>
        <v>0</v>
      </c>
      <c r="M833" s="27">
        <f t="shared" si="870"/>
        <v>0</v>
      </c>
      <c r="N833" s="27">
        <f t="shared" si="870"/>
        <v>0</v>
      </c>
      <c r="O833" s="22" t="e">
        <f t="shared" si="825"/>
        <v>#DIV/0!</v>
      </c>
    </row>
    <row r="834" spans="1:16" ht="31.5" hidden="1">
      <c r="A834" s="26" t="s">
        <v>834</v>
      </c>
      <c r="B834" s="216">
        <v>907</v>
      </c>
      <c r="C834" s="214" t="s">
        <v>545</v>
      </c>
      <c r="D834" s="214" t="s">
        <v>171</v>
      </c>
      <c r="E834" s="214" t="s">
        <v>832</v>
      </c>
      <c r="F834" s="214"/>
      <c r="G834" s="27">
        <f>G836</f>
        <v>500</v>
      </c>
      <c r="H834" s="27">
        <f>H836</f>
        <v>0</v>
      </c>
      <c r="I834" s="27">
        <f t="shared" ref="I834:L834" si="871">I836</f>
        <v>500</v>
      </c>
      <c r="J834" s="27">
        <f t="shared" si="871"/>
        <v>0</v>
      </c>
      <c r="K834" s="27">
        <f t="shared" si="871"/>
        <v>0</v>
      </c>
      <c r="L834" s="27">
        <f t="shared" si="871"/>
        <v>0</v>
      </c>
      <c r="M834" s="27">
        <f t="shared" ref="M834:N834" si="872">M836</f>
        <v>0</v>
      </c>
      <c r="N834" s="27">
        <f t="shared" si="872"/>
        <v>0</v>
      </c>
      <c r="O834" s="22" t="e">
        <f t="shared" si="825"/>
        <v>#DIV/0!</v>
      </c>
    </row>
    <row r="835" spans="1:16" ht="47.25" hidden="1">
      <c r="A835" s="26" t="s">
        <v>325</v>
      </c>
      <c r="B835" s="216">
        <v>907</v>
      </c>
      <c r="C835" s="214" t="s">
        <v>545</v>
      </c>
      <c r="D835" s="214" t="s">
        <v>171</v>
      </c>
      <c r="E835" s="214" t="s">
        <v>832</v>
      </c>
      <c r="F835" s="214" t="s">
        <v>326</v>
      </c>
      <c r="G835" s="27">
        <f>G836</f>
        <v>500</v>
      </c>
      <c r="H835" s="27">
        <f>H836</f>
        <v>0</v>
      </c>
      <c r="I835" s="27">
        <f t="shared" ref="I835:L835" si="873">I836</f>
        <v>500</v>
      </c>
      <c r="J835" s="27">
        <f t="shared" si="873"/>
        <v>0</v>
      </c>
      <c r="K835" s="27">
        <f t="shared" si="873"/>
        <v>0</v>
      </c>
      <c r="L835" s="27">
        <f t="shared" si="873"/>
        <v>0</v>
      </c>
      <c r="M835" s="27">
        <f t="shared" ref="M835:N835" si="874">M836</f>
        <v>0</v>
      </c>
      <c r="N835" s="27">
        <f t="shared" si="874"/>
        <v>0</v>
      </c>
      <c r="O835" s="22" t="e">
        <f t="shared" si="825"/>
        <v>#DIV/0!</v>
      </c>
    </row>
    <row r="836" spans="1:16" ht="15.75" hidden="1">
      <c r="A836" s="26" t="s">
        <v>327</v>
      </c>
      <c r="B836" s="216">
        <v>907</v>
      </c>
      <c r="C836" s="214" t="s">
        <v>545</v>
      </c>
      <c r="D836" s="214" t="s">
        <v>171</v>
      </c>
      <c r="E836" s="214" t="s">
        <v>832</v>
      </c>
      <c r="F836" s="214" t="s">
        <v>328</v>
      </c>
      <c r="G836" s="27">
        <v>500</v>
      </c>
      <c r="H836" s="27">
        <v>0</v>
      </c>
      <c r="I836" s="27">
        <v>500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2" t="e">
        <f t="shared" si="825"/>
        <v>#DIV/0!</v>
      </c>
    </row>
    <row r="837" spans="1:16" ht="31.5">
      <c r="A837" s="24" t="s">
        <v>554</v>
      </c>
      <c r="B837" s="213">
        <v>907</v>
      </c>
      <c r="C837" s="215" t="s">
        <v>545</v>
      </c>
      <c r="D837" s="215" t="s">
        <v>287</v>
      </c>
      <c r="E837" s="215"/>
      <c r="F837" s="215"/>
      <c r="G837" s="22">
        <f t="shared" ref="G837:L837" si="875">G845+G838</f>
        <v>11528.8</v>
      </c>
      <c r="H837" s="22">
        <f t="shared" si="875"/>
        <v>8904.5</v>
      </c>
      <c r="I837" s="22">
        <f t="shared" si="875"/>
        <v>12419.8</v>
      </c>
      <c r="J837" s="22">
        <f t="shared" si="875"/>
        <v>11292.6</v>
      </c>
      <c r="K837" s="22">
        <f t="shared" si="875"/>
        <v>11459.6</v>
      </c>
      <c r="L837" s="22">
        <f t="shared" si="875"/>
        <v>11632.800000000001</v>
      </c>
      <c r="M837" s="22">
        <f t="shared" ref="M837:N837" si="876">M845+M838</f>
        <v>10178.200000000001</v>
      </c>
      <c r="N837" s="22">
        <f t="shared" si="876"/>
        <v>2785.8999999999996</v>
      </c>
      <c r="O837" s="22">
        <f t="shared" si="825"/>
        <v>27.371244424357936</v>
      </c>
    </row>
    <row r="838" spans="1:16" ht="47.25">
      <c r="A838" s="31" t="s">
        <v>535</v>
      </c>
      <c r="B838" s="216">
        <v>907</v>
      </c>
      <c r="C838" s="214" t="s">
        <v>545</v>
      </c>
      <c r="D838" s="214" t="s">
        <v>287</v>
      </c>
      <c r="E838" s="217" t="s">
        <v>536</v>
      </c>
      <c r="F838" s="214"/>
      <c r="G838" s="27">
        <f t="shared" ref="G838:L839" si="877">G839</f>
        <v>3047</v>
      </c>
      <c r="H838" s="27">
        <f t="shared" si="877"/>
        <v>2050.4</v>
      </c>
      <c r="I838" s="27">
        <f t="shared" si="877"/>
        <v>3047</v>
      </c>
      <c r="J838" s="27">
        <f t="shared" si="877"/>
        <v>3177.9</v>
      </c>
      <c r="K838" s="27">
        <f t="shared" si="877"/>
        <v>3314.6</v>
      </c>
      <c r="L838" s="27">
        <f t="shared" si="877"/>
        <v>3457.1</v>
      </c>
      <c r="M838" s="27">
        <f t="shared" ref="M838:N839" si="878">M839</f>
        <v>2400</v>
      </c>
      <c r="N838" s="27">
        <f t="shared" si="878"/>
        <v>858.7</v>
      </c>
      <c r="O838" s="27">
        <f t="shared" si="825"/>
        <v>35.779166666666669</v>
      </c>
    </row>
    <row r="839" spans="1:16" ht="47.25">
      <c r="A839" s="47" t="s">
        <v>555</v>
      </c>
      <c r="B839" s="216">
        <v>907</v>
      </c>
      <c r="C839" s="214" t="s">
        <v>545</v>
      </c>
      <c r="D839" s="214" t="s">
        <v>287</v>
      </c>
      <c r="E839" s="217" t="s">
        <v>556</v>
      </c>
      <c r="F839" s="214"/>
      <c r="G839" s="27">
        <f t="shared" si="877"/>
        <v>3047</v>
      </c>
      <c r="H839" s="27">
        <f t="shared" si="877"/>
        <v>2050.4</v>
      </c>
      <c r="I839" s="27">
        <f t="shared" si="877"/>
        <v>3047</v>
      </c>
      <c r="J839" s="27">
        <f t="shared" si="877"/>
        <v>3177.9</v>
      </c>
      <c r="K839" s="27">
        <f t="shared" si="877"/>
        <v>3314.6</v>
      </c>
      <c r="L839" s="27">
        <f t="shared" si="877"/>
        <v>3457.1</v>
      </c>
      <c r="M839" s="27">
        <f t="shared" si="878"/>
        <v>2400</v>
      </c>
      <c r="N839" s="27">
        <f t="shared" si="878"/>
        <v>858.7</v>
      </c>
      <c r="O839" s="27">
        <f t="shared" si="825"/>
        <v>35.779166666666669</v>
      </c>
    </row>
    <row r="840" spans="1:16" ht="31.5">
      <c r="A840" s="31" t="s">
        <v>210</v>
      </c>
      <c r="B840" s="216">
        <v>907</v>
      </c>
      <c r="C840" s="214" t="s">
        <v>545</v>
      </c>
      <c r="D840" s="214" t="s">
        <v>287</v>
      </c>
      <c r="E840" s="217" t="s">
        <v>557</v>
      </c>
      <c r="F840" s="214"/>
      <c r="G840" s="27">
        <f>G843+G841</f>
        <v>3047</v>
      </c>
      <c r="H840" s="27">
        <f>H843+H841</f>
        <v>2050.4</v>
      </c>
      <c r="I840" s="27">
        <f t="shared" ref="I840:L840" si="879">I843+I841</f>
        <v>3047</v>
      </c>
      <c r="J840" s="27">
        <f t="shared" si="879"/>
        <v>3177.9</v>
      </c>
      <c r="K840" s="27">
        <f t="shared" si="879"/>
        <v>3314.6</v>
      </c>
      <c r="L840" s="27">
        <f t="shared" si="879"/>
        <v>3457.1</v>
      </c>
      <c r="M840" s="27">
        <v>2400</v>
      </c>
      <c r="N840" s="27">
        <f>N841+N843</f>
        <v>858.7</v>
      </c>
      <c r="O840" s="27">
        <f t="shared" si="825"/>
        <v>35.779166666666669</v>
      </c>
      <c r="P840" s="140"/>
    </row>
    <row r="841" spans="1:16" ht="94.5">
      <c r="A841" s="26" t="s">
        <v>180</v>
      </c>
      <c r="B841" s="216">
        <v>907</v>
      </c>
      <c r="C841" s="214" t="s">
        <v>545</v>
      </c>
      <c r="D841" s="214" t="s">
        <v>287</v>
      </c>
      <c r="E841" s="217" t="s">
        <v>557</v>
      </c>
      <c r="F841" s="214" t="s">
        <v>181</v>
      </c>
      <c r="G841" s="27">
        <f>G842</f>
        <v>2111</v>
      </c>
      <c r="H841" s="27">
        <f>H842</f>
        <v>1124.7</v>
      </c>
      <c r="I841" s="27">
        <f t="shared" ref="I841:L841" si="880">I842</f>
        <v>2111</v>
      </c>
      <c r="J841" s="27">
        <f t="shared" si="880"/>
        <v>2111</v>
      </c>
      <c r="K841" s="27">
        <f t="shared" si="880"/>
        <v>2111</v>
      </c>
      <c r="L841" s="27">
        <f t="shared" si="880"/>
        <v>2111</v>
      </c>
      <c r="M841" s="27">
        <f t="shared" ref="M841:N841" si="881">M842</f>
        <v>1611</v>
      </c>
      <c r="N841" s="27">
        <f t="shared" si="881"/>
        <v>520.5</v>
      </c>
      <c r="O841" s="27">
        <f t="shared" si="825"/>
        <v>32.309124767225327</v>
      </c>
    </row>
    <row r="842" spans="1:16" ht="31.5">
      <c r="A842" s="26" t="s">
        <v>182</v>
      </c>
      <c r="B842" s="216">
        <v>907</v>
      </c>
      <c r="C842" s="214" t="s">
        <v>545</v>
      </c>
      <c r="D842" s="214" t="s">
        <v>287</v>
      </c>
      <c r="E842" s="217" t="s">
        <v>557</v>
      </c>
      <c r="F842" s="214" t="s">
        <v>183</v>
      </c>
      <c r="G842" s="27">
        <v>2111</v>
      </c>
      <c r="H842" s="27">
        <v>1124.7</v>
      </c>
      <c r="I842" s="27">
        <v>2111</v>
      </c>
      <c r="J842" s="27">
        <v>2111</v>
      </c>
      <c r="K842" s="27">
        <v>2111</v>
      </c>
      <c r="L842" s="27">
        <v>2111</v>
      </c>
      <c r="M842" s="27">
        <f>2111-500</f>
        <v>1611</v>
      </c>
      <c r="N842" s="27">
        <v>520.5</v>
      </c>
      <c r="O842" s="27">
        <f t="shared" si="825"/>
        <v>32.309124767225327</v>
      </c>
    </row>
    <row r="843" spans="1:16" ht="31.5">
      <c r="A843" s="31" t="s">
        <v>184</v>
      </c>
      <c r="B843" s="216">
        <v>907</v>
      </c>
      <c r="C843" s="214" t="s">
        <v>545</v>
      </c>
      <c r="D843" s="214" t="s">
        <v>287</v>
      </c>
      <c r="E843" s="217" t="s">
        <v>557</v>
      </c>
      <c r="F843" s="214" t="s">
        <v>185</v>
      </c>
      <c r="G843" s="27">
        <f t="shared" ref="G843:L843" si="882">G844</f>
        <v>936</v>
      </c>
      <c r="H843" s="27">
        <f t="shared" si="882"/>
        <v>925.7</v>
      </c>
      <c r="I843" s="27">
        <f t="shared" si="882"/>
        <v>936</v>
      </c>
      <c r="J843" s="27">
        <f t="shared" si="882"/>
        <v>1066.9000000000001</v>
      </c>
      <c r="K843" s="27">
        <f t="shared" si="882"/>
        <v>1203.5999999999999</v>
      </c>
      <c r="L843" s="27">
        <f t="shared" si="882"/>
        <v>1346.1</v>
      </c>
      <c r="M843" s="27">
        <f>M844</f>
        <v>789</v>
      </c>
      <c r="N843" s="27">
        <f t="shared" ref="N843" si="883">N844</f>
        <v>338.2</v>
      </c>
      <c r="O843" s="27">
        <f t="shared" si="825"/>
        <v>42.864385297845367</v>
      </c>
    </row>
    <row r="844" spans="1:16" ht="47.25">
      <c r="A844" s="31" t="s">
        <v>186</v>
      </c>
      <c r="B844" s="216">
        <v>907</v>
      </c>
      <c r="C844" s="214" t="s">
        <v>545</v>
      </c>
      <c r="D844" s="214" t="s">
        <v>287</v>
      </c>
      <c r="E844" s="217" t="s">
        <v>557</v>
      </c>
      <c r="F844" s="214" t="s">
        <v>187</v>
      </c>
      <c r="G844" s="27">
        <f>3047-2111</f>
        <v>936</v>
      </c>
      <c r="H844" s="27">
        <v>925.7</v>
      </c>
      <c r="I844" s="27">
        <f t="shared" ref="I844" si="884">3047-2111</f>
        <v>936</v>
      </c>
      <c r="J844" s="27">
        <f>3047-2111+130.9</f>
        <v>1066.9000000000001</v>
      </c>
      <c r="K844" s="27">
        <f>3047-2111+267.6</f>
        <v>1203.5999999999999</v>
      </c>
      <c r="L844" s="27">
        <f>3047-2111+410.1</f>
        <v>1346.1</v>
      </c>
      <c r="M844" s="27">
        <f>M840-M841</f>
        <v>789</v>
      </c>
      <c r="N844" s="27">
        <v>338.2</v>
      </c>
      <c r="O844" s="27">
        <f t="shared" si="825"/>
        <v>42.864385297845367</v>
      </c>
    </row>
    <row r="845" spans="1:16" ht="15.75">
      <c r="A845" s="26" t="s">
        <v>174</v>
      </c>
      <c r="B845" s="216">
        <v>907</v>
      </c>
      <c r="C845" s="214" t="s">
        <v>545</v>
      </c>
      <c r="D845" s="214" t="s">
        <v>287</v>
      </c>
      <c r="E845" s="214" t="s">
        <v>175</v>
      </c>
      <c r="F845" s="214"/>
      <c r="G845" s="27">
        <f>G846+G852</f>
        <v>8481.7999999999993</v>
      </c>
      <c r="H845" s="27">
        <f>H846+H852</f>
        <v>6854.1</v>
      </c>
      <c r="I845" s="27">
        <f t="shared" ref="I845:L845" si="885">I846+I852</f>
        <v>9372.7999999999993</v>
      </c>
      <c r="J845" s="27">
        <f t="shared" si="885"/>
        <v>8114.7000000000007</v>
      </c>
      <c r="K845" s="27">
        <f t="shared" si="885"/>
        <v>8145</v>
      </c>
      <c r="L845" s="27">
        <f t="shared" si="885"/>
        <v>8175.7000000000007</v>
      </c>
      <c r="M845" s="27">
        <f t="shared" ref="M845:N845" si="886">M846+M852</f>
        <v>7778.2</v>
      </c>
      <c r="N845" s="27">
        <f t="shared" si="886"/>
        <v>1927.1999999999998</v>
      </c>
      <c r="O845" s="27">
        <f t="shared" ref="O845:O908" si="887">N845/M845*100</f>
        <v>24.776940680363062</v>
      </c>
    </row>
    <row r="846" spans="1:16" ht="31.5">
      <c r="A846" s="26" t="s">
        <v>176</v>
      </c>
      <c r="B846" s="216">
        <v>907</v>
      </c>
      <c r="C846" s="214" t="s">
        <v>545</v>
      </c>
      <c r="D846" s="214" t="s">
        <v>287</v>
      </c>
      <c r="E846" s="214" t="s">
        <v>177</v>
      </c>
      <c r="F846" s="214"/>
      <c r="G846" s="27">
        <f>G847</f>
        <v>3599.8</v>
      </c>
      <c r="H846" s="27">
        <f>H847</f>
        <v>3056.2</v>
      </c>
      <c r="I846" s="27">
        <f t="shared" ref="I846:L846" si="888">I847</f>
        <v>4307.8999999999996</v>
      </c>
      <c r="J846" s="27">
        <f t="shared" si="888"/>
        <v>3788.6</v>
      </c>
      <c r="K846" s="27">
        <f t="shared" si="888"/>
        <v>3788.6</v>
      </c>
      <c r="L846" s="27">
        <f t="shared" si="888"/>
        <v>3788.6</v>
      </c>
      <c r="M846" s="27">
        <f t="shared" ref="M846:N846" si="889">M847</f>
        <v>3499.8</v>
      </c>
      <c r="N846" s="27">
        <f t="shared" si="889"/>
        <v>1132.8</v>
      </c>
      <c r="O846" s="27">
        <f t="shared" si="887"/>
        <v>32.367563860792039</v>
      </c>
    </row>
    <row r="847" spans="1:16" ht="47.25">
      <c r="A847" s="26" t="s">
        <v>178</v>
      </c>
      <c r="B847" s="216">
        <v>907</v>
      </c>
      <c r="C847" s="214" t="s">
        <v>545</v>
      </c>
      <c r="D847" s="214" t="s">
        <v>287</v>
      </c>
      <c r="E847" s="214" t="s">
        <v>179</v>
      </c>
      <c r="F847" s="214"/>
      <c r="G847" s="27">
        <f t="shared" ref="G847:L847" si="890">G848+G850</f>
        <v>3599.8</v>
      </c>
      <c r="H847" s="27">
        <f t="shared" si="890"/>
        <v>3056.2</v>
      </c>
      <c r="I847" s="27">
        <f t="shared" si="890"/>
        <v>4307.8999999999996</v>
      </c>
      <c r="J847" s="27">
        <f t="shared" si="890"/>
        <v>3788.6</v>
      </c>
      <c r="K847" s="27">
        <f t="shared" si="890"/>
        <v>3788.6</v>
      </c>
      <c r="L847" s="27">
        <f t="shared" si="890"/>
        <v>3788.6</v>
      </c>
      <c r="M847" s="27">
        <f t="shared" ref="M847:N847" si="891">M848+M850</f>
        <v>3499.8</v>
      </c>
      <c r="N847" s="27">
        <f t="shared" si="891"/>
        <v>1132.8</v>
      </c>
      <c r="O847" s="27">
        <f t="shared" si="887"/>
        <v>32.367563860792039</v>
      </c>
    </row>
    <row r="848" spans="1:16" ht="94.5">
      <c r="A848" s="26" t="s">
        <v>180</v>
      </c>
      <c r="B848" s="216">
        <v>907</v>
      </c>
      <c r="C848" s="214" t="s">
        <v>545</v>
      </c>
      <c r="D848" s="214" t="s">
        <v>287</v>
      </c>
      <c r="E848" s="214" t="s">
        <v>179</v>
      </c>
      <c r="F848" s="214" t="s">
        <v>181</v>
      </c>
      <c r="G848" s="27">
        <f>G849</f>
        <v>3599.8</v>
      </c>
      <c r="H848" s="27">
        <f>H849</f>
        <v>3056.2</v>
      </c>
      <c r="I848" s="27">
        <f t="shared" ref="I848:L848" si="892">I849</f>
        <v>4307.8999999999996</v>
      </c>
      <c r="J848" s="27">
        <f t="shared" si="892"/>
        <v>3135.5</v>
      </c>
      <c r="K848" s="27">
        <f t="shared" si="892"/>
        <v>3135.5</v>
      </c>
      <c r="L848" s="27">
        <f t="shared" si="892"/>
        <v>3135.5</v>
      </c>
      <c r="M848" s="27">
        <f t="shared" ref="M848:N848" si="893">M849</f>
        <v>3499.8</v>
      </c>
      <c r="N848" s="27">
        <f t="shared" si="893"/>
        <v>1132.8</v>
      </c>
      <c r="O848" s="27">
        <f t="shared" si="887"/>
        <v>32.367563860792039</v>
      </c>
    </row>
    <row r="849" spans="1:15" ht="31.5">
      <c r="A849" s="26" t="s">
        <v>182</v>
      </c>
      <c r="B849" s="216">
        <v>907</v>
      </c>
      <c r="C849" s="214" t="s">
        <v>545</v>
      </c>
      <c r="D849" s="214" t="s">
        <v>287</v>
      </c>
      <c r="E849" s="214" t="s">
        <v>179</v>
      </c>
      <c r="F849" s="214" t="s">
        <v>183</v>
      </c>
      <c r="G849" s="28">
        <v>3599.8</v>
      </c>
      <c r="H849" s="28">
        <v>3056.2</v>
      </c>
      <c r="I849" s="28">
        <v>4307.8999999999996</v>
      </c>
      <c r="J849" s="28">
        <v>3135.5</v>
      </c>
      <c r="K849" s="28">
        <v>3135.5</v>
      </c>
      <c r="L849" s="28">
        <v>3135.5</v>
      </c>
      <c r="M849" s="28">
        <v>3499.8</v>
      </c>
      <c r="N849" s="28">
        <v>1132.8</v>
      </c>
      <c r="O849" s="27">
        <f t="shared" si="887"/>
        <v>32.367563860792039</v>
      </c>
    </row>
    <row r="850" spans="1:15" ht="31.5" hidden="1" customHeight="1">
      <c r="A850" s="26" t="s">
        <v>184</v>
      </c>
      <c r="B850" s="216">
        <v>907</v>
      </c>
      <c r="C850" s="214" t="s">
        <v>545</v>
      </c>
      <c r="D850" s="214" t="s">
        <v>287</v>
      </c>
      <c r="E850" s="214" t="s">
        <v>179</v>
      </c>
      <c r="F850" s="214" t="s">
        <v>185</v>
      </c>
      <c r="G850" s="27">
        <f t="shared" ref="G850:L850" si="894">G851</f>
        <v>0</v>
      </c>
      <c r="H850" s="27">
        <f t="shared" si="894"/>
        <v>0</v>
      </c>
      <c r="I850" s="27">
        <f t="shared" si="894"/>
        <v>0</v>
      </c>
      <c r="J850" s="27">
        <f t="shared" si="894"/>
        <v>653.1</v>
      </c>
      <c r="K850" s="27">
        <f t="shared" si="894"/>
        <v>653.1</v>
      </c>
      <c r="L850" s="27">
        <f t="shared" si="894"/>
        <v>653.1</v>
      </c>
      <c r="M850" s="27">
        <f t="shared" ref="M850:N850" si="895">M851</f>
        <v>0</v>
      </c>
      <c r="N850" s="27">
        <f t="shared" si="895"/>
        <v>0</v>
      </c>
      <c r="O850" s="27" t="e">
        <f t="shared" si="887"/>
        <v>#DIV/0!</v>
      </c>
    </row>
    <row r="851" spans="1:15" ht="47.25" hidden="1" customHeight="1">
      <c r="A851" s="26" t="s">
        <v>186</v>
      </c>
      <c r="B851" s="216">
        <v>907</v>
      </c>
      <c r="C851" s="214" t="s">
        <v>545</v>
      </c>
      <c r="D851" s="214" t="s">
        <v>287</v>
      </c>
      <c r="E851" s="214" t="s">
        <v>179</v>
      </c>
      <c r="F851" s="214" t="s">
        <v>187</v>
      </c>
      <c r="G851" s="27">
        <v>0</v>
      </c>
      <c r="H851" s="27">
        <v>0</v>
      </c>
      <c r="I851" s="27">
        <v>0</v>
      </c>
      <c r="J851" s="27">
        <v>653.1</v>
      </c>
      <c r="K851" s="27">
        <v>653.1</v>
      </c>
      <c r="L851" s="27">
        <v>653.1</v>
      </c>
      <c r="M851" s="27">
        <v>0</v>
      </c>
      <c r="N851" s="27">
        <v>0</v>
      </c>
      <c r="O851" s="27" t="e">
        <f t="shared" si="887"/>
        <v>#DIV/0!</v>
      </c>
    </row>
    <row r="852" spans="1:15" ht="15.75">
      <c r="A852" s="26" t="s">
        <v>194</v>
      </c>
      <c r="B852" s="216">
        <v>907</v>
      </c>
      <c r="C852" s="214" t="s">
        <v>545</v>
      </c>
      <c r="D852" s="214" t="s">
        <v>287</v>
      </c>
      <c r="E852" s="214" t="s">
        <v>195</v>
      </c>
      <c r="F852" s="214"/>
      <c r="G852" s="27">
        <f>G853</f>
        <v>4882</v>
      </c>
      <c r="H852" s="27">
        <f>H853</f>
        <v>3797.9</v>
      </c>
      <c r="I852" s="27">
        <f t="shared" ref="I852:L852" si="896">I853</f>
        <v>5064.9000000000005</v>
      </c>
      <c r="J852" s="27">
        <f t="shared" si="896"/>
        <v>4326.1000000000004</v>
      </c>
      <c r="K852" s="27">
        <f t="shared" si="896"/>
        <v>4356.4000000000005</v>
      </c>
      <c r="L852" s="27">
        <f t="shared" si="896"/>
        <v>4387.1000000000004</v>
      </c>
      <c r="M852" s="27">
        <f t="shared" ref="M852:N852" si="897">M853</f>
        <v>4278.3999999999996</v>
      </c>
      <c r="N852" s="27">
        <f t="shared" si="897"/>
        <v>794.4</v>
      </c>
      <c r="O852" s="27">
        <f t="shared" si="887"/>
        <v>18.567688855646971</v>
      </c>
    </row>
    <row r="853" spans="1:15" ht="31.5">
      <c r="A853" s="26" t="s">
        <v>393</v>
      </c>
      <c r="B853" s="216">
        <v>907</v>
      </c>
      <c r="C853" s="214" t="s">
        <v>545</v>
      </c>
      <c r="D853" s="214" t="s">
        <v>287</v>
      </c>
      <c r="E853" s="214" t="s">
        <v>394</v>
      </c>
      <c r="F853" s="214"/>
      <c r="G853" s="27">
        <f>G854+G856+G858</f>
        <v>4882</v>
      </c>
      <c r="H853" s="27">
        <f>H854+H856+H858</f>
        <v>3797.9</v>
      </c>
      <c r="I853" s="27">
        <f t="shared" ref="I853:L853" si="898">I854+I856+I858</f>
        <v>5064.9000000000005</v>
      </c>
      <c r="J853" s="27">
        <f t="shared" si="898"/>
        <v>4326.1000000000004</v>
      </c>
      <c r="K853" s="27">
        <f t="shared" si="898"/>
        <v>4356.4000000000005</v>
      </c>
      <c r="L853" s="27">
        <f t="shared" si="898"/>
        <v>4387.1000000000004</v>
      </c>
      <c r="M853" s="27">
        <f t="shared" ref="M853:N853" si="899">M854+M856+M858</f>
        <v>4278.3999999999996</v>
      </c>
      <c r="N853" s="27">
        <f t="shared" si="899"/>
        <v>794.4</v>
      </c>
      <c r="O853" s="27">
        <f t="shared" si="887"/>
        <v>18.567688855646971</v>
      </c>
    </row>
    <row r="854" spans="1:15" ht="94.5">
      <c r="A854" s="26" t="s">
        <v>180</v>
      </c>
      <c r="B854" s="216">
        <v>907</v>
      </c>
      <c r="C854" s="214" t="s">
        <v>545</v>
      </c>
      <c r="D854" s="214" t="s">
        <v>287</v>
      </c>
      <c r="E854" s="214" t="s">
        <v>394</v>
      </c>
      <c r="F854" s="214" t="s">
        <v>181</v>
      </c>
      <c r="G854" s="27">
        <f>G855</f>
        <v>3660.7</v>
      </c>
      <c r="H854" s="27">
        <f>H855</f>
        <v>2950.5</v>
      </c>
      <c r="I854" s="27">
        <f t="shared" ref="I854:L854" si="900">I855</f>
        <v>3779.8</v>
      </c>
      <c r="J854" s="27">
        <f t="shared" si="900"/>
        <v>3033</v>
      </c>
      <c r="K854" s="27">
        <f t="shared" si="900"/>
        <v>3063.3</v>
      </c>
      <c r="L854" s="27">
        <f t="shared" si="900"/>
        <v>3094</v>
      </c>
      <c r="M854" s="27">
        <f t="shared" ref="M854:N854" si="901">M855</f>
        <v>3033</v>
      </c>
      <c r="N854" s="27">
        <f t="shared" si="901"/>
        <v>671.8</v>
      </c>
      <c r="O854" s="27">
        <f t="shared" si="887"/>
        <v>22.149686778766899</v>
      </c>
    </row>
    <row r="855" spans="1:15" ht="31.5">
      <c r="A855" s="26" t="s">
        <v>395</v>
      </c>
      <c r="B855" s="216">
        <v>907</v>
      </c>
      <c r="C855" s="214" t="s">
        <v>545</v>
      </c>
      <c r="D855" s="214" t="s">
        <v>287</v>
      </c>
      <c r="E855" s="214" t="s">
        <v>394</v>
      </c>
      <c r="F855" s="214" t="s">
        <v>262</v>
      </c>
      <c r="G855" s="28">
        <f>4240.2-579.5</f>
        <v>3660.7</v>
      </c>
      <c r="H855" s="28">
        <v>2950.5</v>
      </c>
      <c r="I855" s="28">
        <v>3779.8</v>
      </c>
      <c r="J855" s="28">
        <v>3033</v>
      </c>
      <c r="K855" s="28">
        <v>3063.3</v>
      </c>
      <c r="L855" s="28">
        <v>3094</v>
      </c>
      <c r="M855" s="28">
        <v>3033</v>
      </c>
      <c r="N855" s="28">
        <v>671.8</v>
      </c>
      <c r="O855" s="27">
        <f t="shared" si="887"/>
        <v>22.149686778766899</v>
      </c>
    </row>
    <row r="856" spans="1:15" ht="31.5">
      <c r="A856" s="26" t="s">
        <v>184</v>
      </c>
      <c r="B856" s="216">
        <v>907</v>
      </c>
      <c r="C856" s="214" t="s">
        <v>545</v>
      </c>
      <c r="D856" s="214" t="s">
        <v>287</v>
      </c>
      <c r="E856" s="214" t="s">
        <v>394</v>
      </c>
      <c r="F856" s="214" t="s">
        <v>185</v>
      </c>
      <c r="G856" s="27">
        <f>G857</f>
        <v>1194.1999999999998</v>
      </c>
      <c r="H856" s="27">
        <f>H857</f>
        <v>833</v>
      </c>
      <c r="I856" s="27">
        <f t="shared" ref="I856:L856" si="902">I857</f>
        <v>1258</v>
      </c>
      <c r="J856" s="27">
        <f t="shared" si="902"/>
        <v>1266</v>
      </c>
      <c r="K856" s="27">
        <f t="shared" si="902"/>
        <v>1266</v>
      </c>
      <c r="L856" s="27">
        <f t="shared" si="902"/>
        <v>1266</v>
      </c>
      <c r="M856" s="27">
        <f t="shared" ref="M856:N856" si="903">M857</f>
        <v>1194.1999999999998</v>
      </c>
      <c r="N856" s="27">
        <f t="shared" si="903"/>
        <v>117.1</v>
      </c>
      <c r="O856" s="27">
        <f t="shared" si="887"/>
        <v>9.805727683805058</v>
      </c>
    </row>
    <row r="857" spans="1:15" ht="47.25">
      <c r="A857" s="26" t="s">
        <v>186</v>
      </c>
      <c r="B857" s="216">
        <v>907</v>
      </c>
      <c r="C857" s="214" t="s">
        <v>545</v>
      </c>
      <c r="D857" s="214" t="s">
        <v>287</v>
      </c>
      <c r="E857" s="214" t="s">
        <v>394</v>
      </c>
      <c r="F857" s="214" t="s">
        <v>187</v>
      </c>
      <c r="G857" s="28">
        <f>1339.6-145.4</f>
        <v>1194.1999999999998</v>
      </c>
      <c r="H857" s="28">
        <v>833</v>
      </c>
      <c r="I857" s="28">
        <v>1258</v>
      </c>
      <c r="J857" s="28">
        <f>1293.1-J859</f>
        <v>1266</v>
      </c>
      <c r="K857" s="28">
        <f>J857</f>
        <v>1266</v>
      </c>
      <c r="L857" s="28">
        <f>K857</f>
        <v>1266</v>
      </c>
      <c r="M857" s="28">
        <f t="shared" ref="M857" si="904">1339.6-145.4</f>
        <v>1194.1999999999998</v>
      </c>
      <c r="N857" s="28">
        <v>117.1</v>
      </c>
      <c r="O857" s="27">
        <f t="shared" si="887"/>
        <v>9.805727683805058</v>
      </c>
    </row>
    <row r="858" spans="1:15" ht="15.75">
      <c r="A858" s="26" t="s">
        <v>188</v>
      </c>
      <c r="B858" s="216">
        <v>907</v>
      </c>
      <c r="C858" s="214" t="s">
        <v>545</v>
      </c>
      <c r="D858" s="214" t="s">
        <v>287</v>
      </c>
      <c r="E858" s="214" t="s">
        <v>394</v>
      </c>
      <c r="F858" s="214" t="s">
        <v>198</v>
      </c>
      <c r="G858" s="27">
        <f>G859</f>
        <v>27.1</v>
      </c>
      <c r="H858" s="27">
        <f>H859</f>
        <v>14.4</v>
      </c>
      <c r="I858" s="27">
        <f t="shared" ref="I858:L858" si="905">I859</f>
        <v>27.1</v>
      </c>
      <c r="J858" s="27">
        <f t="shared" si="905"/>
        <v>27.1</v>
      </c>
      <c r="K858" s="27">
        <f t="shared" si="905"/>
        <v>27.1</v>
      </c>
      <c r="L858" s="27">
        <f t="shared" si="905"/>
        <v>27.1</v>
      </c>
      <c r="M858" s="27">
        <f t="shared" ref="M858:N858" si="906">M859</f>
        <v>51.2</v>
      </c>
      <c r="N858" s="27">
        <f t="shared" si="906"/>
        <v>5.5</v>
      </c>
      <c r="O858" s="27">
        <f t="shared" si="887"/>
        <v>10.7421875</v>
      </c>
    </row>
    <row r="859" spans="1:15" ht="15.75">
      <c r="A859" s="26" t="s">
        <v>622</v>
      </c>
      <c r="B859" s="216">
        <v>907</v>
      </c>
      <c r="C859" s="214" t="s">
        <v>545</v>
      </c>
      <c r="D859" s="214" t="s">
        <v>287</v>
      </c>
      <c r="E859" s="214" t="s">
        <v>394</v>
      </c>
      <c r="F859" s="214" t="s">
        <v>191</v>
      </c>
      <c r="G859" s="27">
        <f>27.1</f>
        <v>27.1</v>
      </c>
      <c r="H859" s="27">
        <v>14.4</v>
      </c>
      <c r="I859" s="27">
        <f t="shared" ref="I859:L859" si="907">27.1</f>
        <v>27.1</v>
      </c>
      <c r="J859" s="27">
        <f t="shared" si="907"/>
        <v>27.1</v>
      </c>
      <c r="K859" s="27">
        <f t="shared" si="907"/>
        <v>27.1</v>
      </c>
      <c r="L859" s="27">
        <f t="shared" si="907"/>
        <v>27.1</v>
      </c>
      <c r="M859" s="27">
        <f>27.1+24.1</f>
        <v>51.2</v>
      </c>
      <c r="N859" s="27">
        <v>5.5</v>
      </c>
      <c r="O859" s="27">
        <f t="shared" si="887"/>
        <v>10.7421875</v>
      </c>
    </row>
    <row r="860" spans="1:15" ht="47.25">
      <c r="A860" s="20" t="s">
        <v>558</v>
      </c>
      <c r="B860" s="213">
        <v>908</v>
      </c>
      <c r="C860" s="214"/>
      <c r="D860" s="214"/>
      <c r="E860" s="214"/>
      <c r="F860" s="214"/>
      <c r="G860" s="22">
        <f t="shared" ref="G860:M860" si="908">G875+G882+G896+G1041+G861</f>
        <v>143249.5</v>
      </c>
      <c r="H860" s="22">
        <f t="shared" si="908"/>
        <v>47511.600000000006</v>
      </c>
      <c r="I860" s="22">
        <f t="shared" si="908"/>
        <v>118750.52588235296</v>
      </c>
      <c r="J860" s="22">
        <f t="shared" si="908"/>
        <v>117821.90000000001</v>
      </c>
      <c r="K860" s="22">
        <f t="shared" si="908"/>
        <v>118390.20000000001</v>
      </c>
      <c r="L860" s="22">
        <f t="shared" si="908"/>
        <v>120684.30000000002</v>
      </c>
      <c r="M860" s="22">
        <f t="shared" si="908"/>
        <v>138515.20000000001</v>
      </c>
      <c r="N860" s="22">
        <f t="shared" ref="N860" si="909">N875+N882+N896+N1041+N861</f>
        <v>21863.799999999996</v>
      </c>
      <c r="O860" s="22">
        <f t="shared" si="887"/>
        <v>15.784404888416573</v>
      </c>
    </row>
    <row r="861" spans="1:15" ht="15.75">
      <c r="A861" s="36" t="s">
        <v>170</v>
      </c>
      <c r="B861" s="213">
        <v>908</v>
      </c>
      <c r="C861" s="215" t="s">
        <v>171</v>
      </c>
      <c r="D861" s="214"/>
      <c r="E861" s="214"/>
      <c r="F861" s="214"/>
      <c r="G861" s="22">
        <f>G862</f>
        <v>16714.8</v>
      </c>
      <c r="H861" s="22">
        <f t="shared" ref="H861:L861" si="910">H862</f>
        <v>4329.8999999999996</v>
      </c>
      <c r="I861" s="22">
        <f t="shared" si="910"/>
        <v>10398.02</v>
      </c>
      <c r="J861" s="22">
        <f t="shared" si="910"/>
        <v>33970.5</v>
      </c>
      <c r="K861" s="22">
        <f t="shared" si="910"/>
        <v>34241.9</v>
      </c>
      <c r="L861" s="22">
        <f t="shared" si="910"/>
        <v>34516</v>
      </c>
      <c r="M861" s="22">
        <f t="shared" ref="M861:N861" si="911">M862</f>
        <v>30746.1</v>
      </c>
      <c r="N861" s="22">
        <f t="shared" si="911"/>
        <v>9005.5999999999985</v>
      </c>
      <c r="O861" s="22">
        <f t="shared" si="887"/>
        <v>29.290218922074668</v>
      </c>
    </row>
    <row r="862" spans="1:15" ht="15.75">
      <c r="A862" s="36" t="s">
        <v>192</v>
      </c>
      <c r="B862" s="213">
        <v>908</v>
      </c>
      <c r="C862" s="215" t="s">
        <v>171</v>
      </c>
      <c r="D862" s="215" t="s">
        <v>193</v>
      </c>
      <c r="E862" s="214"/>
      <c r="F862" s="214"/>
      <c r="G862" s="22">
        <f>G864+G867</f>
        <v>16714.8</v>
      </c>
      <c r="H862" s="22">
        <f t="shared" ref="H862" si="912">H864+H867</f>
        <v>4329.8999999999996</v>
      </c>
      <c r="I862" s="22">
        <f t="shared" ref="I862:L862" si="913">I864+I867</f>
        <v>10398.02</v>
      </c>
      <c r="J862" s="22">
        <f t="shared" si="913"/>
        <v>33970.5</v>
      </c>
      <c r="K862" s="22">
        <f t="shared" si="913"/>
        <v>34241.9</v>
      </c>
      <c r="L862" s="22">
        <f t="shared" si="913"/>
        <v>34516</v>
      </c>
      <c r="M862" s="22">
        <f t="shared" ref="M862:N862" si="914">M864+M867</f>
        <v>30746.1</v>
      </c>
      <c r="N862" s="22">
        <f t="shared" si="914"/>
        <v>9005.5999999999985</v>
      </c>
      <c r="O862" s="22">
        <f t="shared" si="887"/>
        <v>29.290218922074668</v>
      </c>
    </row>
    <row r="863" spans="1:15" ht="15.75" hidden="1">
      <c r="A863" s="26" t="s">
        <v>194</v>
      </c>
      <c r="B863" s="216">
        <v>908</v>
      </c>
      <c r="C863" s="214" t="s">
        <v>171</v>
      </c>
      <c r="D863" s="214" t="s">
        <v>193</v>
      </c>
      <c r="E863" s="214" t="s">
        <v>195</v>
      </c>
      <c r="F863" s="214"/>
      <c r="G863" s="27">
        <f>G864</f>
        <v>262.5</v>
      </c>
      <c r="H863" s="27">
        <f t="shared" ref="H863:H865" si="915">H864</f>
        <v>32.700000000000003</v>
      </c>
      <c r="I863" s="27">
        <f t="shared" ref="I863:L865" si="916">I864</f>
        <v>262.5</v>
      </c>
      <c r="J863" s="27">
        <f t="shared" si="916"/>
        <v>0</v>
      </c>
      <c r="K863" s="27">
        <f t="shared" si="916"/>
        <v>0</v>
      </c>
      <c r="L863" s="27">
        <f t="shared" si="916"/>
        <v>0</v>
      </c>
      <c r="M863" s="27">
        <f t="shared" ref="M863:N865" si="917">M864</f>
        <v>0</v>
      </c>
      <c r="N863" s="27">
        <f t="shared" si="917"/>
        <v>0</v>
      </c>
      <c r="O863" s="22" t="e">
        <f t="shared" si="887"/>
        <v>#DIV/0!</v>
      </c>
    </row>
    <row r="864" spans="1:15" ht="15.75" hidden="1">
      <c r="A864" s="26" t="s">
        <v>196</v>
      </c>
      <c r="B864" s="216">
        <v>908</v>
      </c>
      <c r="C864" s="214" t="s">
        <v>171</v>
      </c>
      <c r="D864" s="214" t="s">
        <v>193</v>
      </c>
      <c r="E864" s="214" t="s">
        <v>197</v>
      </c>
      <c r="F864" s="214"/>
      <c r="G864" s="27">
        <f>G865</f>
        <v>262.5</v>
      </c>
      <c r="H864" s="27">
        <f t="shared" si="915"/>
        <v>32.700000000000003</v>
      </c>
      <c r="I864" s="27">
        <f t="shared" si="916"/>
        <v>262.5</v>
      </c>
      <c r="J864" s="27">
        <f t="shared" si="916"/>
        <v>0</v>
      </c>
      <c r="K864" s="27">
        <f t="shared" si="916"/>
        <v>0</v>
      </c>
      <c r="L864" s="27">
        <f t="shared" si="916"/>
        <v>0</v>
      </c>
      <c r="M864" s="27">
        <f t="shared" si="917"/>
        <v>0</v>
      </c>
      <c r="N864" s="27">
        <f t="shared" si="917"/>
        <v>0</v>
      </c>
      <c r="O864" s="22" t="e">
        <f t="shared" si="887"/>
        <v>#DIV/0!</v>
      </c>
    </row>
    <row r="865" spans="1:15" ht="15.75" hidden="1">
      <c r="A865" s="26" t="s">
        <v>188</v>
      </c>
      <c r="B865" s="216">
        <v>908</v>
      </c>
      <c r="C865" s="214" t="s">
        <v>171</v>
      </c>
      <c r="D865" s="214" t="s">
        <v>193</v>
      </c>
      <c r="E865" s="214" t="s">
        <v>197</v>
      </c>
      <c r="F865" s="214" t="s">
        <v>198</v>
      </c>
      <c r="G865" s="27">
        <f>G866</f>
        <v>262.5</v>
      </c>
      <c r="H865" s="27">
        <f t="shared" si="915"/>
        <v>32.700000000000003</v>
      </c>
      <c r="I865" s="27">
        <f t="shared" si="916"/>
        <v>262.5</v>
      </c>
      <c r="J865" s="27">
        <f t="shared" si="916"/>
        <v>0</v>
      </c>
      <c r="K865" s="27">
        <f t="shared" si="916"/>
        <v>0</v>
      </c>
      <c r="L865" s="27">
        <f t="shared" si="916"/>
        <v>0</v>
      </c>
      <c r="M865" s="27">
        <f t="shared" si="917"/>
        <v>0</v>
      </c>
      <c r="N865" s="27">
        <f t="shared" si="917"/>
        <v>0</v>
      </c>
      <c r="O865" s="22" t="e">
        <f t="shared" si="887"/>
        <v>#DIV/0!</v>
      </c>
    </row>
    <row r="866" spans="1:15" ht="15.75" hidden="1">
      <c r="A866" s="26" t="s">
        <v>622</v>
      </c>
      <c r="B866" s="216">
        <v>908</v>
      </c>
      <c r="C866" s="214" t="s">
        <v>171</v>
      </c>
      <c r="D866" s="214" t="s">
        <v>193</v>
      </c>
      <c r="E866" s="214" t="s">
        <v>197</v>
      </c>
      <c r="F866" s="214" t="s">
        <v>191</v>
      </c>
      <c r="G866" s="27">
        <v>262.5</v>
      </c>
      <c r="H866" s="27">
        <v>32.700000000000003</v>
      </c>
      <c r="I866" s="27">
        <v>262.5</v>
      </c>
      <c r="J866" s="27">
        <v>0</v>
      </c>
      <c r="K866" s="27">
        <v>0</v>
      </c>
      <c r="L866" s="27">
        <v>0</v>
      </c>
      <c r="M866" s="27">
        <v>0</v>
      </c>
      <c r="N866" s="27">
        <v>0</v>
      </c>
      <c r="O866" s="22" t="e">
        <f t="shared" si="887"/>
        <v>#DIV/0!</v>
      </c>
    </row>
    <row r="867" spans="1:15" ht="31.5">
      <c r="A867" s="26" t="s">
        <v>638</v>
      </c>
      <c r="B867" s="216">
        <v>908</v>
      </c>
      <c r="C867" s="214" t="s">
        <v>171</v>
      </c>
      <c r="D867" s="214" t="s">
        <v>193</v>
      </c>
      <c r="E867" s="214" t="s">
        <v>639</v>
      </c>
      <c r="F867" s="214"/>
      <c r="G867" s="28">
        <f>G868</f>
        <v>16452.3</v>
      </c>
      <c r="H867" s="28">
        <f>H868</f>
        <v>4297.2</v>
      </c>
      <c r="I867" s="28">
        <f t="shared" ref="I867:L867" si="918">I868</f>
        <v>10135.52</v>
      </c>
      <c r="J867" s="28">
        <f t="shared" si="918"/>
        <v>33970.5</v>
      </c>
      <c r="K867" s="28">
        <f t="shared" si="918"/>
        <v>34241.9</v>
      </c>
      <c r="L867" s="28">
        <f t="shared" si="918"/>
        <v>34516</v>
      </c>
      <c r="M867" s="28">
        <f t="shared" ref="M867:N867" si="919">M868</f>
        <v>30746.1</v>
      </c>
      <c r="N867" s="28">
        <f t="shared" si="919"/>
        <v>9005.5999999999985</v>
      </c>
      <c r="O867" s="27">
        <f t="shared" si="887"/>
        <v>29.290218922074668</v>
      </c>
    </row>
    <row r="868" spans="1:15" ht="31.5">
      <c r="A868" s="26" t="s">
        <v>363</v>
      </c>
      <c r="B868" s="216">
        <v>908</v>
      </c>
      <c r="C868" s="214" t="s">
        <v>171</v>
      </c>
      <c r="D868" s="214" t="s">
        <v>193</v>
      </c>
      <c r="E868" s="214" t="s">
        <v>640</v>
      </c>
      <c r="F868" s="214"/>
      <c r="G868" s="28">
        <f>G869+G871+G873</f>
        <v>16452.3</v>
      </c>
      <c r="H868" s="28">
        <f>H869+H871+H873</f>
        <v>4297.2</v>
      </c>
      <c r="I868" s="28">
        <f t="shared" ref="I868:L868" si="920">I869+I871+I873</f>
        <v>10135.52</v>
      </c>
      <c r="J868" s="28">
        <f>J869+J871+J873</f>
        <v>33970.5</v>
      </c>
      <c r="K868" s="28">
        <f t="shared" si="920"/>
        <v>34241.9</v>
      </c>
      <c r="L868" s="28">
        <f t="shared" si="920"/>
        <v>34516</v>
      </c>
      <c r="M868" s="28">
        <f t="shared" ref="M868:N868" si="921">M869+M871+M873</f>
        <v>30746.1</v>
      </c>
      <c r="N868" s="28">
        <f t="shared" si="921"/>
        <v>9005.5999999999985</v>
      </c>
      <c r="O868" s="27">
        <f t="shared" si="887"/>
        <v>29.290218922074668</v>
      </c>
    </row>
    <row r="869" spans="1:15" ht="94.5">
      <c r="A869" s="26" t="s">
        <v>180</v>
      </c>
      <c r="B869" s="216">
        <v>908</v>
      </c>
      <c r="C869" s="214" t="s">
        <v>171</v>
      </c>
      <c r="D869" s="214" t="s">
        <v>193</v>
      </c>
      <c r="E869" s="214" t="s">
        <v>640</v>
      </c>
      <c r="F869" s="214" t="s">
        <v>181</v>
      </c>
      <c r="G869" s="28">
        <f>G870</f>
        <v>13760</v>
      </c>
      <c r="H869" s="28">
        <f>H870</f>
        <v>3865.3</v>
      </c>
      <c r="I869" s="28">
        <f t="shared" ref="I869:L869" si="922">I870</f>
        <v>9276.7200000000012</v>
      </c>
      <c r="J869" s="28">
        <f t="shared" si="922"/>
        <v>27139</v>
      </c>
      <c r="K869" s="28">
        <f t="shared" si="922"/>
        <v>27410.400000000001</v>
      </c>
      <c r="L869" s="28">
        <f t="shared" si="922"/>
        <v>27684.5</v>
      </c>
      <c r="M869" s="28">
        <f t="shared" ref="M869:N869" si="923">M870</f>
        <v>25166</v>
      </c>
      <c r="N869" s="28">
        <f t="shared" si="923"/>
        <v>6941</v>
      </c>
      <c r="O869" s="27">
        <f t="shared" si="887"/>
        <v>27.580863069220378</v>
      </c>
    </row>
    <row r="870" spans="1:15" ht="31.5">
      <c r="A870" s="48" t="s">
        <v>395</v>
      </c>
      <c r="B870" s="216">
        <v>908</v>
      </c>
      <c r="C870" s="214" t="s">
        <v>171</v>
      </c>
      <c r="D870" s="214" t="s">
        <v>193</v>
      </c>
      <c r="E870" s="214" t="s">
        <v>640</v>
      </c>
      <c r="F870" s="214" t="s">
        <v>262</v>
      </c>
      <c r="G870" s="28">
        <f>13403.8+356.2</f>
        <v>13760</v>
      </c>
      <c r="H870" s="28">
        <v>3865.3</v>
      </c>
      <c r="I870" s="28">
        <f>H870/2.5*6</f>
        <v>9276.7200000000012</v>
      </c>
      <c r="J870" s="28">
        <v>27139</v>
      </c>
      <c r="K870" s="28">
        <v>27410.400000000001</v>
      </c>
      <c r="L870" s="28">
        <v>27684.5</v>
      </c>
      <c r="M870" s="28">
        <f>24666+500</f>
        <v>25166</v>
      </c>
      <c r="N870" s="28">
        <v>6941</v>
      </c>
      <c r="O870" s="27">
        <f t="shared" si="887"/>
        <v>27.580863069220378</v>
      </c>
    </row>
    <row r="871" spans="1:15" ht="31.5">
      <c r="A871" s="26" t="s">
        <v>184</v>
      </c>
      <c r="B871" s="216">
        <v>908</v>
      </c>
      <c r="C871" s="214" t="s">
        <v>171</v>
      </c>
      <c r="D871" s="214" t="s">
        <v>193</v>
      </c>
      <c r="E871" s="214" t="s">
        <v>640</v>
      </c>
      <c r="F871" s="214" t="s">
        <v>185</v>
      </c>
      <c r="G871" s="28">
        <f>G872</f>
        <v>2678</v>
      </c>
      <c r="H871" s="28">
        <f>H872</f>
        <v>422.5</v>
      </c>
      <c r="I871" s="28">
        <f t="shared" ref="I871:L871" si="924">I872</f>
        <v>845</v>
      </c>
      <c r="J871" s="28">
        <f t="shared" si="924"/>
        <v>6803</v>
      </c>
      <c r="K871" s="28">
        <f t="shared" si="924"/>
        <v>6803</v>
      </c>
      <c r="L871" s="28">
        <f t="shared" si="924"/>
        <v>6803</v>
      </c>
      <c r="M871" s="28">
        <f t="shared" ref="M871:N871" si="925">M872</f>
        <v>5529.6</v>
      </c>
      <c r="N871" s="28">
        <f t="shared" si="925"/>
        <v>2027.3</v>
      </c>
      <c r="O871" s="27">
        <f t="shared" si="887"/>
        <v>36.662688078703695</v>
      </c>
    </row>
    <row r="872" spans="1:15" ht="47.25">
      <c r="A872" s="26" t="s">
        <v>186</v>
      </c>
      <c r="B872" s="216">
        <v>908</v>
      </c>
      <c r="C872" s="214" t="s">
        <v>171</v>
      </c>
      <c r="D872" s="214" t="s">
        <v>193</v>
      </c>
      <c r="E872" s="214" t="s">
        <v>640</v>
      </c>
      <c r="F872" s="214" t="s">
        <v>187</v>
      </c>
      <c r="G872" s="28">
        <f>3034.2-356.2</f>
        <v>2678</v>
      </c>
      <c r="H872" s="28">
        <v>422.5</v>
      </c>
      <c r="I872" s="28">
        <f>H872/3*6</f>
        <v>845</v>
      </c>
      <c r="J872" s="28">
        <f>6831.5-J874</f>
        <v>6803</v>
      </c>
      <c r="K872" s="28">
        <f>6831.5-K874</f>
        <v>6803</v>
      </c>
      <c r="L872" s="28">
        <f>6831.5-L874</f>
        <v>6803</v>
      </c>
      <c r="M872" s="28">
        <v>5529.6</v>
      </c>
      <c r="N872" s="28">
        <v>2027.3</v>
      </c>
      <c r="O872" s="27">
        <f t="shared" si="887"/>
        <v>36.662688078703695</v>
      </c>
    </row>
    <row r="873" spans="1:15" ht="15.75">
      <c r="A873" s="26" t="s">
        <v>188</v>
      </c>
      <c r="B873" s="216">
        <v>908</v>
      </c>
      <c r="C873" s="214" t="s">
        <v>171</v>
      </c>
      <c r="D873" s="214" t="s">
        <v>193</v>
      </c>
      <c r="E873" s="214" t="s">
        <v>640</v>
      </c>
      <c r="F873" s="214" t="s">
        <v>198</v>
      </c>
      <c r="G873" s="28">
        <f>G874</f>
        <v>14.3</v>
      </c>
      <c r="H873" s="28">
        <f>H874</f>
        <v>9.4</v>
      </c>
      <c r="I873" s="28">
        <f t="shared" ref="I873:L873" si="926">I874</f>
        <v>13.8</v>
      </c>
      <c r="J873" s="28">
        <f t="shared" si="926"/>
        <v>28.5</v>
      </c>
      <c r="K873" s="28">
        <f t="shared" si="926"/>
        <v>28.5</v>
      </c>
      <c r="L873" s="28">
        <f t="shared" si="926"/>
        <v>28.5</v>
      </c>
      <c r="M873" s="28">
        <f t="shared" ref="M873:N873" si="927">M874</f>
        <v>50.5</v>
      </c>
      <c r="N873" s="28">
        <f t="shared" si="927"/>
        <v>37.299999999999997</v>
      </c>
      <c r="O873" s="27">
        <f t="shared" si="887"/>
        <v>73.861386138613867</v>
      </c>
    </row>
    <row r="874" spans="1:15" ht="15.75">
      <c r="A874" s="26" t="s">
        <v>803</v>
      </c>
      <c r="B874" s="216">
        <v>908</v>
      </c>
      <c r="C874" s="214" t="s">
        <v>171</v>
      </c>
      <c r="D874" s="214" t="s">
        <v>193</v>
      </c>
      <c r="E874" s="214" t="s">
        <v>640</v>
      </c>
      <c r="F874" s="214" t="s">
        <v>191</v>
      </c>
      <c r="G874" s="28">
        <v>14.3</v>
      </c>
      <c r="H874" s="28">
        <v>9.4</v>
      </c>
      <c r="I874" s="28">
        <v>13.8</v>
      </c>
      <c r="J874" s="28">
        <f>14.3+14.2</f>
        <v>28.5</v>
      </c>
      <c r="K874" s="28">
        <v>28.5</v>
      </c>
      <c r="L874" s="28">
        <v>28.5</v>
      </c>
      <c r="M874" s="28">
        <v>50.5</v>
      </c>
      <c r="N874" s="28">
        <v>37.299999999999997</v>
      </c>
      <c r="O874" s="27">
        <f t="shared" si="887"/>
        <v>73.861386138613867</v>
      </c>
    </row>
    <row r="875" spans="1:15" ht="31.5" hidden="1">
      <c r="A875" s="24" t="s">
        <v>275</v>
      </c>
      <c r="B875" s="213">
        <v>908</v>
      </c>
      <c r="C875" s="215" t="s">
        <v>268</v>
      </c>
      <c r="D875" s="215"/>
      <c r="E875" s="215"/>
      <c r="F875" s="215"/>
      <c r="G875" s="22">
        <f t="shared" ref="G875:L880" si="928">G876</f>
        <v>50</v>
      </c>
      <c r="H875" s="22">
        <f t="shared" si="928"/>
        <v>0</v>
      </c>
      <c r="I875" s="22">
        <f t="shared" si="928"/>
        <v>0</v>
      </c>
      <c r="J875" s="22">
        <f t="shared" si="928"/>
        <v>0</v>
      </c>
      <c r="K875" s="22">
        <f t="shared" si="928"/>
        <v>0</v>
      </c>
      <c r="L875" s="22">
        <f t="shared" si="928"/>
        <v>0</v>
      </c>
      <c r="M875" s="22">
        <f t="shared" ref="M875:N880" si="929">M876</f>
        <v>0</v>
      </c>
      <c r="N875" s="22">
        <f t="shared" si="929"/>
        <v>0</v>
      </c>
      <c r="O875" s="22" t="e">
        <f t="shared" si="887"/>
        <v>#DIV/0!</v>
      </c>
    </row>
    <row r="876" spans="1:15" ht="63" hidden="1">
      <c r="A876" s="24" t="s">
        <v>276</v>
      </c>
      <c r="B876" s="213">
        <v>908</v>
      </c>
      <c r="C876" s="215" t="s">
        <v>268</v>
      </c>
      <c r="D876" s="215" t="s">
        <v>272</v>
      </c>
      <c r="E876" s="215"/>
      <c r="F876" s="215"/>
      <c r="G876" s="22">
        <f t="shared" si="928"/>
        <v>50</v>
      </c>
      <c r="H876" s="22">
        <f t="shared" si="928"/>
        <v>0</v>
      </c>
      <c r="I876" s="22">
        <f t="shared" si="928"/>
        <v>0</v>
      </c>
      <c r="J876" s="22">
        <f t="shared" si="928"/>
        <v>0</v>
      </c>
      <c r="K876" s="22">
        <f t="shared" si="928"/>
        <v>0</v>
      </c>
      <c r="L876" s="22">
        <f t="shared" si="928"/>
        <v>0</v>
      </c>
      <c r="M876" s="22">
        <f t="shared" si="929"/>
        <v>0</v>
      </c>
      <c r="N876" s="22">
        <f t="shared" si="929"/>
        <v>0</v>
      </c>
      <c r="O876" s="22" t="e">
        <f t="shared" si="887"/>
        <v>#DIV/0!</v>
      </c>
    </row>
    <row r="877" spans="1:15" ht="21.75" hidden="1" customHeight="1">
      <c r="A877" s="26" t="s">
        <v>174</v>
      </c>
      <c r="B877" s="216">
        <v>908</v>
      </c>
      <c r="C877" s="214" t="s">
        <v>268</v>
      </c>
      <c r="D877" s="214" t="s">
        <v>272</v>
      </c>
      <c r="E877" s="214" t="s">
        <v>175</v>
      </c>
      <c r="F877" s="214"/>
      <c r="G877" s="27">
        <f t="shared" si="928"/>
        <v>50</v>
      </c>
      <c r="H877" s="27">
        <f t="shared" si="928"/>
        <v>0</v>
      </c>
      <c r="I877" s="27">
        <f t="shared" si="928"/>
        <v>0</v>
      </c>
      <c r="J877" s="27">
        <f t="shared" si="928"/>
        <v>0</v>
      </c>
      <c r="K877" s="27">
        <f t="shared" si="928"/>
        <v>0</v>
      </c>
      <c r="L877" s="27">
        <f t="shared" si="928"/>
        <v>0</v>
      </c>
      <c r="M877" s="27">
        <f t="shared" si="929"/>
        <v>0</v>
      </c>
      <c r="N877" s="27">
        <f t="shared" si="929"/>
        <v>0</v>
      </c>
      <c r="O877" s="22" t="e">
        <f t="shared" si="887"/>
        <v>#DIV/0!</v>
      </c>
    </row>
    <row r="878" spans="1:15" ht="15.75" hidden="1">
      <c r="A878" s="26" t="s">
        <v>194</v>
      </c>
      <c r="B878" s="216">
        <v>908</v>
      </c>
      <c r="C878" s="214" t="s">
        <v>268</v>
      </c>
      <c r="D878" s="214" t="s">
        <v>272</v>
      </c>
      <c r="E878" s="214" t="s">
        <v>195</v>
      </c>
      <c r="F878" s="214"/>
      <c r="G878" s="27">
        <f t="shared" si="928"/>
        <v>50</v>
      </c>
      <c r="H878" s="27">
        <f t="shared" si="928"/>
        <v>0</v>
      </c>
      <c r="I878" s="27">
        <f t="shared" si="928"/>
        <v>0</v>
      </c>
      <c r="J878" s="27">
        <f t="shared" si="928"/>
        <v>0</v>
      </c>
      <c r="K878" s="27">
        <f t="shared" si="928"/>
        <v>0</v>
      </c>
      <c r="L878" s="27">
        <f t="shared" si="928"/>
        <v>0</v>
      </c>
      <c r="M878" s="27">
        <f t="shared" si="929"/>
        <v>0</v>
      </c>
      <c r="N878" s="27">
        <f t="shared" si="929"/>
        <v>0</v>
      </c>
      <c r="O878" s="22" t="e">
        <f t="shared" si="887"/>
        <v>#DIV/0!</v>
      </c>
    </row>
    <row r="879" spans="1:15" ht="15.75" hidden="1">
      <c r="A879" s="26" t="s">
        <v>283</v>
      </c>
      <c r="B879" s="216">
        <v>908</v>
      </c>
      <c r="C879" s="214" t="s">
        <v>268</v>
      </c>
      <c r="D879" s="214" t="s">
        <v>272</v>
      </c>
      <c r="E879" s="214" t="s">
        <v>284</v>
      </c>
      <c r="F879" s="214"/>
      <c r="G879" s="27">
        <f t="shared" si="928"/>
        <v>50</v>
      </c>
      <c r="H879" s="27">
        <f t="shared" si="928"/>
        <v>0</v>
      </c>
      <c r="I879" s="27">
        <f t="shared" si="928"/>
        <v>0</v>
      </c>
      <c r="J879" s="27">
        <f t="shared" si="928"/>
        <v>0</v>
      </c>
      <c r="K879" s="27">
        <f t="shared" si="928"/>
        <v>0</v>
      </c>
      <c r="L879" s="27">
        <f t="shared" si="928"/>
        <v>0</v>
      </c>
      <c r="M879" s="27">
        <f t="shared" si="929"/>
        <v>0</v>
      </c>
      <c r="N879" s="27">
        <f t="shared" si="929"/>
        <v>0</v>
      </c>
      <c r="O879" s="22" t="e">
        <f t="shared" si="887"/>
        <v>#DIV/0!</v>
      </c>
    </row>
    <row r="880" spans="1:15" ht="31.5" hidden="1">
      <c r="A880" s="26" t="s">
        <v>184</v>
      </c>
      <c r="B880" s="216">
        <v>908</v>
      </c>
      <c r="C880" s="214" t="s">
        <v>268</v>
      </c>
      <c r="D880" s="214" t="s">
        <v>272</v>
      </c>
      <c r="E880" s="214" t="s">
        <v>284</v>
      </c>
      <c r="F880" s="214" t="s">
        <v>185</v>
      </c>
      <c r="G880" s="27">
        <f t="shared" si="928"/>
        <v>50</v>
      </c>
      <c r="H880" s="27">
        <f t="shared" si="928"/>
        <v>0</v>
      </c>
      <c r="I880" s="27">
        <f t="shared" si="928"/>
        <v>0</v>
      </c>
      <c r="J880" s="27">
        <f t="shared" si="928"/>
        <v>0</v>
      </c>
      <c r="K880" s="27">
        <f t="shared" si="928"/>
        <v>0</v>
      </c>
      <c r="L880" s="27">
        <f t="shared" si="928"/>
        <v>0</v>
      </c>
      <c r="M880" s="27">
        <f t="shared" si="929"/>
        <v>0</v>
      </c>
      <c r="N880" s="27">
        <f t="shared" si="929"/>
        <v>0</v>
      </c>
      <c r="O880" s="22" t="e">
        <f t="shared" si="887"/>
        <v>#DIV/0!</v>
      </c>
    </row>
    <row r="881" spans="1:15" ht="47.25" hidden="1">
      <c r="A881" s="26" t="s">
        <v>186</v>
      </c>
      <c r="B881" s="216">
        <v>908</v>
      </c>
      <c r="C881" s="214" t="s">
        <v>268</v>
      </c>
      <c r="D881" s="214" t="s">
        <v>272</v>
      </c>
      <c r="E881" s="214" t="s">
        <v>284</v>
      </c>
      <c r="F881" s="214" t="s">
        <v>187</v>
      </c>
      <c r="G881" s="27">
        <v>50</v>
      </c>
      <c r="H881" s="27">
        <v>0</v>
      </c>
      <c r="I881" s="27">
        <v>0</v>
      </c>
      <c r="J881" s="27">
        <v>0</v>
      </c>
      <c r="K881" s="27">
        <v>0</v>
      </c>
      <c r="L881" s="27">
        <v>0</v>
      </c>
      <c r="M881" s="27">
        <v>0</v>
      </c>
      <c r="N881" s="27">
        <v>0</v>
      </c>
      <c r="O881" s="22" t="e">
        <f t="shared" si="887"/>
        <v>#DIV/0!</v>
      </c>
    </row>
    <row r="882" spans="1:15" ht="15.75">
      <c r="A882" s="24" t="s">
        <v>285</v>
      </c>
      <c r="B882" s="213">
        <v>908</v>
      </c>
      <c r="C882" s="215" t="s">
        <v>203</v>
      </c>
      <c r="D882" s="215"/>
      <c r="E882" s="215"/>
      <c r="F882" s="215"/>
      <c r="G882" s="22">
        <f>G883+G889</f>
        <v>18331.8</v>
      </c>
      <c r="H882" s="22">
        <f t="shared" ref="H882" si="930">H883+H889</f>
        <v>10388.9</v>
      </c>
      <c r="I882" s="22">
        <f t="shared" ref="I882:L882" si="931">I883+I889</f>
        <v>18331.8</v>
      </c>
      <c r="J882" s="22">
        <f t="shared" si="931"/>
        <v>18331.8</v>
      </c>
      <c r="K882" s="22">
        <f t="shared" si="931"/>
        <v>18331.8</v>
      </c>
      <c r="L882" s="22">
        <f t="shared" si="931"/>
        <v>18331.8</v>
      </c>
      <c r="M882" s="22">
        <f t="shared" ref="M882:N882" si="932">M883+M889</f>
        <v>10153.6</v>
      </c>
      <c r="N882" s="22">
        <f t="shared" si="932"/>
        <v>1359.3</v>
      </c>
      <c r="O882" s="22">
        <f t="shared" si="887"/>
        <v>13.387369996848408</v>
      </c>
    </row>
    <row r="883" spans="1:15" ht="15.75">
      <c r="A883" s="24" t="s">
        <v>559</v>
      </c>
      <c r="B883" s="213">
        <v>908</v>
      </c>
      <c r="C883" s="215" t="s">
        <v>203</v>
      </c>
      <c r="D883" s="215" t="s">
        <v>352</v>
      </c>
      <c r="E883" s="215"/>
      <c r="F883" s="215"/>
      <c r="G883" s="22">
        <f>G884</f>
        <v>3207.7</v>
      </c>
      <c r="H883" s="22">
        <f t="shared" ref="H883:L887" si="933">H884</f>
        <v>1328.6</v>
      </c>
      <c r="I883" s="22">
        <f t="shared" si="933"/>
        <v>3207.7</v>
      </c>
      <c r="J883" s="22">
        <f t="shared" si="933"/>
        <v>3207.7</v>
      </c>
      <c r="K883" s="22">
        <f t="shared" si="933"/>
        <v>3207.7</v>
      </c>
      <c r="L883" s="22">
        <f t="shared" si="933"/>
        <v>3207.7</v>
      </c>
      <c r="M883" s="22">
        <f t="shared" ref="M883:N887" si="934">M884</f>
        <v>3258.3</v>
      </c>
      <c r="N883" s="22">
        <f t="shared" si="934"/>
        <v>522</v>
      </c>
      <c r="O883" s="22">
        <f t="shared" si="887"/>
        <v>16.020624251910505</v>
      </c>
    </row>
    <row r="884" spans="1:15" ht="15.75">
      <c r="A884" s="26" t="s">
        <v>174</v>
      </c>
      <c r="B884" s="216">
        <v>908</v>
      </c>
      <c r="C884" s="214" t="s">
        <v>203</v>
      </c>
      <c r="D884" s="214" t="s">
        <v>352</v>
      </c>
      <c r="E884" s="214" t="s">
        <v>175</v>
      </c>
      <c r="F884" s="215"/>
      <c r="G884" s="27">
        <f>G885</f>
        <v>3207.7</v>
      </c>
      <c r="H884" s="27">
        <f t="shared" ref="H884:H887" si="935">H885</f>
        <v>1328.6</v>
      </c>
      <c r="I884" s="27">
        <f t="shared" si="933"/>
        <v>3207.7</v>
      </c>
      <c r="J884" s="27">
        <f t="shared" si="933"/>
        <v>3207.7</v>
      </c>
      <c r="K884" s="27">
        <f t="shared" si="933"/>
        <v>3207.7</v>
      </c>
      <c r="L884" s="27">
        <f t="shared" si="933"/>
        <v>3207.7</v>
      </c>
      <c r="M884" s="27">
        <f t="shared" si="934"/>
        <v>3258.3</v>
      </c>
      <c r="N884" s="27">
        <f t="shared" si="934"/>
        <v>522</v>
      </c>
      <c r="O884" s="27">
        <f t="shared" si="887"/>
        <v>16.020624251910505</v>
      </c>
    </row>
    <row r="885" spans="1:15" ht="15.75">
      <c r="A885" s="26" t="s">
        <v>194</v>
      </c>
      <c r="B885" s="216">
        <v>908</v>
      </c>
      <c r="C885" s="214" t="s">
        <v>203</v>
      </c>
      <c r="D885" s="214" t="s">
        <v>352</v>
      </c>
      <c r="E885" s="214" t="s">
        <v>195</v>
      </c>
      <c r="F885" s="215"/>
      <c r="G885" s="27">
        <f>G886</f>
        <v>3207.7</v>
      </c>
      <c r="H885" s="27">
        <f t="shared" si="935"/>
        <v>1328.6</v>
      </c>
      <c r="I885" s="27">
        <f t="shared" si="933"/>
        <v>3207.7</v>
      </c>
      <c r="J885" s="27">
        <f t="shared" si="933"/>
        <v>3207.7</v>
      </c>
      <c r="K885" s="27">
        <f t="shared" si="933"/>
        <v>3207.7</v>
      </c>
      <c r="L885" s="27">
        <f t="shared" si="933"/>
        <v>3207.7</v>
      </c>
      <c r="M885" s="27">
        <f t="shared" si="934"/>
        <v>3258.3</v>
      </c>
      <c r="N885" s="27">
        <f t="shared" si="934"/>
        <v>522</v>
      </c>
      <c r="O885" s="27">
        <f t="shared" si="887"/>
        <v>16.020624251910505</v>
      </c>
    </row>
    <row r="886" spans="1:15" ht="39" customHeight="1">
      <c r="A886" s="26" t="s">
        <v>560</v>
      </c>
      <c r="B886" s="216">
        <v>908</v>
      </c>
      <c r="C886" s="214" t="s">
        <v>203</v>
      </c>
      <c r="D886" s="214" t="s">
        <v>352</v>
      </c>
      <c r="E886" s="214" t="s">
        <v>561</v>
      </c>
      <c r="F886" s="214"/>
      <c r="G886" s="27">
        <f>G887</f>
        <v>3207.7</v>
      </c>
      <c r="H886" s="27">
        <f t="shared" si="935"/>
        <v>1328.6</v>
      </c>
      <c r="I886" s="27">
        <f t="shared" si="933"/>
        <v>3207.7</v>
      </c>
      <c r="J886" s="27">
        <f t="shared" si="933"/>
        <v>3207.7</v>
      </c>
      <c r="K886" s="27">
        <f t="shared" si="933"/>
        <v>3207.7</v>
      </c>
      <c r="L886" s="27">
        <f t="shared" si="933"/>
        <v>3207.7</v>
      </c>
      <c r="M886" s="27">
        <f t="shared" si="934"/>
        <v>3258.3</v>
      </c>
      <c r="N886" s="27">
        <f t="shared" si="934"/>
        <v>522</v>
      </c>
      <c r="O886" s="27">
        <f t="shared" si="887"/>
        <v>16.020624251910505</v>
      </c>
    </row>
    <row r="887" spans="1:15" ht="31.5">
      <c r="A887" s="26" t="s">
        <v>184</v>
      </c>
      <c r="B887" s="216">
        <v>908</v>
      </c>
      <c r="C887" s="214" t="s">
        <v>203</v>
      </c>
      <c r="D887" s="214" t="s">
        <v>352</v>
      </c>
      <c r="E887" s="214" t="s">
        <v>561</v>
      </c>
      <c r="F887" s="214" t="s">
        <v>185</v>
      </c>
      <c r="G887" s="27">
        <f>G888</f>
        <v>3207.7</v>
      </c>
      <c r="H887" s="27">
        <f t="shared" si="935"/>
        <v>1328.6</v>
      </c>
      <c r="I887" s="27">
        <f t="shared" si="933"/>
        <v>3207.7</v>
      </c>
      <c r="J887" s="27">
        <f t="shared" si="933"/>
        <v>3207.7</v>
      </c>
      <c r="K887" s="27">
        <f t="shared" si="933"/>
        <v>3207.7</v>
      </c>
      <c r="L887" s="27">
        <f t="shared" si="933"/>
        <v>3207.7</v>
      </c>
      <c r="M887" s="27">
        <f t="shared" si="934"/>
        <v>3258.3</v>
      </c>
      <c r="N887" s="27">
        <f t="shared" si="934"/>
        <v>522</v>
      </c>
      <c r="O887" s="27">
        <f t="shared" si="887"/>
        <v>16.020624251910505</v>
      </c>
    </row>
    <row r="888" spans="1:15" ht="47.25">
      <c r="A888" s="26" t="s">
        <v>186</v>
      </c>
      <c r="B888" s="216">
        <v>908</v>
      </c>
      <c r="C888" s="214" t="s">
        <v>203</v>
      </c>
      <c r="D888" s="214" t="s">
        <v>352</v>
      </c>
      <c r="E888" s="214" t="s">
        <v>561</v>
      </c>
      <c r="F888" s="214" t="s">
        <v>187</v>
      </c>
      <c r="G888" s="27">
        <v>3207.7</v>
      </c>
      <c r="H888" s="27">
        <v>1328.6</v>
      </c>
      <c r="I888" s="27">
        <v>3207.7</v>
      </c>
      <c r="J888" s="27">
        <v>3207.7</v>
      </c>
      <c r="K888" s="27">
        <v>3207.7</v>
      </c>
      <c r="L888" s="27">
        <v>3207.7</v>
      </c>
      <c r="M888" s="27">
        <f>3207.7+25.3+25.3</f>
        <v>3258.3</v>
      </c>
      <c r="N888" s="27">
        <v>522</v>
      </c>
      <c r="O888" s="27">
        <f t="shared" si="887"/>
        <v>16.020624251910505</v>
      </c>
    </row>
    <row r="889" spans="1:15" ht="15.75">
      <c r="A889" s="24" t="s">
        <v>562</v>
      </c>
      <c r="B889" s="213">
        <v>908</v>
      </c>
      <c r="C889" s="215" t="s">
        <v>203</v>
      </c>
      <c r="D889" s="215" t="s">
        <v>272</v>
      </c>
      <c r="E889" s="214"/>
      <c r="F889" s="215"/>
      <c r="G889" s="22">
        <f>G890</f>
        <v>15124.1</v>
      </c>
      <c r="H889" s="22">
        <f t="shared" ref="H889:L890" si="936">H890</f>
        <v>9060.2999999999993</v>
      </c>
      <c r="I889" s="22">
        <f t="shared" si="936"/>
        <v>15124.1</v>
      </c>
      <c r="J889" s="22">
        <f t="shared" si="936"/>
        <v>15124.1</v>
      </c>
      <c r="K889" s="22">
        <f t="shared" si="936"/>
        <v>15124.1</v>
      </c>
      <c r="L889" s="22">
        <f t="shared" si="936"/>
        <v>15124.1</v>
      </c>
      <c r="M889" s="22">
        <f t="shared" ref="M889:N890" si="937">M890</f>
        <v>6895.3</v>
      </c>
      <c r="N889" s="22">
        <f t="shared" si="937"/>
        <v>837.3</v>
      </c>
      <c r="O889" s="22">
        <f t="shared" si="887"/>
        <v>12.143053964294518</v>
      </c>
    </row>
    <row r="890" spans="1:15" ht="47.25">
      <c r="A890" s="33" t="s">
        <v>563</v>
      </c>
      <c r="B890" s="216">
        <v>908</v>
      </c>
      <c r="C890" s="214" t="s">
        <v>203</v>
      </c>
      <c r="D890" s="214" t="s">
        <v>272</v>
      </c>
      <c r="E890" s="214" t="s">
        <v>564</v>
      </c>
      <c r="F890" s="214"/>
      <c r="G890" s="27">
        <f>G891</f>
        <v>15124.1</v>
      </c>
      <c r="H890" s="27">
        <f>H891</f>
        <v>9060.2999999999993</v>
      </c>
      <c r="I890" s="27">
        <f t="shared" si="936"/>
        <v>15124.1</v>
      </c>
      <c r="J890" s="27">
        <f t="shared" si="936"/>
        <v>15124.1</v>
      </c>
      <c r="K890" s="27">
        <f t="shared" si="936"/>
        <v>15124.1</v>
      </c>
      <c r="L890" s="27">
        <f t="shared" si="936"/>
        <v>15124.1</v>
      </c>
      <c r="M890" s="27">
        <f t="shared" si="937"/>
        <v>6895.3</v>
      </c>
      <c r="N890" s="27">
        <f t="shared" si="937"/>
        <v>837.3</v>
      </c>
      <c r="O890" s="27">
        <f t="shared" si="887"/>
        <v>12.143053964294518</v>
      </c>
    </row>
    <row r="891" spans="1:15" ht="15.75">
      <c r="A891" s="31" t="s">
        <v>565</v>
      </c>
      <c r="B891" s="216">
        <v>908</v>
      </c>
      <c r="C891" s="214" t="s">
        <v>203</v>
      </c>
      <c r="D891" s="214" t="s">
        <v>272</v>
      </c>
      <c r="E891" s="217" t="s">
        <v>566</v>
      </c>
      <c r="F891" s="214"/>
      <c r="G891" s="27">
        <f>G892+G894</f>
        <v>15124.1</v>
      </c>
      <c r="H891" s="27">
        <f>H892+H894</f>
        <v>9060.2999999999993</v>
      </c>
      <c r="I891" s="27">
        <f t="shared" ref="I891:L891" si="938">I892+I894</f>
        <v>15124.1</v>
      </c>
      <c r="J891" s="27">
        <f t="shared" si="938"/>
        <v>15124.1</v>
      </c>
      <c r="K891" s="27">
        <f t="shared" si="938"/>
        <v>15124.1</v>
      </c>
      <c r="L891" s="27">
        <f t="shared" si="938"/>
        <v>15124.1</v>
      </c>
      <c r="M891" s="27">
        <f t="shared" ref="M891:N891" si="939">M892+M894</f>
        <v>6895.3</v>
      </c>
      <c r="N891" s="27">
        <f t="shared" si="939"/>
        <v>837.3</v>
      </c>
      <c r="O891" s="27">
        <f t="shared" si="887"/>
        <v>12.143053964294518</v>
      </c>
    </row>
    <row r="892" spans="1:15" ht="31.5">
      <c r="A892" s="26" t="s">
        <v>184</v>
      </c>
      <c r="B892" s="216">
        <v>908</v>
      </c>
      <c r="C892" s="214" t="s">
        <v>203</v>
      </c>
      <c r="D892" s="214" t="s">
        <v>272</v>
      </c>
      <c r="E892" s="217" t="s">
        <v>566</v>
      </c>
      <c r="F892" s="214" t="s">
        <v>185</v>
      </c>
      <c r="G892" s="27">
        <f>G893</f>
        <v>15108.1</v>
      </c>
      <c r="H892" s="27">
        <f>H893</f>
        <v>9050.2999999999993</v>
      </c>
      <c r="I892" s="27">
        <f t="shared" ref="I892:L892" si="940">I893</f>
        <v>15108.1</v>
      </c>
      <c r="J892" s="27">
        <f t="shared" si="940"/>
        <v>15108.1</v>
      </c>
      <c r="K892" s="27">
        <f t="shared" si="940"/>
        <v>15108.1</v>
      </c>
      <c r="L892" s="27">
        <f t="shared" si="940"/>
        <v>15108.1</v>
      </c>
      <c r="M892" s="27">
        <f t="shared" ref="M892:N892" si="941">M893</f>
        <v>6879.3</v>
      </c>
      <c r="N892" s="27">
        <f t="shared" si="941"/>
        <v>837.3</v>
      </c>
      <c r="O892" s="27">
        <f t="shared" si="887"/>
        <v>12.171296498190221</v>
      </c>
    </row>
    <row r="893" spans="1:15" ht="47.25">
      <c r="A893" s="26" t="s">
        <v>186</v>
      </c>
      <c r="B893" s="216">
        <v>908</v>
      </c>
      <c r="C893" s="214" t="s">
        <v>203</v>
      </c>
      <c r="D893" s="214" t="s">
        <v>272</v>
      </c>
      <c r="E893" s="217" t="s">
        <v>566</v>
      </c>
      <c r="F893" s="214" t="s">
        <v>187</v>
      </c>
      <c r="G893" s="27">
        <f>15124.1-10-6</f>
        <v>15108.1</v>
      </c>
      <c r="H893" s="27">
        <v>9050.2999999999993</v>
      </c>
      <c r="I893" s="27">
        <f t="shared" ref="I893" si="942">15124.1-10-6</f>
        <v>15108.1</v>
      </c>
      <c r="J893" s="27">
        <f>I893</f>
        <v>15108.1</v>
      </c>
      <c r="K893" s="27">
        <f>J893</f>
        <v>15108.1</v>
      </c>
      <c r="L893" s="27">
        <f>K893</f>
        <v>15108.1</v>
      </c>
      <c r="M893" s="27">
        <f>6904.6-25.3</f>
        <v>6879.3</v>
      </c>
      <c r="N893" s="27">
        <v>837.3</v>
      </c>
      <c r="O893" s="27">
        <f t="shared" si="887"/>
        <v>12.171296498190221</v>
      </c>
    </row>
    <row r="894" spans="1:15" ht="15.75">
      <c r="A894" s="26" t="s">
        <v>188</v>
      </c>
      <c r="B894" s="216">
        <v>908</v>
      </c>
      <c r="C894" s="214" t="s">
        <v>203</v>
      </c>
      <c r="D894" s="214" t="s">
        <v>272</v>
      </c>
      <c r="E894" s="217" t="s">
        <v>566</v>
      </c>
      <c r="F894" s="214" t="s">
        <v>198</v>
      </c>
      <c r="G894" s="27">
        <f>G895</f>
        <v>16</v>
      </c>
      <c r="H894" s="27">
        <f>H895</f>
        <v>10</v>
      </c>
      <c r="I894" s="27">
        <f t="shared" ref="I894:L894" si="943">I895</f>
        <v>16</v>
      </c>
      <c r="J894" s="27">
        <f t="shared" si="943"/>
        <v>16</v>
      </c>
      <c r="K894" s="27">
        <f t="shared" si="943"/>
        <v>16</v>
      </c>
      <c r="L894" s="27">
        <f t="shared" si="943"/>
        <v>16</v>
      </c>
      <c r="M894" s="27">
        <f t="shared" ref="M894:N894" si="944">M895</f>
        <v>16</v>
      </c>
      <c r="N894" s="27">
        <f t="shared" si="944"/>
        <v>0</v>
      </c>
      <c r="O894" s="27">
        <f t="shared" si="887"/>
        <v>0</v>
      </c>
    </row>
    <row r="895" spans="1:15" ht="15.75">
      <c r="A895" s="26" t="s">
        <v>622</v>
      </c>
      <c r="B895" s="216">
        <v>908</v>
      </c>
      <c r="C895" s="214" t="s">
        <v>203</v>
      </c>
      <c r="D895" s="214" t="s">
        <v>272</v>
      </c>
      <c r="E895" s="217" t="s">
        <v>566</v>
      </c>
      <c r="F895" s="214" t="s">
        <v>191</v>
      </c>
      <c r="G895" s="27">
        <f>10+6</f>
        <v>16</v>
      </c>
      <c r="H895" s="27">
        <v>10</v>
      </c>
      <c r="I895" s="27">
        <f t="shared" ref="I895:L895" si="945">10+6</f>
        <v>16</v>
      </c>
      <c r="J895" s="27">
        <f t="shared" si="945"/>
        <v>16</v>
      </c>
      <c r="K895" s="27">
        <f t="shared" si="945"/>
        <v>16</v>
      </c>
      <c r="L895" s="27">
        <f t="shared" si="945"/>
        <v>16</v>
      </c>
      <c r="M895" s="27">
        <f t="shared" ref="M895" si="946">10+6</f>
        <v>16</v>
      </c>
      <c r="N895" s="27">
        <v>0</v>
      </c>
      <c r="O895" s="27">
        <f t="shared" si="887"/>
        <v>0</v>
      </c>
    </row>
    <row r="896" spans="1:15" ht="15.75">
      <c r="A896" s="24" t="s">
        <v>444</v>
      </c>
      <c r="B896" s="213">
        <v>908</v>
      </c>
      <c r="C896" s="215" t="s">
        <v>287</v>
      </c>
      <c r="D896" s="215"/>
      <c r="E896" s="215"/>
      <c r="F896" s="215"/>
      <c r="G896" s="22">
        <f t="shared" ref="G896:M896" si="947">G897+G913+G965+G1022</f>
        <v>108065.8</v>
      </c>
      <c r="H896" s="22">
        <f t="shared" si="947"/>
        <v>32792.800000000003</v>
      </c>
      <c r="I896" s="22">
        <f t="shared" si="947"/>
        <v>89933.605882352946</v>
      </c>
      <c r="J896" s="22">
        <f t="shared" si="947"/>
        <v>65411.8</v>
      </c>
      <c r="K896" s="22">
        <f t="shared" si="947"/>
        <v>65708.7</v>
      </c>
      <c r="L896" s="22">
        <f t="shared" si="947"/>
        <v>67728.700000000012</v>
      </c>
      <c r="M896" s="22">
        <f t="shared" si="947"/>
        <v>97528.4</v>
      </c>
      <c r="N896" s="22">
        <f t="shared" ref="N896" si="948">N897+N913+N965+N1022</f>
        <v>11462.8</v>
      </c>
      <c r="O896" s="22">
        <f t="shared" si="887"/>
        <v>11.753294425008511</v>
      </c>
    </row>
    <row r="897" spans="1:18" ht="15.75">
      <c r="A897" s="24" t="s">
        <v>445</v>
      </c>
      <c r="B897" s="213">
        <v>908</v>
      </c>
      <c r="C897" s="215" t="s">
        <v>287</v>
      </c>
      <c r="D897" s="215" t="s">
        <v>171</v>
      </c>
      <c r="E897" s="215"/>
      <c r="F897" s="215"/>
      <c r="G897" s="22">
        <f>G898</f>
        <v>7765.4000000000005</v>
      </c>
      <c r="H897" s="22">
        <f>H898</f>
        <v>3704.6</v>
      </c>
      <c r="I897" s="22">
        <f t="shared" ref="I897:L897" si="949">I898</f>
        <v>7765.4000000000005</v>
      </c>
      <c r="J897" s="22">
        <f t="shared" si="949"/>
        <v>8701.2000000000007</v>
      </c>
      <c r="K897" s="22">
        <f t="shared" si="949"/>
        <v>8701.2000000000007</v>
      </c>
      <c r="L897" s="22">
        <f t="shared" si="949"/>
        <v>8701.2000000000007</v>
      </c>
      <c r="M897" s="22">
        <f t="shared" ref="M897:N897" si="950">M898</f>
        <v>4117.6000000000004</v>
      </c>
      <c r="N897" s="22">
        <f t="shared" si="950"/>
        <v>1181.4000000000001</v>
      </c>
      <c r="O897" s="22">
        <f t="shared" si="887"/>
        <v>28.691470759665826</v>
      </c>
    </row>
    <row r="898" spans="1:18" ht="15.75">
      <c r="A898" s="26" t="s">
        <v>174</v>
      </c>
      <c r="B898" s="216">
        <v>908</v>
      </c>
      <c r="C898" s="214" t="s">
        <v>287</v>
      </c>
      <c r="D898" s="214" t="s">
        <v>171</v>
      </c>
      <c r="E898" s="214" t="s">
        <v>175</v>
      </c>
      <c r="F898" s="214"/>
      <c r="G898" s="27">
        <f>G903</f>
        <v>7765.4000000000005</v>
      </c>
      <c r="H898" s="27">
        <f>H903</f>
        <v>3704.6</v>
      </c>
      <c r="I898" s="27">
        <f t="shared" ref="I898:L898" si="951">I903</f>
        <v>7765.4000000000005</v>
      </c>
      <c r="J898" s="27">
        <f t="shared" si="951"/>
        <v>8701.2000000000007</v>
      </c>
      <c r="K898" s="27">
        <f t="shared" si="951"/>
        <v>8701.2000000000007</v>
      </c>
      <c r="L898" s="27">
        <f t="shared" si="951"/>
        <v>8701.2000000000007</v>
      </c>
      <c r="M898" s="27">
        <f t="shared" ref="M898:N898" si="952">M903</f>
        <v>4117.6000000000004</v>
      </c>
      <c r="N898" s="27">
        <f t="shared" si="952"/>
        <v>1181.4000000000001</v>
      </c>
      <c r="O898" s="27">
        <f t="shared" si="887"/>
        <v>28.691470759665826</v>
      </c>
    </row>
    <row r="899" spans="1:18" ht="31.5" hidden="1" customHeight="1">
      <c r="A899" s="26" t="s">
        <v>238</v>
      </c>
      <c r="B899" s="216">
        <v>908</v>
      </c>
      <c r="C899" s="214" t="s">
        <v>287</v>
      </c>
      <c r="D899" s="214" t="s">
        <v>171</v>
      </c>
      <c r="E899" s="214" t="s">
        <v>239</v>
      </c>
      <c r="F899" s="214"/>
      <c r="G899" s="27">
        <f t="shared" ref="G899:L901" si="953">G900</f>
        <v>0</v>
      </c>
      <c r="H899" s="27">
        <f t="shared" si="953"/>
        <v>0</v>
      </c>
      <c r="I899" s="27">
        <f t="shared" si="953"/>
        <v>0</v>
      </c>
      <c r="J899" s="27">
        <f t="shared" si="953"/>
        <v>0</v>
      </c>
      <c r="K899" s="27">
        <f t="shared" si="953"/>
        <v>0</v>
      </c>
      <c r="L899" s="27">
        <f t="shared" si="953"/>
        <v>0</v>
      </c>
      <c r="M899" s="27">
        <f t="shared" ref="M899:N901" si="954">M900</f>
        <v>0</v>
      </c>
      <c r="N899" s="27">
        <f t="shared" si="954"/>
        <v>0</v>
      </c>
      <c r="O899" s="27" t="e">
        <f t="shared" si="887"/>
        <v>#DIV/0!</v>
      </c>
    </row>
    <row r="900" spans="1:18" ht="15.75" hidden="1" customHeight="1">
      <c r="A900" s="26" t="s">
        <v>567</v>
      </c>
      <c r="B900" s="216">
        <v>908</v>
      </c>
      <c r="C900" s="214" t="s">
        <v>287</v>
      </c>
      <c r="D900" s="214" t="s">
        <v>171</v>
      </c>
      <c r="E900" s="214" t="s">
        <v>568</v>
      </c>
      <c r="F900" s="214"/>
      <c r="G900" s="27">
        <f t="shared" si="953"/>
        <v>0</v>
      </c>
      <c r="H900" s="27">
        <f t="shared" si="953"/>
        <v>0</v>
      </c>
      <c r="I900" s="27">
        <f t="shared" si="953"/>
        <v>0</v>
      </c>
      <c r="J900" s="27">
        <f t="shared" si="953"/>
        <v>0</v>
      </c>
      <c r="K900" s="27">
        <f t="shared" si="953"/>
        <v>0</v>
      </c>
      <c r="L900" s="27">
        <f t="shared" si="953"/>
        <v>0</v>
      </c>
      <c r="M900" s="27">
        <f t="shared" si="954"/>
        <v>0</v>
      </c>
      <c r="N900" s="27">
        <f t="shared" si="954"/>
        <v>0</v>
      </c>
      <c r="O900" s="27" t="e">
        <f t="shared" si="887"/>
        <v>#DIV/0!</v>
      </c>
    </row>
    <row r="901" spans="1:18" ht="15.75" hidden="1" customHeight="1">
      <c r="A901" s="26" t="s">
        <v>188</v>
      </c>
      <c r="B901" s="216">
        <v>908</v>
      </c>
      <c r="C901" s="214" t="s">
        <v>287</v>
      </c>
      <c r="D901" s="214" t="s">
        <v>171</v>
      </c>
      <c r="E901" s="214" t="s">
        <v>568</v>
      </c>
      <c r="F901" s="214" t="s">
        <v>198</v>
      </c>
      <c r="G901" s="27">
        <f t="shared" si="953"/>
        <v>0</v>
      </c>
      <c r="H901" s="27">
        <f t="shared" si="953"/>
        <v>0</v>
      </c>
      <c r="I901" s="27">
        <f t="shared" si="953"/>
        <v>0</v>
      </c>
      <c r="J901" s="27">
        <f t="shared" si="953"/>
        <v>0</v>
      </c>
      <c r="K901" s="27">
        <f t="shared" si="953"/>
        <v>0</v>
      </c>
      <c r="L901" s="27">
        <f t="shared" si="953"/>
        <v>0</v>
      </c>
      <c r="M901" s="27">
        <f t="shared" si="954"/>
        <v>0</v>
      </c>
      <c r="N901" s="27">
        <f t="shared" si="954"/>
        <v>0</v>
      </c>
      <c r="O901" s="27" t="e">
        <f t="shared" si="887"/>
        <v>#DIV/0!</v>
      </c>
    </row>
    <row r="902" spans="1:18" ht="63" hidden="1" customHeight="1">
      <c r="A902" s="26" t="s">
        <v>237</v>
      </c>
      <c r="B902" s="216">
        <v>908</v>
      </c>
      <c r="C902" s="214" t="s">
        <v>287</v>
      </c>
      <c r="D902" s="214" t="s">
        <v>171</v>
      </c>
      <c r="E902" s="214" t="s">
        <v>568</v>
      </c>
      <c r="F902" s="214" t="s">
        <v>213</v>
      </c>
      <c r="G902" s="27">
        <v>0</v>
      </c>
      <c r="H902" s="27">
        <v>0</v>
      </c>
      <c r="I902" s="27">
        <v>0</v>
      </c>
      <c r="J902" s="27">
        <v>0</v>
      </c>
      <c r="K902" s="27">
        <v>0</v>
      </c>
      <c r="L902" s="27">
        <v>0</v>
      </c>
      <c r="M902" s="27">
        <v>0</v>
      </c>
      <c r="N902" s="27">
        <v>0</v>
      </c>
      <c r="O902" s="27" t="e">
        <f t="shared" si="887"/>
        <v>#DIV/0!</v>
      </c>
    </row>
    <row r="903" spans="1:18" ht="15.75">
      <c r="A903" s="26" t="s">
        <v>194</v>
      </c>
      <c r="B903" s="216">
        <v>908</v>
      </c>
      <c r="C903" s="214" t="s">
        <v>287</v>
      </c>
      <c r="D903" s="214" t="s">
        <v>171</v>
      </c>
      <c r="E903" s="214" t="s">
        <v>195</v>
      </c>
      <c r="F903" s="215"/>
      <c r="G903" s="27">
        <f>G910+G907+G904</f>
        <v>7765.4000000000005</v>
      </c>
      <c r="H903" s="27">
        <f t="shared" ref="H903:M903" si="955">H910+H907+H904</f>
        <v>3704.6</v>
      </c>
      <c r="I903" s="27">
        <f t="shared" si="955"/>
        <v>7765.4000000000005</v>
      </c>
      <c r="J903" s="27">
        <f>J910+J907+J904</f>
        <v>8701.2000000000007</v>
      </c>
      <c r="K903" s="27">
        <f t="shared" si="955"/>
        <v>8701.2000000000007</v>
      </c>
      <c r="L903" s="27">
        <f t="shared" si="955"/>
        <v>8701.2000000000007</v>
      </c>
      <c r="M903" s="27">
        <f t="shared" si="955"/>
        <v>4117.6000000000004</v>
      </c>
      <c r="N903" s="27">
        <f t="shared" ref="N903" si="956">N910+N907+N904</f>
        <v>1181.4000000000001</v>
      </c>
      <c r="O903" s="27">
        <f t="shared" si="887"/>
        <v>28.691470759665826</v>
      </c>
    </row>
    <row r="904" spans="1:18" ht="15.75" hidden="1">
      <c r="A904" s="26" t="s">
        <v>569</v>
      </c>
      <c r="B904" s="216">
        <v>908</v>
      </c>
      <c r="C904" s="214" t="s">
        <v>937</v>
      </c>
      <c r="D904" s="214" t="s">
        <v>171</v>
      </c>
      <c r="E904" s="214" t="s">
        <v>570</v>
      </c>
      <c r="F904" s="215"/>
      <c r="G904" s="27">
        <f>G905</f>
        <v>2400</v>
      </c>
      <c r="H904" s="27">
        <f t="shared" ref="H904:N904" si="957">H905</f>
        <v>500</v>
      </c>
      <c r="I904" s="27">
        <f t="shared" si="957"/>
        <v>2400</v>
      </c>
      <c r="J904" s="27">
        <f t="shared" si="957"/>
        <v>3744.1</v>
      </c>
      <c r="K904" s="27">
        <f t="shared" si="957"/>
        <v>3744.1</v>
      </c>
      <c r="L904" s="27">
        <f t="shared" si="957"/>
        <v>3744.1</v>
      </c>
      <c r="M904" s="27">
        <f t="shared" si="957"/>
        <v>0</v>
      </c>
      <c r="N904" s="27">
        <f t="shared" si="957"/>
        <v>0</v>
      </c>
      <c r="O904" s="27" t="e">
        <f t="shared" si="887"/>
        <v>#DIV/0!</v>
      </c>
    </row>
    <row r="905" spans="1:18" ht="15.75" hidden="1">
      <c r="A905" s="26" t="s">
        <v>188</v>
      </c>
      <c r="B905" s="216">
        <v>908</v>
      </c>
      <c r="C905" s="214" t="s">
        <v>287</v>
      </c>
      <c r="D905" s="214" t="s">
        <v>171</v>
      </c>
      <c r="E905" s="214" t="s">
        <v>570</v>
      </c>
      <c r="F905" s="214" t="s">
        <v>198</v>
      </c>
      <c r="G905" s="27">
        <f>G906</f>
        <v>2400</v>
      </c>
      <c r="H905" s="27">
        <f>H906</f>
        <v>500</v>
      </c>
      <c r="I905" s="27">
        <f t="shared" ref="I905:L905" si="958">I906</f>
        <v>2400</v>
      </c>
      <c r="J905" s="27">
        <f t="shared" si="958"/>
        <v>3744.1</v>
      </c>
      <c r="K905" s="27">
        <f t="shared" si="958"/>
        <v>3744.1</v>
      </c>
      <c r="L905" s="27">
        <f t="shared" si="958"/>
        <v>3744.1</v>
      </c>
      <c r="M905" s="27">
        <f t="shared" ref="M905:N905" si="959">M906</f>
        <v>0</v>
      </c>
      <c r="N905" s="27">
        <f t="shared" si="959"/>
        <v>0</v>
      </c>
      <c r="O905" s="27" t="e">
        <f t="shared" si="887"/>
        <v>#DIV/0!</v>
      </c>
    </row>
    <row r="906" spans="1:18" ht="63" hidden="1">
      <c r="A906" s="26" t="s">
        <v>237</v>
      </c>
      <c r="B906" s="216">
        <v>908</v>
      </c>
      <c r="C906" s="214" t="s">
        <v>287</v>
      </c>
      <c r="D906" s="214" t="s">
        <v>171</v>
      </c>
      <c r="E906" s="214" t="s">
        <v>570</v>
      </c>
      <c r="F906" s="214" t="s">
        <v>213</v>
      </c>
      <c r="G906" s="27">
        <f>1500+900</f>
        <v>2400</v>
      </c>
      <c r="H906" s="27">
        <v>500</v>
      </c>
      <c r="I906" s="27">
        <f t="shared" ref="I906" si="960">1500+900</f>
        <v>2400</v>
      </c>
      <c r="J906" s="27">
        <v>3744.1</v>
      </c>
      <c r="K906" s="27">
        <f>J906</f>
        <v>3744.1</v>
      </c>
      <c r="L906" s="27">
        <f>K906</f>
        <v>3744.1</v>
      </c>
      <c r="M906" s="27">
        <v>0</v>
      </c>
      <c r="N906" s="27">
        <v>0</v>
      </c>
      <c r="O906" s="27" t="e">
        <f t="shared" si="887"/>
        <v>#DIV/0!</v>
      </c>
    </row>
    <row r="907" spans="1:18" ht="31.5">
      <c r="A907" s="31" t="s">
        <v>452</v>
      </c>
      <c r="B907" s="216">
        <v>908</v>
      </c>
      <c r="C907" s="214" t="s">
        <v>287</v>
      </c>
      <c r="D907" s="214" t="s">
        <v>171</v>
      </c>
      <c r="E907" s="214" t="s">
        <v>453</v>
      </c>
      <c r="F907" s="215"/>
      <c r="G907" s="27">
        <f>G908</f>
        <v>4234.1000000000004</v>
      </c>
      <c r="H907" s="27">
        <f>H908</f>
        <v>2632.5</v>
      </c>
      <c r="I907" s="27">
        <f t="shared" ref="I907:L908" si="961">I908</f>
        <v>4234.1000000000004</v>
      </c>
      <c r="J907" s="27">
        <f t="shared" si="961"/>
        <v>3825.8</v>
      </c>
      <c r="K907" s="27">
        <f t="shared" si="961"/>
        <v>3825.8</v>
      </c>
      <c r="L907" s="27">
        <f t="shared" si="961"/>
        <v>3825.8</v>
      </c>
      <c r="M907" s="27">
        <f t="shared" ref="M907:N908" si="962">M908</f>
        <v>4017.6000000000004</v>
      </c>
      <c r="N907" s="27">
        <f t="shared" si="962"/>
        <v>1084</v>
      </c>
      <c r="O907" s="27">
        <f t="shared" si="887"/>
        <v>26.981282357626441</v>
      </c>
    </row>
    <row r="908" spans="1:18" ht="31.5">
      <c r="A908" s="26" t="s">
        <v>184</v>
      </c>
      <c r="B908" s="216">
        <v>908</v>
      </c>
      <c r="C908" s="214" t="s">
        <v>287</v>
      </c>
      <c r="D908" s="214" t="s">
        <v>171</v>
      </c>
      <c r="E908" s="214" t="s">
        <v>453</v>
      </c>
      <c r="F908" s="214" t="s">
        <v>185</v>
      </c>
      <c r="G908" s="27">
        <f>G909</f>
        <v>4234.1000000000004</v>
      </c>
      <c r="H908" s="27">
        <f>H909</f>
        <v>2632.5</v>
      </c>
      <c r="I908" s="27">
        <f t="shared" si="961"/>
        <v>4234.1000000000004</v>
      </c>
      <c r="J908" s="27">
        <f t="shared" si="961"/>
        <v>3825.8</v>
      </c>
      <c r="K908" s="27">
        <f t="shared" si="961"/>
        <v>3825.8</v>
      </c>
      <c r="L908" s="27">
        <f t="shared" si="961"/>
        <v>3825.8</v>
      </c>
      <c r="M908" s="27">
        <f>M909</f>
        <v>4017.6000000000004</v>
      </c>
      <c r="N908" s="27">
        <f t="shared" si="962"/>
        <v>1084</v>
      </c>
      <c r="O908" s="27">
        <f t="shared" si="887"/>
        <v>26.981282357626441</v>
      </c>
    </row>
    <row r="909" spans="1:18" ht="47.25">
      <c r="A909" s="26" t="s">
        <v>186</v>
      </c>
      <c r="B909" s="216">
        <v>908</v>
      </c>
      <c r="C909" s="214" t="s">
        <v>287</v>
      </c>
      <c r="D909" s="214" t="s">
        <v>171</v>
      </c>
      <c r="E909" s="214" t="s">
        <v>453</v>
      </c>
      <c r="F909" s="214" t="s">
        <v>187</v>
      </c>
      <c r="G909" s="28">
        <f>3811.8+422.3</f>
        <v>4234.1000000000004</v>
      </c>
      <c r="H909" s="28">
        <v>2632.5</v>
      </c>
      <c r="I909" s="28">
        <f t="shared" ref="I909" si="963">3811.8+422.3</f>
        <v>4234.1000000000004</v>
      </c>
      <c r="J909" s="28">
        <v>3825.8</v>
      </c>
      <c r="K909" s="28">
        <f>J909</f>
        <v>3825.8</v>
      </c>
      <c r="L909" s="28">
        <f>K909</f>
        <v>3825.8</v>
      </c>
      <c r="M909" s="28">
        <f>4117.6-100</f>
        <v>4017.6000000000004</v>
      </c>
      <c r="N909" s="28">
        <v>1084</v>
      </c>
      <c r="O909" s="27">
        <f t="shared" ref="O909:O972" si="964">N909/M909*100</f>
        <v>26.981282357626441</v>
      </c>
      <c r="Q909" s="140"/>
      <c r="R909" s="140"/>
    </row>
    <row r="910" spans="1:18" ht="15.75">
      <c r="A910" s="26" t="s">
        <v>593</v>
      </c>
      <c r="B910" s="216">
        <v>908</v>
      </c>
      <c r="C910" s="214" t="s">
        <v>287</v>
      </c>
      <c r="D910" s="214" t="s">
        <v>171</v>
      </c>
      <c r="E910" s="214" t="s">
        <v>594</v>
      </c>
      <c r="F910" s="215"/>
      <c r="G910" s="27">
        <f>G911</f>
        <v>1131.3</v>
      </c>
      <c r="H910" s="27">
        <f t="shared" ref="H910:N910" si="965">H911</f>
        <v>572.1</v>
      </c>
      <c r="I910" s="27">
        <f t="shared" si="965"/>
        <v>1131.3</v>
      </c>
      <c r="J910" s="27">
        <f t="shared" si="965"/>
        <v>1131.3</v>
      </c>
      <c r="K910" s="27">
        <f t="shared" si="965"/>
        <v>1131.3</v>
      </c>
      <c r="L910" s="27">
        <f t="shared" si="965"/>
        <v>1131.3</v>
      </c>
      <c r="M910" s="27">
        <f t="shared" si="965"/>
        <v>100</v>
      </c>
      <c r="N910" s="27">
        <f t="shared" si="965"/>
        <v>97.4</v>
      </c>
      <c r="O910" s="27">
        <f t="shared" si="964"/>
        <v>97.4</v>
      </c>
    </row>
    <row r="911" spans="1:18" ht="31.5">
      <c r="A911" s="26" t="s">
        <v>184</v>
      </c>
      <c r="B911" s="216">
        <v>908</v>
      </c>
      <c r="C911" s="214" t="s">
        <v>287</v>
      </c>
      <c r="D911" s="214" t="s">
        <v>171</v>
      </c>
      <c r="E911" s="214" t="s">
        <v>594</v>
      </c>
      <c r="F911" s="214" t="s">
        <v>185</v>
      </c>
      <c r="G911" s="27">
        <f>G912</f>
        <v>1131.3</v>
      </c>
      <c r="H911" s="27">
        <f>H912</f>
        <v>572.1</v>
      </c>
      <c r="I911" s="27">
        <f t="shared" ref="I911:L911" si="966">I912</f>
        <v>1131.3</v>
      </c>
      <c r="J911" s="27">
        <f t="shared" si="966"/>
        <v>1131.3</v>
      </c>
      <c r="K911" s="27">
        <f t="shared" si="966"/>
        <v>1131.3</v>
      </c>
      <c r="L911" s="27">
        <f t="shared" si="966"/>
        <v>1131.3</v>
      </c>
      <c r="M911" s="27">
        <f t="shared" ref="M911:N911" si="967">M912</f>
        <v>100</v>
      </c>
      <c r="N911" s="27">
        <f t="shared" si="967"/>
        <v>97.4</v>
      </c>
      <c r="O911" s="27">
        <f t="shared" si="964"/>
        <v>97.4</v>
      </c>
    </row>
    <row r="912" spans="1:18" ht="47.25">
      <c r="A912" s="26" t="s">
        <v>186</v>
      </c>
      <c r="B912" s="216">
        <v>908</v>
      </c>
      <c r="C912" s="214" t="s">
        <v>287</v>
      </c>
      <c r="D912" s="214" t="s">
        <v>171</v>
      </c>
      <c r="E912" s="214" t="s">
        <v>594</v>
      </c>
      <c r="F912" s="214" t="s">
        <v>187</v>
      </c>
      <c r="G912" s="27">
        <v>1131.3</v>
      </c>
      <c r="H912" s="27">
        <v>572.1</v>
      </c>
      <c r="I912" s="27">
        <v>1131.3</v>
      </c>
      <c r="J912" s="27">
        <v>1131.3</v>
      </c>
      <c r="K912" s="27">
        <v>1131.3</v>
      </c>
      <c r="L912" s="27">
        <v>1131.3</v>
      </c>
      <c r="M912" s="27">
        <v>100</v>
      </c>
      <c r="N912" s="27">
        <v>97.4</v>
      </c>
      <c r="O912" s="27">
        <f t="shared" si="964"/>
        <v>97.4</v>
      </c>
    </row>
    <row r="913" spans="1:18" ht="15.75">
      <c r="A913" s="24" t="s">
        <v>571</v>
      </c>
      <c r="B913" s="213">
        <v>908</v>
      </c>
      <c r="C913" s="215" t="s">
        <v>287</v>
      </c>
      <c r="D913" s="215" t="s">
        <v>266</v>
      </c>
      <c r="E913" s="215"/>
      <c r="F913" s="215"/>
      <c r="G913" s="22">
        <f>G914+G941</f>
        <v>53711.1</v>
      </c>
      <c r="H913" s="22">
        <f t="shared" ref="H913:L913" si="968">H914+H941</f>
        <v>8510</v>
      </c>
      <c r="I913" s="22">
        <f t="shared" si="968"/>
        <v>44351.4</v>
      </c>
      <c r="J913" s="22">
        <f t="shared" si="968"/>
        <v>12383.3</v>
      </c>
      <c r="K913" s="22">
        <f t="shared" si="968"/>
        <v>12383.3</v>
      </c>
      <c r="L913" s="22">
        <f t="shared" si="968"/>
        <v>12383.3</v>
      </c>
      <c r="M913" s="22">
        <f t="shared" ref="M913:N913" si="969">M914+M941</f>
        <v>51224.700000000004</v>
      </c>
      <c r="N913" s="22">
        <f t="shared" si="969"/>
        <v>4696.8999999999996</v>
      </c>
      <c r="O913" s="22">
        <f t="shared" si="964"/>
        <v>9.1692093853160674</v>
      </c>
    </row>
    <row r="914" spans="1:18" ht="82.5" customHeight="1">
      <c r="A914" s="26" t="s">
        <v>657</v>
      </c>
      <c r="B914" s="216">
        <v>908</v>
      </c>
      <c r="C914" s="214" t="s">
        <v>287</v>
      </c>
      <c r="D914" s="214" t="s">
        <v>266</v>
      </c>
      <c r="E914" s="214" t="s">
        <v>572</v>
      </c>
      <c r="F914" s="215"/>
      <c r="G914" s="27">
        <f t="shared" ref="G914:I914" si="970">G918+G921+G924+G929+G932+G938+G935</f>
        <v>5427.9</v>
      </c>
      <c r="H914" s="27">
        <f t="shared" si="970"/>
        <v>61.8</v>
      </c>
      <c r="I914" s="27">
        <f t="shared" si="970"/>
        <v>5427.9</v>
      </c>
      <c r="J914" s="27">
        <f>J918+J921+J924+J929+J932+J938+J935</f>
        <v>967</v>
      </c>
      <c r="K914" s="27">
        <f t="shared" ref="K914:M914" si="971">K918+K921+K924+K929+K932+K938+K935</f>
        <v>967</v>
      </c>
      <c r="L914" s="27">
        <f t="shared" si="971"/>
        <v>967</v>
      </c>
      <c r="M914" s="27">
        <f t="shared" si="971"/>
        <v>5084.5</v>
      </c>
      <c r="N914" s="27">
        <f t="shared" ref="N914" si="972">N918+N921+N924+N929+N932+N938+N935</f>
        <v>548.5</v>
      </c>
      <c r="O914" s="27">
        <f t="shared" si="964"/>
        <v>10.787688071590127</v>
      </c>
      <c r="P914" s="140"/>
    </row>
    <row r="915" spans="1:18" ht="47.25" hidden="1" customHeight="1">
      <c r="A915" s="37" t="s">
        <v>573</v>
      </c>
      <c r="B915" s="216">
        <v>908</v>
      </c>
      <c r="C915" s="214" t="s">
        <v>287</v>
      </c>
      <c r="D915" s="214" t="s">
        <v>266</v>
      </c>
      <c r="E915" s="214" t="s">
        <v>574</v>
      </c>
      <c r="F915" s="214"/>
      <c r="G915" s="27">
        <f t="shared" ref="G915:L916" si="973">G916</f>
        <v>0</v>
      </c>
      <c r="H915" s="27">
        <f t="shared" si="973"/>
        <v>0</v>
      </c>
      <c r="I915" s="27">
        <f t="shared" si="973"/>
        <v>0</v>
      </c>
      <c r="J915" s="27">
        <f t="shared" si="973"/>
        <v>0</v>
      </c>
      <c r="K915" s="27">
        <f t="shared" si="973"/>
        <v>0</v>
      </c>
      <c r="L915" s="27">
        <f t="shared" si="973"/>
        <v>0</v>
      </c>
      <c r="M915" s="27">
        <f t="shared" ref="M915:N916" si="974">M916</f>
        <v>0</v>
      </c>
      <c r="N915" s="27">
        <f t="shared" si="974"/>
        <v>0</v>
      </c>
      <c r="O915" s="27" t="e">
        <f t="shared" si="964"/>
        <v>#DIV/0!</v>
      </c>
    </row>
    <row r="916" spans="1:18" ht="31.5" hidden="1" customHeight="1">
      <c r="A916" s="26" t="s">
        <v>184</v>
      </c>
      <c r="B916" s="216">
        <v>908</v>
      </c>
      <c r="C916" s="214" t="s">
        <v>287</v>
      </c>
      <c r="D916" s="214" t="s">
        <v>266</v>
      </c>
      <c r="E916" s="214" t="s">
        <v>574</v>
      </c>
      <c r="F916" s="214" t="s">
        <v>185</v>
      </c>
      <c r="G916" s="27">
        <f t="shared" si="973"/>
        <v>0</v>
      </c>
      <c r="H916" s="27">
        <f t="shared" si="973"/>
        <v>0</v>
      </c>
      <c r="I916" s="27">
        <f t="shared" si="973"/>
        <v>0</v>
      </c>
      <c r="J916" s="27">
        <f t="shared" si="973"/>
        <v>0</v>
      </c>
      <c r="K916" s="27">
        <f t="shared" si="973"/>
        <v>0</v>
      </c>
      <c r="L916" s="27">
        <f t="shared" si="973"/>
        <v>0</v>
      </c>
      <c r="M916" s="27">
        <f t="shared" si="974"/>
        <v>0</v>
      </c>
      <c r="N916" s="27">
        <f t="shared" si="974"/>
        <v>0</v>
      </c>
      <c r="O916" s="27" t="e">
        <f t="shared" si="964"/>
        <v>#DIV/0!</v>
      </c>
    </row>
    <row r="917" spans="1:18" ht="47.25" hidden="1" customHeight="1">
      <c r="A917" s="26" t="s">
        <v>186</v>
      </c>
      <c r="B917" s="216">
        <v>908</v>
      </c>
      <c r="C917" s="214" t="s">
        <v>287</v>
      </c>
      <c r="D917" s="214" t="s">
        <v>266</v>
      </c>
      <c r="E917" s="214" t="s">
        <v>574</v>
      </c>
      <c r="F917" s="214" t="s">
        <v>187</v>
      </c>
      <c r="G917" s="27">
        <v>0</v>
      </c>
      <c r="H917" s="27">
        <v>0</v>
      </c>
      <c r="I917" s="27">
        <v>0</v>
      </c>
      <c r="J917" s="27">
        <v>0</v>
      </c>
      <c r="K917" s="27">
        <v>0</v>
      </c>
      <c r="L917" s="27">
        <v>0</v>
      </c>
      <c r="M917" s="27">
        <v>0</v>
      </c>
      <c r="N917" s="27">
        <v>0</v>
      </c>
      <c r="O917" s="27" t="e">
        <f t="shared" si="964"/>
        <v>#DIV/0!</v>
      </c>
    </row>
    <row r="918" spans="1:18" ht="15.75">
      <c r="A918" s="47" t="s">
        <v>575</v>
      </c>
      <c r="B918" s="216">
        <v>908</v>
      </c>
      <c r="C918" s="217" t="s">
        <v>287</v>
      </c>
      <c r="D918" s="217" t="s">
        <v>266</v>
      </c>
      <c r="E918" s="214" t="s">
        <v>576</v>
      </c>
      <c r="F918" s="217"/>
      <c r="G918" s="27">
        <f>G919</f>
        <v>450</v>
      </c>
      <c r="H918" s="27">
        <f>H919</f>
        <v>0</v>
      </c>
      <c r="I918" s="27">
        <f t="shared" ref="I918:L919" si="975">I919</f>
        <v>450</v>
      </c>
      <c r="J918" s="27">
        <f t="shared" si="975"/>
        <v>450</v>
      </c>
      <c r="K918" s="27">
        <f t="shared" si="975"/>
        <v>450</v>
      </c>
      <c r="L918" s="27">
        <f t="shared" si="975"/>
        <v>450</v>
      </c>
      <c r="M918" s="27">
        <f t="shared" ref="M918:N919" si="976">M919</f>
        <v>1978.5</v>
      </c>
      <c r="N918" s="27">
        <f t="shared" si="976"/>
        <v>478.5</v>
      </c>
      <c r="O918" s="27">
        <f t="shared" si="964"/>
        <v>24.184988627748293</v>
      </c>
    </row>
    <row r="919" spans="1:18" ht="31.5">
      <c r="A919" s="33" t="s">
        <v>184</v>
      </c>
      <c r="B919" s="216">
        <v>908</v>
      </c>
      <c r="C919" s="217" t="s">
        <v>287</v>
      </c>
      <c r="D919" s="217" t="s">
        <v>266</v>
      </c>
      <c r="E919" s="214" t="s">
        <v>576</v>
      </c>
      <c r="F919" s="217" t="s">
        <v>185</v>
      </c>
      <c r="G919" s="27">
        <f>G920</f>
        <v>450</v>
      </c>
      <c r="H919" s="27">
        <f>H920</f>
        <v>0</v>
      </c>
      <c r="I919" s="27">
        <f t="shared" si="975"/>
        <v>450</v>
      </c>
      <c r="J919" s="27">
        <f t="shared" si="975"/>
        <v>450</v>
      </c>
      <c r="K919" s="27">
        <f t="shared" si="975"/>
        <v>450</v>
      </c>
      <c r="L919" s="27">
        <f t="shared" si="975"/>
        <v>450</v>
      </c>
      <c r="M919" s="27">
        <f t="shared" si="976"/>
        <v>1978.5</v>
      </c>
      <c r="N919" s="27">
        <f t="shared" si="976"/>
        <v>478.5</v>
      </c>
      <c r="O919" s="27">
        <f t="shared" si="964"/>
        <v>24.184988627748293</v>
      </c>
    </row>
    <row r="920" spans="1:18" ht="47.25">
      <c r="A920" s="33" t="s">
        <v>186</v>
      </c>
      <c r="B920" s="216">
        <v>908</v>
      </c>
      <c r="C920" s="217" t="s">
        <v>287</v>
      </c>
      <c r="D920" s="217" t="s">
        <v>266</v>
      </c>
      <c r="E920" s="214" t="s">
        <v>576</v>
      </c>
      <c r="F920" s="217" t="s">
        <v>187</v>
      </c>
      <c r="G920" s="27">
        <v>450</v>
      </c>
      <c r="H920" s="27">
        <v>0</v>
      </c>
      <c r="I920" s="27">
        <v>450</v>
      </c>
      <c r="J920" s="27">
        <v>450</v>
      </c>
      <c r="K920" s="27">
        <v>450</v>
      </c>
      <c r="L920" s="27">
        <v>450</v>
      </c>
      <c r="M920" s="27">
        <f>450+1200+78.5+169+81</f>
        <v>1978.5</v>
      </c>
      <c r="N920" s="27">
        <v>478.5</v>
      </c>
      <c r="O920" s="27">
        <f t="shared" si="964"/>
        <v>24.184988627748293</v>
      </c>
      <c r="Q920" s="133"/>
    </row>
    <row r="921" spans="1:18" ht="15.75" hidden="1">
      <c r="A921" s="47" t="s">
        <v>577</v>
      </c>
      <c r="B921" s="216">
        <v>908</v>
      </c>
      <c r="C921" s="217" t="s">
        <v>287</v>
      </c>
      <c r="D921" s="217" t="s">
        <v>266</v>
      </c>
      <c r="E921" s="214" t="s">
        <v>578</v>
      </c>
      <c r="F921" s="217"/>
      <c r="G921" s="27">
        <f>G922</f>
        <v>3107</v>
      </c>
      <c r="H921" s="27">
        <f>H922</f>
        <v>0</v>
      </c>
      <c r="I921" s="27">
        <f t="shared" ref="I921:L922" si="977">I922</f>
        <v>3107</v>
      </c>
      <c r="J921" s="27">
        <f t="shared" si="977"/>
        <v>160</v>
      </c>
      <c r="K921" s="27">
        <f t="shared" si="977"/>
        <v>160</v>
      </c>
      <c r="L921" s="27">
        <f t="shared" si="977"/>
        <v>160</v>
      </c>
      <c r="M921" s="27">
        <f t="shared" ref="M921:N922" si="978">M922</f>
        <v>0</v>
      </c>
      <c r="N921" s="27">
        <f t="shared" si="978"/>
        <v>0</v>
      </c>
      <c r="O921" s="27" t="e">
        <f t="shared" si="964"/>
        <v>#DIV/0!</v>
      </c>
    </row>
    <row r="922" spans="1:18" ht="31.5" hidden="1">
      <c r="A922" s="33" t="s">
        <v>184</v>
      </c>
      <c r="B922" s="216">
        <v>908</v>
      </c>
      <c r="C922" s="217" t="s">
        <v>287</v>
      </c>
      <c r="D922" s="217" t="s">
        <v>266</v>
      </c>
      <c r="E922" s="214" t="s">
        <v>578</v>
      </c>
      <c r="F922" s="217" t="s">
        <v>185</v>
      </c>
      <c r="G922" s="27">
        <f>G923</f>
        <v>3107</v>
      </c>
      <c r="H922" s="27">
        <f>H923</f>
        <v>0</v>
      </c>
      <c r="I922" s="27">
        <f t="shared" si="977"/>
        <v>3107</v>
      </c>
      <c r="J922" s="27">
        <f t="shared" si="977"/>
        <v>160</v>
      </c>
      <c r="K922" s="27">
        <f t="shared" si="977"/>
        <v>160</v>
      </c>
      <c r="L922" s="27">
        <f t="shared" si="977"/>
        <v>160</v>
      </c>
      <c r="M922" s="27">
        <f t="shared" si="978"/>
        <v>0</v>
      </c>
      <c r="N922" s="27">
        <f t="shared" si="978"/>
        <v>0</v>
      </c>
      <c r="O922" s="27" t="e">
        <f t="shared" si="964"/>
        <v>#DIV/0!</v>
      </c>
    </row>
    <row r="923" spans="1:18" ht="47.25" hidden="1">
      <c r="A923" s="33" t="s">
        <v>186</v>
      </c>
      <c r="B923" s="216">
        <v>908</v>
      </c>
      <c r="C923" s="217" t="s">
        <v>287</v>
      </c>
      <c r="D923" s="217" t="s">
        <v>266</v>
      </c>
      <c r="E923" s="214" t="s">
        <v>578</v>
      </c>
      <c r="F923" s="217" t="s">
        <v>187</v>
      </c>
      <c r="G923" s="7">
        <f>110+20+2977</f>
        <v>3107</v>
      </c>
      <c r="H923" s="7">
        <v>0</v>
      </c>
      <c r="I923" s="7">
        <f t="shared" ref="I923" si="979">110+20+2977</f>
        <v>3107</v>
      </c>
      <c r="J923" s="7">
        <f t="shared" ref="J923:L923" si="980">25+135</f>
        <v>160</v>
      </c>
      <c r="K923" s="7">
        <f t="shared" si="980"/>
        <v>160</v>
      </c>
      <c r="L923" s="7">
        <f t="shared" si="980"/>
        <v>160</v>
      </c>
      <c r="M923" s="7">
        <f>160+440+200-800</f>
        <v>0</v>
      </c>
      <c r="N923" s="7"/>
      <c r="O923" s="27" t="e">
        <f t="shared" si="964"/>
        <v>#DIV/0!</v>
      </c>
    </row>
    <row r="924" spans="1:18" ht="15.75">
      <c r="A924" s="47" t="s">
        <v>579</v>
      </c>
      <c r="B924" s="216">
        <v>908</v>
      </c>
      <c r="C924" s="217" t="s">
        <v>287</v>
      </c>
      <c r="D924" s="217" t="s">
        <v>266</v>
      </c>
      <c r="E924" s="214" t="s">
        <v>580</v>
      </c>
      <c r="F924" s="217"/>
      <c r="G924" s="27">
        <f>G925</f>
        <v>1389.8999999999999</v>
      </c>
      <c r="H924" s="27">
        <f>H925</f>
        <v>36.5</v>
      </c>
      <c r="I924" s="27">
        <f t="shared" ref="I924:L925" si="981">I925</f>
        <v>1389.8999999999999</v>
      </c>
      <c r="J924" s="27">
        <f t="shared" si="981"/>
        <v>40</v>
      </c>
      <c r="K924" s="27">
        <f t="shared" si="981"/>
        <v>40</v>
      </c>
      <c r="L924" s="27">
        <f t="shared" si="981"/>
        <v>40</v>
      </c>
      <c r="M924" s="27">
        <f>M925+M927</f>
        <v>550</v>
      </c>
      <c r="N924" s="27">
        <f t="shared" ref="N924" si="982">N925+N927</f>
        <v>70</v>
      </c>
      <c r="O924" s="27">
        <f t="shared" si="964"/>
        <v>12.727272727272727</v>
      </c>
    </row>
    <row r="925" spans="1:18" ht="31.5">
      <c r="A925" s="33" t="s">
        <v>184</v>
      </c>
      <c r="B925" s="216">
        <v>908</v>
      </c>
      <c r="C925" s="217" t="s">
        <v>287</v>
      </c>
      <c r="D925" s="217" t="s">
        <v>266</v>
      </c>
      <c r="E925" s="214" t="s">
        <v>580</v>
      </c>
      <c r="F925" s="217" t="s">
        <v>185</v>
      </c>
      <c r="G925" s="27">
        <f>G926</f>
        <v>1389.8999999999999</v>
      </c>
      <c r="H925" s="27">
        <f>H926</f>
        <v>36.5</v>
      </c>
      <c r="I925" s="27">
        <f t="shared" si="981"/>
        <v>1389.8999999999999</v>
      </c>
      <c r="J925" s="27">
        <f t="shared" si="981"/>
        <v>40</v>
      </c>
      <c r="K925" s="27">
        <f t="shared" si="981"/>
        <v>40</v>
      </c>
      <c r="L925" s="27">
        <f t="shared" si="981"/>
        <v>40</v>
      </c>
      <c r="M925" s="27">
        <f>M926</f>
        <v>549.20000000000005</v>
      </c>
      <c r="N925" s="27">
        <f t="shared" ref="N925" si="983">N926</f>
        <v>69.3</v>
      </c>
      <c r="O925" s="27">
        <f t="shared" si="964"/>
        <v>12.618353969410048</v>
      </c>
    </row>
    <row r="926" spans="1:18" ht="47.25">
      <c r="A926" s="33" t="s">
        <v>186</v>
      </c>
      <c r="B926" s="216">
        <v>908</v>
      </c>
      <c r="C926" s="217" t="s">
        <v>287</v>
      </c>
      <c r="D926" s="217" t="s">
        <v>266</v>
      </c>
      <c r="E926" s="214" t="s">
        <v>580</v>
      </c>
      <c r="F926" s="217" t="s">
        <v>187</v>
      </c>
      <c r="G926" s="7">
        <f>10+30+3534.6-2200+15.3</f>
        <v>1389.8999999999999</v>
      </c>
      <c r="H926" s="7">
        <v>36.5</v>
      </c>
      <c r="I926" s="7">
        <f t="shared" ref="I926" si="984">10+30+3534.6-2200+15.3</f>
        <v>1389.8999999999999</v>
      </c>
      <c r="J926" s="7">
        <f t="shared" ref="J926:L926" si="985">10+30</f>
        <v>40</v>
      </c>
      <c r="K926" s="7">
        <f t="shared" si="985"/>
        <v>40</v>
      </c>
      <c r="L926" s="7">
        <f t="shared" si="985"/>
        <v>40</v>
      </c>
      <c r="M926" s="7">
        <f>40+627+1150-637-0.8-630</f>
        <v>549.20000000000005</v>
      </c>
      <c r="N926" s="7">
        <v>69.3</v>
      </c>
      <c r="O926" s="27">
        <f t="shared" si="964"/>
        <v>12.618353969410048</v>
      </c>
      <c r="Q926" s="133"/>
      <c r="R926" s="133"/>
    </row>
    <row r="927" spans="1:18" ht="15.75">
      <c r="A927" s="26" t="s">
        <v>188</v>
      </c>
      <c r="B927" s="216">
        <v>908</v>
      </c>
      <c r="C927" s="217" t="s">
        <v>287</v>
      </c>
      <c r="D927" s="217" t="s">
        <v>266</v>
      </c>
      <c r="E927" s="214" t="s">
        <v>580</v>
      </c>
      <c r="F927" s="217" t="s">
        <v>198</v>
      </c>
      <c r="G927" s="7"/>
      <c r="H927" s="7"/>
      <c r="I927" s="7"/>
      <c r="J927" s="7"/>
      <c r="K927" s="7"/>
      <c r="L927" s="7"/>
      <c r="M927" s="7">
        <f>M928</f>
        <v>0.8</v>
      </c>
      <c r="N927" s="7">
        <f t="shared" ref="N927" si="986">N928</f>
        <v>0.7</v>
      </c>
      <c r="O927" s="27">
        <f t="shared" si="964"/>
        <v>87.499999999999986</v>
      </c>
    </row>
    <row r="928" spans="1:18" ht="15.75">
      <c r="A928" s="26" t="s">
        <v>803</v>
      </c>
      <c r="B928" s="216">
        <v>908</v>
      </c>
      <c r="C928" s="217" t="s">
        <v>287</v>
      </c>
      <c r="D928" s="217" t="s">
        <v>266</v>
      </c>
      <c r="E928" s="214" t="s">
        <v>580</v>
      </c>
      <c r="F928" s="217" t="s">
        <v>191</v>
      </c>
      <c r="G928" s="7"/>
      <c r="H928" s="7"/>
      <c r="I928" s="7"/>
      <c r="J928" s="7"/>
      <c r="K928" s="7"/>
      <c r="L928" s="7"/>
      <c r="M928" s="7">
        <v>0.8</v>
      </c>
      <c r="N928" s="7">
        <v>0.7</v>
      </c>
      <c r="O928" s="27">
        <f t="shared" si="964"/>
        <v>87.499999999999986</v>
      </c>
    </row>
    <row r="929" spans="1:17" ht="15.75">
      <c r="A929" s="47" t="s">
        <v>581</v>
      </c>
      <c r="B929" s="216">
        <v>908</v>
      </c>
      <c r="C929" s="217" t="s">
        <v>287</v>
      </c>
      <c r="D929" s="217" t="s">
        <v>266</v>
      </c>
      <c r="E929" s="214" t="s">
        <v>582</v>
      </c>
      <c r="F929" s="217"/>
      <c r="G929" s="27">
        <f>G930</f>
        <v>159.10000000000002</v>
      </c>
      <c r="H929" s="27">
        <f>H930</f>
        <v>13.3</v>
      </c>
      <c r="I929" s="27">
        <f t="shared" ref="I929:L930" si="987">I930</f>
        <v>159.10000000000002</v>
      </c>
      <c r="J929" s="27">
        <f t="shared" si="987"/>
        <v>305</v>
      </c>
      <c r="K929" s="27">
        <f t="shared" si="987"/>
        <v>305</v>
      </c>
      <c r="L929" s="27">
        <f t="shared" si="987"/>
        <v>305</v>
      </c>
      <c r="M929" s="27">
        <f t="shared" ref="M929:N930" si="988">M930</f>
        <v>2556</v>
      </c>
      <c r="N929" s="27">
        <f t="shared" si="988"/>
        <v>0</v>
      </c>
      <c r="O929" s="27">
        <f t="shared" si="964"/>
        <v>0</v>
      </c>
    </row>
    <row r="930" spans="1:17" ht="31.5">
      <c r="A930" s="33" t="s">
        <v>184</v>
      </c>
      <c r="B930" s="216">
        <v>908</v>
      </c>
      <c r="C930" s="217" t="s">
        <v>287</v>
      </c>
      <c r="D930" s="217" t="s">
        <v>266</v>
      </c>
      <c r="E930" s="214" t="s">
        <v>582</v>
      </c>
      <c r="F930" s="217" t="s">
        <v>185</v>
      </c>
      <c r="G930" s="27">
        <f>G931</f>
        <v>159.10000000000002</v>
      </c>
      <c r="H930" s="27">
        <f>H931</f>
        <v>13.3</v>
      </c>
      <c r="I930" s="27">
        <f t="shared" si="987"/>
        <v>159.10000000000002</v>
      </c>
      <c r="J930" s="27">
        <f t="shared" si="987"/>
        <v>305</v>
      </c>
      <c r="K930" s="27">
        <f t="shared" si="987"/>
        <v>305</v>
      </c>
      <c r="L930" s="27">
        <f t="shared" si="987"/>
        <v>305</v>
      </c>
      <c r="M930" s="27">
        <f t="shared" si="988"/>
        <v>2556</v>
      </c>
      <c r="N930" s="27">
        <f t="shared" si="988"/>
        <v>0</v>
      </c>
      <c r="O930" s="27">
        <f t="shared" si="964"/>
        <v>0</v>
      </c>
    </row>
    <row r="931" spans="1:17" ht="47.25">
      <c r="A931" s="33" t="s">
        <v>186</v>
      </c>
      <c r="B931" s="216">
        <v>908</v>
      </c>
      <c r="C931" s="217" t="s">
        <v>287</v>
      </c>
      <c r="D931" s="217" t="s">
        <v>266</v>
      </c>
      <c r="E931" s="214" t="s">
        <v>582</v>
      </c>
      <c r="F931" s="217" t="s">
        <v>187</v>
      </c>
      <c r="G931" s="7">
        <f>250+5+681.1-522-255</f>
        <v>159.10000000000002</v>
      </c>
      <c r="H931" s="7">
        <v>13.3</v>
      </c>
      <c r="I931" s="7">
        <f t="shared" ref="I931" si="989">250+5+681.1-522-255</f>
        <v>159.10000000000002</v>
      </c>
      <c r="J931" s="7">
        <f t="shared" ref="J931:L931" si="990">300+5</f>
        <v>305</v>
      </c>
      <c r="K931" s="7">
        <f t="shared" si="990"/>
        <v>305</v>
      </c>
      <c r="L931" s="7">
        <f t="shared" si="990"/>
        <v>305</v>
      </c>
      <c r="M931" s="7">
        <f>305+122+300+468+1361</f>
        <v>2556</v>
      </c>
      <c r="N931" s="7">
        <v>0</v>
      </c>
      <c r="O931" s="27">
        <f t="shared" si="964"/>
        <v>0</v>
      </c>
      <c r="Q931" s="133"/>
    </row>
    <row r="932" spans="1:17" ht="15.75" hidden="1">
      <c r="A932" s="47" t="s">
        <v>583</v>
      </c>
      <c r="B932" s="216">
        <v>908</v>
      </c>
      <c r="C932" s="217" t="s">
        <v>287</v>
      </c>
      <c r="D932" s="217" t="s">
        <v>266</v>
      </c>
      <c r="E932" s="214" t="s">
        <v>584</v>
      </c>
      <c r="F932" s="217"/>
      <c r="G932" s="27">
        <f>G933</f>
        <v>272.89999999999998</v>
      </c>
      <c r="H932" s="27">
        <f>H933</f>
        <v>1.9</v>
      </c>
      <c r="I932" s="27">
        <f t="shared" ref="I932:L933" si="991">I933</f>
        <v>272.89999999999998</v>
      </c>
      <c r="J932" s="27">
        <f t="shared" si="991"/>
        <v>2</v>
      </c>
      <c r="K932" s="27">
        <f t="shared" si="991"/>
        <v>2</v>
      </c>
      <c r="L932" s="27">
        <f t="shared" si="991"/>
        <v>2</v>
      </c>
      <c r="M932" s="27">
        <f t="shared" ref="M932:N933" si="992">M933</f>
        <v>0</v>
      </c>
      <c r="N932" s="27">
        <f t="shared" si="992"/>
        <v>0</v>
      </c>
      <c r="O932" s="27" t="e">
        <f t="shared" si="964"/>
        <v>#DIV/0!</v>
      </c>
    </row>
    <row r="933" spans="1:17" ht="31.5" hidden="1">
      <c r="A933" s="33" t="s">
        <v>184</v>
      </c>
      <c r="B933" s="216">
        <v>908</v>
      </c>
      <c r="C933" s="217" t="s">
        <v>287</v>
      </c>
      <c r="D933" s="217" t="s">
        <v>266</v>
      </c>
      <c r="E933" s="214" t="s">
        <v>584</v>
      </c>
      <c r="F933" s="217" t="s">
        <v>185</v>
      </c>
      <c r="G933" s="27">
        <f>G934</f>
        <v>272.89999999999998</v>
      </c>
      <c r="H933" s="27">
        <f>H934</f>
        <v>1.9</v>
      </c>
      <c r="I933" s="27">
        <f t="shared" si="991"/>
        <v>272.89999999999998</v>
      </c>
      <c r="J933" s="27">
        <f t="shared" si="991"/>
        <v>2</v>
      </c>
      <c r="K933" s="27">
        <f t="shared" si="991"/>
        <v>2</v>
      </c>
      <c r="L933" s="27">
        <f t="shared" si="991"/>
        <v>2</v>
      </c>
      <c r="M933" s="27">
        <f t="shared" si="992"/>
        <v>0</v>
      </c>
      <c r="N933" s="27">
        <f t="shared" si="992"/>
        <v>0</v>
      </c>
      <c r="O933" s="27" t="e">
        <f t="shared" si="964"/>
        <v>#DIV/0!</v>
      </c>
    </row>
    <row r="934" spans="1:17" ht="47.25" hidden="1">
      <c r="A934" s="33" t="s">
        <v>186</v>
      </c>
      <c r="B934" s="216">
        <v>908</v>
      </c>
      <c r="C934" s="217" t="s">
        <v>287</v>
      </c>
      <c r="D934" s="217" t="s">
        <v>266</v>
      </c>
      <c r="E934" s="214" t="s">
        <v>584</v>
      </c>
      <c r="F934" s="217" t="s">
        <v>187</v>
      </c>
      <c r="G934" s="27">
        <f>2+286.2-15.3</f>
        <v>272.89999999999998</v>
      </c>
      <c r="H934" s="27">
        <v>1.9</v>
      </c>
      <c r="I934" s="27">
        <f t="shared" ref="I934" si="993">2+286.2-15.3</f>
        <v>272.89999999999998</v>
      </c>
      <c r="J934" s="27">
        <v>2</v>
      </c>
      <c r="K934" s="27">
        <v>2</v>
      </c>
      <c r="L934" s="27">
        <v>2</v>
      </c>
      <c r="M934" s="27">
        <f>2-2</f>
        <v>0</v>
      </c>
      <c r="N934" s="27">
        <f t="shared" ref="N934" si="994">2-2</f>
        <v>0</v>
      </c>
      <c r="O934" s="27" t="e">
        <f t="shared" si="964"/>
        <v>#DIV/0!</v>
      </c>
    </row>
    <row r="935" spans="1:17" ht="31.5" hidden="1" customHeight="1">
      <c r="A935" s="206" t="s">
        <v>585</v>
      </c>
      <c r="B935" s="216">
        <v>908</v>
      </c>
      <c r="C935" s="217" t="s">
        <v>287</v>
      </c>
      <c r="D935" s="217" t="s">
        <v>266</v>
      </c>
      <c r="E935" s="214" t="s">
        <v>586</v>
      </c>
      <c r="F935" s="217"/>
      <c r="G935" s="27">
        <f>G936</f>
        <v>0</v>
      </c>
      <c r="H935" s="27">
        <v>0</v>
      </c>
      <c r="I935" s="27">
        <f t="shared" ref="I935:L936" si="995">I936</f>
        <v>0</v>
      </c>
      <c r="J935" s="27">
        <f t="shared" si="995"/>
        <v>0</v>
      </c>
      <c r="K935" s="27">
        <f t="shared" si="995"/>
        <v>0</v>
      </c>
      <c r="L935" s="27">
        <f t="shared" si="995"/>
        <v>0</v>
      </c>
      <c r="M935" s="27">
        <f t="shared" ref="M935:N936" si="996">M936</f>
        <v>0</v>
      </c>
      <c r="N935" s="27">
        <f t="shared" si="996"/>
        <v>0</v>
      </c>
      <c r="O935" s="27" t="e">
        <f t="shared" si="964"/>
        <v>#DIV/0!</v>
      </c>
    </row>
    <row r="936" spans="1:17" ht="31.5" hidden="1" customHeight="1">
      <c r="A936" s="33" t="s">
        <v>184</v>
      </c>
      <c r="B936" s="216">
        <v>908</v>
      </c>
      <c r="C936" s="217" t="s">
        <v>287</v>
      </c>
      <c r="D936" s="217" t="s">
        <v>266</v>
      </c>
      <c r="E936" s="214" t="s">
        <v>586</v>
      </c>
      <c r="F936" s="217" t="s">
        <v>185</v>
      </c>
      <c r="G936" s="27">
        <f>G937</f>
        <v>0</v>
      </c>
      <c r="H936" s="27">
        <v>0</v>
      </c>
      <c r="I936" s="27">
        <f t="shared" si="995"/>
        <v>0</v>
      </c>
      <c r="J936" s="27">
        <f t="shared" si="995"/>
        <v>0</v>
      </c>
      <c r="K936" s="27">
        <f t="shared" si="995"/>
        <v>0</v>
      </c>
      <c r="L936" s="27">
        <f t="shared" si="995"/>
        <v>0</v>
      </c>
      <c r="M936" s="27">
        <f t="shared" si="996"/>
        <v>0</v>
      </c>
      <c r="N936" s="27">
        <f t="shared" si="996"/>
        <v>0</v>
      </c>
      <c r="O936" s="27" t="e">
        <f t="shared" si="964"/>
        <v>#DIV/0!</v>
      </c>
    </row>
    <row r="937" spans="1:17" ht="47.25" hidden="1" customHeight="1">
      <c r="A937" s="33" t="s">
        <v>186</v>
      </c>
      <c r="B937" s="216">
        <v>908</v>
      </c>
      <c r="C937" s="217" t="s">
        <v>287</v>
      </c>
      <c r="D937" s="217" t="s">
        <v>266</v>
      </c>
      <c r="E937" s="214" t="s">
        <v>586</v>
      </c>
      <c r="F937" s="217" t="s">
        <v>187</v>
      </c>
      <c r="G937" s="27">
        <v>0</v>
      </c>
      <c r="H937" s="27">
        <v>0</v>
      </c>
      <c r="I937" s="27">
        <v>0</v>
      </c>
      <c r="J937" s="27">
        <v>0</v>
      </c>
      <c r="K937" s="27">
        <v>0</v>
      </c>
      <c r="L937" s="27">
        <v>0</v>
      </c>
      <c r="M937" s="27">
        <v>0</v>
      </c>
      <c r="N937" s="27">
        <v>0</v>
      </c>
      <c r="O937" s="27" t="e">
        <f t="shared" si="964"/>
        <v>#DIV/0!</v>
      </c>
    </row>
    <row r="938" spans="1:17" ht="15.75" hidden="1">
      <c r="A938" s="206" t="s">
        <v>587</v>
      </c>
      <c r="B938" s="216">
        <v>908</v>
      </c>
      <c r="C938" s="217" t="s">
        <v>287</v>
      </c>
      <c r="D938" s="217" t="s">
        <v>266</v>
      </c>
      <c r="E938" s="214" t="s">
        <v>588</v>
      </c>
      <c r="F938" s="217"/>
      <c r="G938" s="27">
        <f>G939</f>
        <v>49</v>
      </c>
      <c r="H938" s="27">
        <f>H939</f>
        <v>10.1</v>
      </c>
      <c r="I938" s="27">
        <f t="shared" ref="I938:L939" si="997">I939</f>
        <v>49</v>
      </c>
      <c r="J938" s="27">
        <f t="shared" si="997"/>
        <v>10</v>
      </c>
      <c r="K938" s="27">
        <f t="shared" si="997"/>
        <v>10</v>
      </c>
      <c r="L938" s="27">
        <f t="shared" si="997"/>
        <v>10</v>
      </c>
      <c r="M938" s="27">
        <f t="shared" ref="M938:N939" si="998">M939</f>
        <v>0</v>
      </c>
      <c r="N938" s="27">
        <f t="shared" si="998"/>
        <v>0</v>
      </c>
      <c r="O938" s="27" t="e">
        <f t="shared" si="964"/>
        <v>#DIV/0!</v>
      </c>
    </row>
    <row r="939" spans="1:17" ht="31.5" hidden="1">
      <c r="A939" s="26" t="s">
        <v>184</v>
      </c>
      <c r="B939" s="216">
        <v>908</v>
      </c>
      <c r="C939" s="217" t="s">
        <v>287</v>
      </c>
      <c r="D939" s="217" t="s">
        <v>266</v>
      </c>
      <c r="E939" s="214" t="s">
        <v>588</v>
      </c>
      <c r="F939" s="217" t="s">
        <v>185</v>
      </c>
      <c r="G939" s="27">
        <f>G940</f>
        <v>49</v>
      </c>
      <c r="H939" s="27">
        <f>H940</f>
        <v>10.1</v>
      </c>
      <c r="I939" s="27">
        <f t="shared" si="997"/>
        <v>49</v>
      </c>
      <c r="J939" s="27">
        <f t="shared" si="997"/>
        <v>10</v>
      </c>
      <c r="K939" s="27">
        <f t="shared" si="997"/>
        <v>10</v>
      </c>
      <c r="L939" s="27">
        <f t="shared" si="997"/>
        <v>10</v>
      </c>
      <c r="M939" s="27">
        <f t="shared" si="998"/>
        <v>0</v>
      </c>
      <c r="N939" s="27">
        <f t="shared" si="998"/>
        <v>0</v>
      </c>
      <c r="O939" s="27" t="e">
        <f t="shared" si="964"/>
        <v>#DIV/0!</v>
      </c>
    </row>
    <row r="940" spans="1:17" ht="47.25" hidden="1">
      <c r="A940" s="26" t="s">
        <v>186</v>
      </c>
      <c r="B940" s="216">
        <v>908</v>
      </c>
      <c r="C940" s="217" t="s">
        <v>287</v>
      </c>
      <c r="D940" s="217" t="s">
        <v>266</v>
      </c>
      <c r="E940" s="214" t="s">
        <v>588</v>
      </c>
      <c r="F940" s="217" t="s">
        <v>187</v>
      </c>
      <c r="G940" s="27">
        <f>15+174-140</f>
        <v>49</v>
      </c>
      <c r="H940" s="27">
        <v>10.1</v>
      </c>
      <c r="I940" s="27">
        <f t="shared" ref="I940" si="999">15+174-140</f>
        <v>49</v>
      </c>
      <c r="J940" s="27">
        <v>10</v>
      </c>
      <c r="K940" s="27">
        <v>10</v>
      </c>
      <c r="L940" s="27">
        <v>10</v>
      </c>
      <c r="M940" s="27">
        <f>10-10</f>
        <v>0</v>
      </c>
      <c r="N940" s="27">
        <f t="shared" ref="N940" si="1000">10-10</f>
        <v>0</v>
      </c>
      <c r="O940" s="27" t="e">
        <f t="shared" si="964"/>
        <v>#DIV/0!</v>
      </c>
    </row>
    <row r="941" spans="1:17" ht="15.75">
      <c r="A941" s="26" t="s">
        <v>174</v>
      </c>
      <c r="B941" s="216">
        <v>908</v>
      </c>
      <c r="C941" s="214" t="s">
        <v>287</v>
      </c>
      <c r="D941" s="214" t="s">
        <v>266</v>
      </c>
      <c r="E941" s="214" t="s">
        <v>175</v>
      </c>
      <c r="F941" s="214"/>
      <c r="G941" s="27">
        <f>G942+G952</f>
        <v>48283.199999999997</v>
      </c>
      <c r="H941" s="27">
        <f>H942+H952</f>
        <v>8448.2000000000007</v>
      </c>
      <c r="I941" s="27">
        <f t="shared" ref="I941:L941" si="1001">I942+I952</f>
        <v>38923.5</v>
      </c>
      <c r="J941" s="27">
        <f t="shared" si="1001"/>
        <v>11416.3</v>
      </c>
      <c r="K941" s="27">
        <f t="shared" si="1001"/>
        <v>11416.3</v>
      </c>
      <c r="L941" s="27">
        <f t="shared" si="1001"/>
        <v>11416.3</v>
      </c>
      <c r="M941" s="27">
        <f t="shared" ref="M941:N941" si="1002">M942+M952</f>
        <v>46140.200000000004</v>
      </c>
      <c r="N941" s="27">
        <f t="shared" si="1002"/>
        <v>4148.3999999999996</v>
      </c>
      <c r="O941" s="27">
        <f t="shared" si="964"/>
        <v>8.9908582971031752</v>
      </c>
    </row>
    <row r="942" spans="1:17" ht="31.5">
      <c r="A942" s="26" t="s">
        <v>238</v>
      </c>
      <c r="B942" s="216">
        <v>908</v>
      </c>
      <c r="C942" s="214" t="s">
        <v>287</v>
      </c>
      <c r="D942" s="214" t="s">
        <v>266</v>
      </c>
      <c r="E942" s="214" t="s">
        <v>239</v>
      </c>
      <c r="F942" s="214"/>
      <c r="G942" s="27">
        <f>G943+G946+G949</f>
        <v>25111.200000000001</v>
      </c>
      <c r="H942" s="27">
        <f>H943+H946+H949</f>
        <v>5518</v>
      </c>
      <c r="I942" s="27">
        <f t="shared" ref="I942:L942" si="1003">I943+I946+I949</f>
        <v>25111.200000000001</v>
      </c>
      <c r="J942" s="27">
        <f t="shared" si="1003"/>
        <v>0</v>
      </c>
      <c r="K942" s="27">
        <f t="shared" si="1003"/>
        <v>0</v>
      </c>
      <c r="L942" s="27">
        <f t="shared" si="1003"/>
        <v>0</v>
      </c>
      <c r="M942" s="27">
        <f t="shared" ref="M942:N942" si="1004">M943+M946+M949</f>
        <v>4148.3999999999996</v>
      </c>
      <c r="N942" s="27">
        <f t="shared" si="1004"/>
        <v>4148.3999999999996</v>
      </c>
      <c r="O942" s="27">
        <f t="shared" si="964"/>
        <v>100</v>
      </c>
    </row>
    <row r="943" spans="1:17" ht="47.25" hidden="1">
      <c r="A943" s="124" t="s">
        <v>765</v>
      </c>
      <c r="B943" s="216">
        <v>908</v>
      </c>
      <c r="C943" s="214" t="s">
        <v>287</v>
      </c>
      <c r="D943" s="214" t="s">
        <v>266</v>
      </c>
      <c r="E943" s="214" t="s">
        <v>589</v>
      </c>
      <c r="F943" s="214"/>
      <c r="G943" s="27">
        <f>G944</f>
        <v>5000</v>
      </c>
      <c r="H943" s="27">
        <f>H944</f>
        <v>5000</v>
      </c>
      <c r="I943" s="27">
        <f t="shared" ref="I943:L944" si="1005">I944</f>
        <v>5000</v>
      </c>
      <c r="J943" s="27">
        <f t="shared" si="1005"/>
        <v>0</v>
      </c>
      <c r="K943" s="27">
        <f t="shared" si="1005"/>
        <v>0</v>
      </c>
      <c r="L943" s="27">
        <f t="shared" si="1005"/>
        <v>0</v>
      </c>
      <c r="M943" s="27">
        <f t="shared" ref="M943:N944" si="1006">M944</f>
        <v>0</v>
      </c>
      <c r="N943" s="27">
        <f t="shared" si="1006"/>
        <v>0</v>
      </c>
      <c r="O943" s="27" t="e">
        <f t="shared" si="964"/>
        <v>#DIV/0!</v>
      </c>
    </row>
    <row r="944" spans="1:17" ht="31.5" hidden="1">
      <c r="A944" s="26" t="s">
        <v>184</v>
      </c>
      <c r="B944" s="216">
        <v>908</v>
      </c>
      <c r="C944" s="214" t="s">
        <v>287</v>
      </c>
      <c r="D944" s="214" t="s">
        <v>266</v>
      </c>
      <c r="E944" s="214" t="s">
        <v>589</v>
      </c>
      <c r="F944" s="214" t="s">
        <v>185</v>
      </c>
      <c r="G944" s="27">
        <f>G945</f>
        <v>5000</v>
      </c>
      <c r="H944" s="27">
        <f>H945</f>
        <v>5000</v>
      </c>
      <c r="I944" s="27">
        <f t="shared" si="1005"/>
        <v>5000</v>
      </c>
      <c r="J944" s="27">
        <f t="shared" si="1005"/>
        <v>0</v>
      </c>
      <c r="K944" s="27">
        <f t="shared" si="1005"/>
        <v>0</v>
      </c>
      <c r="L944" s="27">
        <f t="shared" si="1005"/>
        <v>0</v>
      </c>
      <c r="M944" s="27">
        <f t="shared" si="1006"/>
        <v>0</v>
      </c>
      <c r="N944" s="27">
        <f t="shared" si="1006"/>
        <v>0</v>
      </c>
      <c r="O944" s="27" t="e">
        <f t="shared" si="964"/>
        <v>#DIV/0!</v>
      </c>
    </row>
    <row r="945" spans="1:15" ht="47.25" hidden="1">
      <c r="A945" s="26" t="s">
        <v>186</v>
      </c>
      <c r="B945" s="216">
        <v>908</v>
      </c>
      <c r="C945" s="214" t="s">
        <v>287</v>
      </c>
      <c r="D945" s="214" t="s">
        <v>266</v>
      </c>
      <c r="E945" s="214" t="s">
        <v>589</v>
      </c>
      <c r="F945" s="214" t="s">
        <v>187</v>
      </c>
      <c r="G945" s="27">
        <f>5000</f>
        <v>5000</v>
      </c>
      <c r="H945" s="27">
        <f>5000</f>
        <v>5000</v>
      </c>
      <c r="I945" s="27">
        <f>5000</f>
        <v>5000</v>
      </c>
      <c r="J945" s="27">
        <v>0</v>
      </c>
      <c r="K945" s="27">
        <v>0</v>
      </c>
      <c r="L945" s="27">
        <v>0</v>
      </c>
      <c r="M945" s="27">
        <v>0</v>
      </c>
      <c r="N945" s="27">
        <v>0</v>
      </c>
      <c r="O945" s="27" t="e">
        <f t="shared" si="964"/>
        <v>#DIV/0!</v>
      </c>
    </row>
    <row r="946" spans="1:15" ht="31.5">
      <c r="A946" s="37" t="s">
        <v>771</v>
      </c>
      <c r="B946" s="216">
        <v>908</v>
      </c>
      <c r="C946" s="214" t="s">
        <v>287</v>
      </c>
      <c r="D946" s="214" t="s">
        <v>266</v>
      </c>
      <c r="E946" s="214" t="s">
        <v>590</v>
      </c>
      <c r="F946" s="214"/>
      <c r="G946" s="27">
        <f t="shared" ref="G946:L947" si="1007">G947</f>
        <v>20000</v>
      </c>
      <c r="H946" s="27">
        <f t="shared" si="1007"/>
        <v>518</v>
      </c>
      <c r="I946" s="27">
        <f t="shared" si="1007"/>
        <v>20000</v>
      </c>
      <c r="J946" s="27">
        <f t="shared" si="1007"/>
        <v>0</v>
      </c>
      <c r="K946" s="27">
        <f t="shared" si="1007"/>
        <v>0</v>
      </c>
      <c r="L946" s="27">
        <f t="shared" si="1007"/>
        <v>0</v>
      </c>
      <c r="M946" s="27">
        <f t="shared" ref="M946:N947" si="1008">M947</f>
        <v>4148.3999999999996</v>
      </c>
      <c r="N946" s="27">
        <f t="shared" si="1008"/>
        <v>4148.3999999999996</v>
      </c>
      <c r="O946" s="27">
        <f t="shared" si="964"/>
        <v>100</v>
      </c>
    </row>
    <row r="947" spans="1:15" ht="31.5">
      <c r="A947" s="26" t="s">
        <v>184</v>
      </c>
      <c r="B947" s="216">
        <v>908</v>
      </c>
      <c r="C947" s="214" t="s">
        <v>287</v>
      </c>
      <c r="D947" s="214" t="s">
        <v>266</v>
      </c>
      <c r="E947" s="214" t="s">
        <v>590</v>
      </c>
      <c r="F947" s="214" t="s">
        <v>185</v>
      </c>
      <c r="G947" s="27">
        <f t="shared" si="1007"/>
        <v>20000</v>
      </c>
      <c r="H947" s="27">
        <f t="shared" si="1007"/>
        <v>518</v>
      </c>
      <c r="I947" s="27">
        <f t="shared" si="1007"/>
        <v>20000</v>
      </c>
      <c r="J947" s="27">
        <f t="shared" si="1007"/>
        <v>0</v>
      </c>
      <c r="K947" s="27">
        <f t="shared" si="1007"/>
        <v>0</v>
      </c>
      <c r="L947" s="27">
        <f t="shared" si="1007"/>
        <v>0</v>
      </c>
      <c r="M947" s="27">
        <f t="shared" si="1008"/>
        <v>4148.3999999999996</v>
      </c>
      <c r="N947" s="27">
        <f t="shared" si="1008"/>
        <v>4148.3999999999996</v>
      </c>
      <c r="O947" s="27">
        <f t="shared" si="964"/>
        <v>100</v>
      </c>
    </row>
    <row r="948" spans="1:15" ht="47.25">
      <c r="A948" s="26" t="s">
        <v>186</v>
      </c>
      <c r="B948" s="216">
        <v>908</v>
      </c>
      <c r="C948" s="214" t="s">
        <v>287</v>
      </c>
      <c r="D948" s="214" t="s">
        <v>266</v>
      </c>
      <c r="E948" s="214" t="s">
        <v>590</v>
      </c>
      <c r="F948" s="214" t="s">
        <v>187</v>
      </c>
      <c r="G948" s="27">
        <v>20000</v>
      </c>
      <c r="H948" s="27">
        <v>518</v>
      </c>
      <c r="I948" s="27">
        <v>20000</v>
      </c>
      <c r="J948" s="27">
        <v>0</v>
      </c>
      <c r="K948" s="27">
        <v>0</v>
      </c>
      <c r="L948" s="27">
        <v>0</v>
      </c>
      <c r="M948" s="27">
        <f>4148.4</f>
        <v>4148.3999999999996</v>
      </c>
      <c r="N948" s="27">
        <v>4148.3999999999996</v>
      </c>
      <c r="O948" s="27">
        <f t="shared" si="964"/>
        <v>100</v>
      </c>
    </row>
    <row r="949" spans="1:15" ht="47.25" hidden="1">
      <c r="A949" s="26" t="s">
        <v>772</v>
      </c>
      <c r="B949" s="216">
        <v>908</v>
      </c>
      <c r="C949" s="214" t="s">
        <v>287</v>
      </c>
      <c r="D949" s="214" t="s">
        <v>266</v>
      </c>
      <c r="E949" s="214" t="s">
        <v>773</v>
      </c>
      <c r="F949" s="214"/>
      <c r="G949" s="27">
        <f>G950</f>
        <v>111.2</v>
      </c>
      <c r="H949" s="27">
        <f>H950</f>
        <v>0</v>
      </c>
      <c r="I949" s="27">
        <f t="shared" ref="I949:L950" si="1009">I950</f>
        <v>111.2</v>
      </c>
      <c r="J949" s="27">
        <f t="shared" si="1009"/>
        <v>0</v>
      </c>
      <c r="K949" s="27">
        <f t="shared" si="1009"/>
        <v>0</v>
      </c>
      <c r="L949" s="27">
        <f t="shared" si="1009"/>
        <v>0</v>
      </c>
      <c r="M949" s="27">
        <f t="shared" ref="M949:N950" si="1010">M950</f>
        <v>0</v>
      </c>
      <c r="N949" s="27">
        <f t="shared" si="1010"/>
        <v>0</v>
      </c>
      <c r="O949" s="27" t="e">
        <f t="shared" si="964"/>
        <v>#DIV/0!</v>
      </c>
    </row>
    <row r="950" spans="1:15" ht="31.5" hidden="1">
      <c r="A950" s="26" t="s">
        <v>184</v>
      </c>
      <c r="B950" s="216">
        <v>908</v>
      </c>
      <c r="C950" s="214" t="s">
        <v>287</v>
      </c>
      <c r="D950" s="214" t="s">
        <v>266</v>
      </c>
      <c r="E950" s="214" t="s">
        <v>773</v>
      </c>
      <c r="F950" s="214" t="s">
        <v>185</v>
      </c>
      <c r="G950" s="27">
        <f>G951</f>
        <v>111.2</v>
      </c>
      <c r="H950" s="27">
        <f>H951</f>
        <v>0</v>
      </c>
      <c r="I950" s="27">
        <f t="shared" si="1009"/>
        <v>111.2</v>
      </c>
      <c r="J950" s="27">
        <f t="shared" si="1009"/>
        <v>0</v>
      </c>
      <c r="K950" s="27">
        <f t="shared" si="1009"/>
        <v>0</v>
      </c>
      <c r="L950" s="27">
        <f t="shared" si="1009"/>
        <v>0</v>
      </c>
      <c r="M950" s="27">
        <f t="shared" si="1010"/>
        <v>0</v>
      </c>
      <c r="N950" s="27">
        <f t="shared" si="1010"/>
        <v>0</v>
      </c>
      <c r="O950" s="27" t="e">
        <f t="shared" si="964"/>
        <v>#DIV/0!</v>
      </c>
    </row>
    <row r="951" spans="1:15" ht="47.25" hidden="1">
      <c r="A951" s="26" t="s">
        <v>186</v>
      </c>
      <c r="B951" s="216">
        <v>908</v>
      </c>
      <c r="C951" s="214" t="s">
        <v>287</v>
      </c>
      <c r="D951" s="214" t="s">
        <v>266</v>
      </c>
      <c r="E951" s="214" t="s">
        <v>773</v>
      </c>
      <c r="F951" s="214" t="s">
        <v>187</v>
      </c>
      <c r="G951" s="27">
        <v>111.2</v>
      </c>
      <c r="H951" s="27">
        <v>0</v>
      </c>
      <c r="I951" s="27">
        <v>111.2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 t="e">
        <f t="shared" si="964"/>
        <v>#DIV/0!</v>
      </c>
    </row>
    <row r="952" spans="1:15" ht="15.75">
      <c r="A952" s="26" t="s">
        <v>194</v>
      </c>
      <c r="B952" s="216">
        <v>908</v>
      </c>
      <c r="C952" s="214" t="s">
        <v>287</v>
      </c>
      <c r="D952" s="214" t="s">
        <v>266</v>
      </c>
      <c r="E952" s="214" t="s">
        <v>195</v>
      </c>
      <c r="F952" s="214"/>
      <c r="G952" s="27">
        <f>G953+G959</f>
        <v>23171.999999999996</v>
      </c>
      <c r="H952" s="27">
        <f>H953+H959</f>
        <v>2930.2000000000003</v>
      </c>
      <c r="I952" s="27">
        <f t="shared" ref="I952:L952" si="1011">I953+I959</f>
        <v>13812.3</v>
      </c>
      <c r="J952" s="27">
        <f t="shared" si="1011"/>
        <v>11416.3</v>
      </c>
      <c r="K952" s="27">
        <f t="shared" si="1011"/>
        <v>11416.3</v>
      </c>
      <c r="L952" s="27">
        <f t="shared" si="1011"/>
        <v>11416.3</v>
      </c>
      <c r="M952" s="27">
        <f>M953+M959+M962</f>
        <v>41991.8</v>
      </c>
      <c r="N952" s="27">
        <f t="shared" ref="N952" si="1012">N953+N959+N962</f>
        <v>0</v>
      </c>
      <c r="O952" s="27">
        <f t="shared" si="964"/>
        <v>0</v>
      </c>
    </row>
    <row r="953" spans="1:15" ht="31.5">
      <c r="A953" s="37" t="s">
        <v>591</v>
      </c>
      <c r="B953" s="216">
        <v>908</v>
      </c>
      <c r="C953" s="214" t="s">
        <v>287</v>
      </c>
      <c r="D953" s="214" t="s">
        <v>266</v>
      </c>
      <c r="E953" s="214" t="s">
        <v>592</v>
      </c>
      <c r="F953" s="214"/>
      <c r="G953" s="27">
        <f>G954+G956</f>
        <v>20493.699999999997</v>
      </c>
      <c r="H953" s="27">
        <f>H954+H956</f>
        <v>251.9</v>
      </c>
      <c r="I953" s="27">
        <f t="shared" ref="I953:L953" si="1013">I954+I956</f>
        <v>3493.7</v>
      </c>
      <c r="J953" s="27">
        <f t="shared" si="1013"/>
        <v>0</v>
      </c>
      <c r="K953" s="27">
        <f t="shared" si="1013"/>
        <v>0</v>
      </c>
      <c r="L953" s="27">
        <f t="shared" si="1013"/>
        <v>0</v>
      </c>
      <c r="M953" s="27">
        <f t="shared" ref="M953:N953" si="1014">M954+M956</f>
        <v>13708.5</v>
      </c>
      <c r="N953" s="27">
        <f t="shared" si="1014"/>
        <v>0</v>
      </c>
      <c r="O953" s="27">
        <f t="shared" si="964"/>
        <v>0</v>
      </c>
    </row>
    <row r="954" spans="1:15" ht="31.5">
      <c r="A954" s="26" t="s">
        <v>184</v>
      </c>
      <c r="B954" s="216">
        <v>908</v>
      </c>
      <c r="C954" s="214" t="s">
        <v>287</v>
      </c>
      <c r="D954" s="214" t="s">
        <v>266</v>
      </c>
      <c r="E954" s="214" t="s">
        <v>592</v>
      </c>
      <c r="F954" s="214" t="s">
        <v>185</v>
      </c>
      <c r="G954" s="27">
        <f>G955</f>
        <v>20462.099999999999</v>
      </c>
      <c r="H954" s="27">
        <f>H955</f>
        <v>251.9</v>
      </c>
      <c r="I954" s="27">
        <f t="shared" ref="I954:L954" si="1015">I955</f>
        <v>3462.1</v>
      </c>
      <c r="J954" s="27">
        <f t="shared" si="1015"/>
        <v>0</v>
      </c>
      <c r="K954" s="27">
        <f t="shared" si="1015"/>
        <v>0</v>
      </c>
      <c r="L954" s="27">
        <f t="shared" si="1015"/>
        <v>0</v>
      </c>
      <c r="M954" s="27">
        <f t="shared" ref="M954:N954" si="1016">M955</f>
        <v>13708.5</v>
      </c>
      <c r="N954" s="27">
        <f t="shared" si="1016"/>
        <v>0</v>
      </c>
      <c r="O954" s="27">
        <f t="shared" si="964"/>
        <v>0</v>
      </c>
    </row>
    <row r="955" spans="1:15" ht="45" customHeight="1">
      <c r="A955" s="26" t="s">
        <v>186</v>
      </c>
      <c r="B955" s="216">
        <v>908</v>
      </c>
      <c r="C955" s="214" t="s">
        <v>287</v>
      </c>
      <c r="D955" s="214" t="s">
        <v>266</v>
      </c>
      <c r="E955" s="214" t="s">
        <v>592</v>
      </c>
      <c r="F955" s="214" t="s">
        <v>187</v>
      </c>
      <c r="G955" s="27">
        <f>10880-5000-2230+172.1+16500+140</f>
        <v>20462.099999999999</v>
      </c>
      <c r="H955" s="27">
        <v>251.9</v>
      </c>
      <c r="I955" s="27">
        <f>10880-5000-2230+172.1+140-500</f>
        <v>3462.1</v>
      </c>
      <c r="J955" s="27">
        <v>0</v>
      </c>
      <c r="K955" s="27">
        <v>0</v>
      </c>
      <c r="L955" s="27">
        <v>0</v>
      </c>
      <c r="M955" s="27">
        <f>17826-4117.5</f>
        <v>13708.5</v>
      </c>
      <c r="N955" s="27">
        <v>0</v>
      </c>
      <c r="O955" s="27">
        <f t="shared" si="964"/>
        <v>0</v>
      </c>
    </row>
    <row r="956" spans="1:15" ht="15.75" hidden="1">
      <c r="A956" s="26" t="s">
        <v>188</v>
      </c>
      <c r="B956" s="216">
        <v>908</v>
      </c>
      <c r="C956" s="214" t="s">
        <v>287</v>
      </c>
      <c r="D956" s="214" t="s">
        <v>266</v>
      </c>
      <c r="E956" s="214" t="s">
        <v>592</v>
      </c>
      <c r="F956" s="214" t="s">
        <v>198</v>
      </c>
      <c r="G956" s="27">
        <f t="shared" ref="G956:L956" si="1017">G957+G958</f>
        <v>31.6</v>
      </c>
      <c r="H956" s="27">
        <f t="shared" si="1017"/>
        <v>0</v>
      </c>
      <c r="I956" s="27">
        <f t="shared" si="1017"/>
        <v>31.6</v>
      </c>
      <c r="J956" s="27">
        <f t="shared" si="1017"/>
        <v>0</v>
      </c>
      <c r="K956" s="27">
        <f t="shared" si="1017"/>
        <v>0</v>
      </c>
      <c r="L956" s="27">
        <f t="shared" si="1017"/>
        <v>0</v>
      </c>
      <c r="M956" s="27">
        <f t="shared" ref="M956:N956" si="1018">M957+M958</f>
        <v>0</v>
      </c>
      <c r="N956" s="27">
        <f t="shared" si="1018"/>
        <v>0</v>
      </c>
      <c r="O956" s="27" t="e">
        <f t="shared" si="964"/>
        <v>#DIV/0!</v>
      </c>
    </row>
    <row r="957" spans="1:15" ht="63" hidden="1" customHeight="1">
      <c r="A957" s="26" t="s">
        <v>237</v>
      </c>
      <c r="B957" s="216">
        <v>908</v>
      </c>
      <c r="C957" s="214" t="s">
        <v>287</v>
      </c>
      <c r="D957" s="214" t="s">
        <v>266</v>
      </c>
      <c r="E957" s="214" t="s">
        <v>592</v>
      </c>
      <c r="F957" s="214" t="s">
        <v>213</v>
      </c>
      <c r="G957" s="27">
        <v>0</v>
      </c>
      <c r="H957" s="27">
        <v>0</v>
      </c>
      <c r="I957" s="27">
        <v>0</v>
      </c>
      <c r="J957" s="27">
        <v>0</v>
      </c>
      <c r="K957" s="27">
        <v>0</v>
      </c>
      <c r="L957" s="27">
        <v>0</v>
      </c>
      <c r="M957" s="27">
        <v>0</v>
      </c>
      <c r="N957" s="27">
        <v>0</v>
      </c>
      <c r="O957" s="27" t="e">
        <f t="shared" si="964"/>
        <v>#DIV/0!</v>
      </c>
    </row>
    <row r="958" spans="1:15" ht="15.75" hidden="1">
      <c r="A958" s="26" t="s">
        <v>622</v>
      </c>
      <c r="B958" s="216">
        <v>908</v>
      </c>
      <c r="C958" s="214" t="s">
        <v>287</v>
      </c>
      <c r="D958" s="214" t="s">
        <v>266</v>
      </c>
      <c r="E958" s="214" t="s">
        <v>592</v>
      </c>
      <c r="F958" s="214" t="s">
        <v>191</v>
      </c>
      <c r="G958" s="27">
        <v>31.6</v>
      </c>
      <c r="H958" s="27">
        <v>0</v>
      </c>
      <c r="I958" s="27">
        <v>31.6</v>
      </c>
      <c r="J958" s="27">
        <v>0</v>
      </c>
      <c r="K958" s="27">
        <v>0</v>
      </c>
      <c r="L958" s="27">
        <v>0</v>
      </c>
      <c r="M958" s="27">
        <v>0</v>
      </c>
      <c r="N958" s="27">
        <v>0</v>
      </c>
      <c r="O958" s="27" t="e">
        <f t="shared" si="964"/>
        <v>#DIV/0!</v>
      </c>
    </row>
    <row r="959" spans="1:15" ht="15.75">
      <c r="A959" s="26" t="s">
        <v>593</v>
      </c>
      <c r="B959" s="216">
        <v>908</v>
      </c>
      <c r="C959" s="214" t="s">
        <v>287</v>
      </c>
      <c r="D959" s="214" t="s">
        <v>266</v>
      </c>
      <c r="E959" s="214" t="s">
        <v>594</v>
      </c>
      <c r="F959" s="214"/>
      <c r="G959" s="27">
        <f>G960</f>
        <v>2678.3</v>
      </c>
      <c r="H959" s="27">
        <f>H960</f>
        <v>2678.3</v>
      </c>
      <c r="I959" s="27">
        <f t="shared" ref="I959:L960" si="1019">I960</f>
        <v>10318.6</v>
      </c>
      <c r="J959" s="27">
        <f t="shared" si="1019"/>
        <v>11416.3</v>
      </c>
      <c r="K959" s="27">
        <f t="shared" si="1019"/>
        <v>11416.3</v>
      </c>
      <c r="L959" s="27">
        <f t="shared" si="1019"/>
        <v>11416.3</v>
      </c>
      <c r="M959" s="27">
        <f t="shared" ref="M959:N960" si="1020">M960</f>
        <v>8283.2999999999993</v>
      </c>
      <c r="N959" s="27">
        <f t="shared" si="1020"/>
        <v>0</v>
      </c>
      <c r="O959" s="27">
        <f t="shared" si="964"/>
        <v>0</v>
      </c>
    </row>
    <row r="960" spans="1:15" ht="15.75">
      <c r="A960" s="26" t="s">
        <v>188</v>
      </c>
      <c r="B960" s="216">
        <v>908</v>
      </c>
      <c r="C960" s="214" t="s">
        <v>287</v>
      </c>
      <c r="D960" s="214" t="s">
        <v>266</v>
      </c>
      <c r="E960" s="214" t="s">
        <v>594</v>
      </c>
      <c r="F960" s="214" t="s">
        <v>198</v>
      </c>
      <c r="G960" s="27">
        <f>G961</f>
        <v>2678.3</v>
      </c>
      <c r="H960" s="27">
        <f>H961</f>
        <v>2678.3</v>
      </c>
      <c r="I960" s="27">
        <f t="shared" si="1019"/>
        <v>10318.6</v>
      </c>
      <c r="J960" s="27">
        <f t="shared" si="1019"/>
        <v>11416.3</v>
      </c>
      <c r="K960" s="27">
        <f t="shared" si="1019"/>
        <v>11416.3</v>
      </c>
      <c r="L960" s="27">
        <f t="shared" si="1019"/>
        <v>11416.3</v>
      </c>
      <c r="M960" s="27">
        <f t="shared" si="1020"/>
        <v>8283.2999999999993</v>
      </c>
      <c r="N960" s="27">
        <f t="shared" si="1020"/>
        <v>0</v>
      </c>
      <c r="O960" s="27">
        <f t="shared" si="964"/>
        <v>0</v>
      </c>
    </row>
    <row r="961" spans="1:16" ht="15.75">
      <c r="A961" s="26" t="s">
        <v>199</v>
      </c>
      <c r="B961" s="216">
        <v>908</v>
      </c>
      <c r="C961" s="214" t="s">
        <v>287</v>
      </c>
      <c r="D961" s="214" t="s">
        <v>266</v>
      </c>
      <c r="E961" s="214" t="s">
        <v>594</v>
      </c>
      <c r="F961" s="214" t="s">
        <v>200</v>
      </c>
      <c r="G961" s="27">
        <v>2678.3</v>
      </c>
      <c r="H961" s="27">
        <v>2678.3</v>
      </c>
      <c r="I961" s="27">
        <v>10318.6</v>
      </c>
      <c r="J961" s="27">
        <v>11416.3</v>
      </c>
      <c r="K961" s="27">
        <f>J961</f>
        <v>11416.3</v>
      </c>
      <c r="L961" s="27">
        <f>K961</f>
        <v>11416.3</v>
      </c>
      <c r="M961" s="27">
        <f>4283.3+4000</f>
        <v>8283.2999999999993</v>
      </c>
      <c r="N961" s="27">
        <v>0</v>
      </c>
      <c r="O961" s="27">
        <f t="shared" si="964"/>
        <v>0</v>
      </c>
    </row>
    <row r="962" spans="1:16" ht="80.25" customHeight="1">
      <c r="A962" s="26" t="s">
        <v>984</v>
      </c>
      <c r="B962" s="216">
        <v>908</v>
      </c>
      <c r="C962" s="214" t="s">
        <v>287</v>
      </c>
      <c r="D962" s="214" t="s">
        <v>266</v>
      </c>
      <c r="E962" s="214" t="s">
        <v>980</v>
      </c>
      <c r="F962" s="214"/>
      <c r="G962" s="27"/>
      <c r="H962" s="27"/>
      <c r="I962" s="27"/>
      <c r="J962" s="27"/>
      <c r="K962" s="27"/>
      <c r="L962" s="27"/>
      <c r="M962" s="27">
        <f>M963</f>
        <v>20000</v>
      </c>
      <c r="N962" s="27">
        <f t="shared" ref="N962:N963" si="1021">N963</f>
        <v>0</v>
      </c>
      <c r="O962" s="27">
        <f t="shared" si="964"/>
        <v>0</v>
      </c>
    </row>
    <row r="963" spans="1:16" ht="31.5">
      <c r="A963" s="26" t="s">
        <v>184</v>
      </c>
      <c r="B963" s="216">
        <v>908</v>
      </c>
      <c r="C963" s="214" t="s">
        <v>287</v>
      </c>
      <c r="D963" s="214" t="s">
        <v>266</v>
      </c>
      <c r="E963" s="214" t="s">
        <v>980</v>
      </c>
      <c r="F963" s="214" t="s">
        <v>185</v>
      </c>
      <c r="G963" s="27"/>
      <c r="H963" s="27"/>
      <c r="I963" s="27"/>
      <c r="J963" s="27"/>
      <c r="K963" s="27"/>
      <c r="L963" s="27"/>
      <c r="M963" s="27">
        <f>M964</f>
        <v>20000</v>
      </c>
      <c r="N963" s="27">
        <f t="shared" si="1021"/>
        <v>0</v>
      </c>
      <c r="O963" s="27">
        <f t="shared" si="964"/>
        <v>0</v>
      </c>
    </row>
    <row r="964" spans="1:16" ht="47.25">
      <c r="A964" s="26" t="s">
        <v>186</v>
      </c>
      <c r="B964" s="216">
        <v>908</v>
      </c>
      <c r="C964" s="214" t="s">
        <v>287</v>
      </c>
      <c r="D964" s="214" t="s">
        <v>266</v>
      </c>
      <c r="E964" s="214" t="s">
        <v>980</v>
      </c>
      <c r="F964" s="214" t="s">
        <v>187</v>
      </c>
      <c r="G964" s="27"/>
      <c r="H964" s="27"/>
      <c r="I964" s="27"/>
      <c r="J964" s="27"/>
      <c r="K964" s="27"/>
      <c r="L964" s="27"/>
      <c r="M964" s="27">
        <v>20000</v>
      </c>
      <c r="N964" s="27">
        <v>0</v>
      </c>
      <c r="O964" s="27">
        <f t="shared" si="964"/>
        <v>0</v>
      </c>
    </row>
    <row r="965" spans="1:16" ht="15.75">
      <c r="A965" s="24" t="s">
        <v>595</v>
      </c>
      <c r="B965" s="213">
        <v>908</v>
      </c>
      <c r="C965" s="215" t="s">
        <v>287</v>
      </c>
      <c r="D965" s="215" t="s">
        <v>268</v>
      </c>
      <c r="E965" s="215"/>
      <c r="F965" s="215"/>
      <c r="G965" s="22">
        <f>G966++G1001+G997</f>
        <v>25464.6</v>
      </c>
      <c r="H965" s="22">
        <f t="shared" ref="H965:L965" si="1022">H966++H1001+H997</f>
        <v>4826.6000000000004</v>
      </c>
      <c r="I965" s="22">
        <f t="shared" si="1022"/>
        <v>16228</v>
      </c>
      <c r="J965" s="22">
        <f t="shared" si="1022"/>
        <v>19935.400000000001</v>
      </c>
      <c r="K965" s="22">
        <f t="shared" si="1022"/>
        <v>20104</v>
      </c>
      <c r="L965" s="22">
        <f t="shared" si="1022"/>
        <v>22018.100000000002</v>
      </c>
      <c r="M965" s="22">
        <f>M966++M1001+M997</f>
        <v>21685.1</v>
      </c>
      <c r="N965" s="22">
        <f t="shared" ref="N965" si="1023">N966++N1001+N997</f>
        <v>1602.8</v>
      </c>
      <c r="O965" s="22">
        <f t="shared" si="964"/>
        <v>7.3912502132800872</v>
      </c>
    </row>
    <row r="966" spans="1:16" ht="47.25">
      <c r="A966" s="26" t="s">
        <v>596</v>
      </c>
      <c r="B966" s="216">
        <v>908</v>
      </c>
      <c r="C966" s="214" t="s">
        <v>287</v>
      </c>
      <c r="D966" s="214" t="s">
        <v>268</v>
      </c>
      <c r="E966" s="214" t="s">
        <v>597</v>
      </c>
      <c r="F966" s="214"/>
      <c r="G966" s="27">
        <f>G967+G982</f>
        <v>12375.499999999998</v>
      </c>
      <c r="H966" s="27">
        <f>H967+H982</f>
        <v>1616.6000000000001</v>
      </c>
      <c r="I966" s="27">
        <f t="shared" ref="I966:L966" si="1024">I967+I982</f>
        <v>3394.8</v>
      </c>
      <c r="J966" s="27">
        <f>J967+J982</f>
        <v>16123</v>
      </c>
      <c r="K966" s="27">
        <f t="shared" si="1024"/>
        <v>16291.599999999999</v>
      </c>
      <c r="L966" s="27">
        <f t="shared" si="1024"/>
        <v>18205.7</v>
      </c>
      <c r="M966" s="27">
        <f>M967+M982</f>
        <v>18293.899999999998</v>
      </c>
      <c r="N966" s="27">
        <f t="shared" ref="N966" si="1025">N967+N982</f>
        <v>1602.8</v>
      </c>
      <c r="O966" s="27">
        <f t="shared" si="964"/>
        <v>8.7613904088248002</v>
      </c>
      <c r="P966" s="140"/>
    </row>
    <row r="967" spans="1:16" ht="47.25">
      <c r="A967" s="26" t="s">
        <v>598</v>
      </c>
      <c r="B967" s="216">
        <v>908</v>
      </c>
      <c r="C967" s="214" t="s">
        <v>287</v>
      </c>
      <c r="D967" s="214" t="s">
        <v>268</v>
      </c>
      <c r="E967" s="214" t="s">
        <v>599</v>
      </c>
      <c r="F967" s="214"/>
      <c r="G967" s="27">
        <f>G968+G971+G976</f>
        <v>8697.2999999999993</v>
      </c>
      <c r="H967" s="27">
        <f>H968+H971+H976</f>
        <v>695.30000000000007</v>
      </c>
      <c r="I967" s="27">
        <f t="shared" ref="I967:L967" si="1026">I968+I971+I976</f>
        <v>1853.4</v>
      </c>
      <c r="J967" s="27">
        <f>J968+J971+J976</f>
        <v>11055.8</v>
      </c>
      <c r="K967" s="27">
        <f t="shared" si="1026"/>
        <v>10998</v>
      </c>
      <c r="L967" s="27">
        <f t="shared" si="1026"/>
        <v>12675.6</v>
      </c>
      <c r="M967" s="27">
        <f>M968+M971+M976+M979</f>
        <v>13226.699999999999</v>
      </c>
      <c r="N967" s="27">
        <f t="shared" ref="N967" si="1027">N968+N971+N976+N979</f>
        <v>1587.7</v>
      </c>
      <c r="O967" s="27">
        <f t="shared" si="964"/>
        <v>12.003749990549419</v>
      </c>
    </row>
    <row r="968" spans="1:16" ht="19.5" customHeight="1">
      <c r="A968" s="26" t="s">
        <v>600</v>
      </c>
      <c r="B968" s="216">
        <v>908</v>
      </c>
      <c r="C968" s="214" t="s">
        <v>287</v>
      </c>
      <c r="D968" s="214" t="s">
        <v>268</v>
      </c>
      <c r="E968" s="214" t="s">
        <v>601</v>
      </c>
      <c r="F968" s="214"/>
      <c r="G968" s="27">
        <f>G969</f>
        <v>253.4</v>
      </c>
      <c r="H968" s="27">
        <f>H969</f>
        <v>250</v>
      </c>
      <c r="I968" s="27">
        <f t="shared" ref="I968:L969" si="1028">I969</f>
        <v>253.4</v>
      </c>
      <c r="J968" s="27">
        <f t="shared" si="1028"/>
        <v>356</v>
      </c>
      <c r="K968" s="27">
        <f t="shared" si="1028"/>
        <v>371</v>
      </c>
      <c r="L968" s="27">
        <f t="shared" si="1028"/>
        <v>378</v>
      </c>
      <c r="M968" s="27">
        <f t="shared" ref="M968:N969" si="1029">M969</f>
        <v>356</v>
      </c>
      <c r="N968" s="27">
        <f t="shared" si="1029"/>
        <v>0</v>
      </c>
      <c r="O968" s="27">
        <f t="shared" si="964"/>
        <v>0</v>
      </c>
    </row>
    <row r="969" spans="1:16" ht="31.5">
      <c r="A969" s="26" t="s">
        <v>184</v>
      </c>
      <c r="B969" s="216">
        <v>908</v>
      </c>
      <c r="C969" s="214" t="s">
        <v>287</v>
      </c>
      <c r="D969" s="214" t="s">
        <v>268</v>
      </c>
      <c r="E969" s="214" t="s">
        <v>601</v>
      </c>
      <c r="F969" s="214" t="s">
        <v>185</v>
      </c>
      <c r="G969" s="27">
        <f>G970</f>
        <v>253.4</v>
      </c>
      <c r="H969" s="27">
        <f>H970</f>
        <v>250</v>
      </c>
      <c r="I969" s="27">
        <f t="shared" si="1028"/>
        <v>253.4</v>
      </c>
      <c r="J969" s="27">
        <f t="shared" si="1028"/>
        <v>356</v>
      </c>
      <c r="K969" s="27">
        <f t="shared" si="1028"/>
        <v>371</v>
      </c>
      <c r="L969" s="27">
        <f t="shared" si="1028"/>
        <v>378</v>
      </c>
      <c r="M969" s="27">
        <f t="shared" si="1029"/>
        <v>356</v>
      </c>
      <c r="N969" s="27">
        <f t="shared" si="1029"/>
        <v>0</v>
      </c>
      <c r="O969" s="27">
        <f t="shared" si="964"/>
        <v>0</v>
      </c>
    </row>
    <row r="970" spans="1:16" ht="47.25">
      <c r="A970" s="26" t="s">
        <v>186</v>
      </c>
      <c r="B970" s="216">
        <v>908</v>
      </c>
      <c r="C970" s="214" t="s">
        <v>287</v>
      </c>
      <c r="D970" s="214" t="s">
        <v>268</v>
      </c>
      <c r="E970" s="214" t="s">
        <v>601</v>
      </c>
      <c r="F970" s="214" t="s">
        <v>187</v>
      </c>
      <c r="G970" s="27">
        <v>253.4</v>
      </c>
      <c r="H970" s="27">
        <v>250</v>
      </c>
      <c r="I970" s="27">
        <v>253.4</v>
      </c>
      <c r="J970" s="27">
        <v>356</v>
      </c>
      <c r="K970" s="27">
        <v>371</v>
      </c>
      <c r="L970" s="27">
        <v>378</v>
      </c>
      <c r="M970" s="27">
        <v>356</v>
      </c>
      <c r="N970" s="27">
        <v>0</v>
      </c>
      <c r="O970" s="27">
        <f t="shared" si="964"/>
        <v>0</v>
      </c>
    </row>
    <row r="971" spans="1:16" ht="15.75">
      <c r="A971" s="26" t="s">
        <v>602</v>
      </c>
      <c r="B971" s="216">
        <v>908</v>
      </c>
      <c r="C971" s="214" t="s">
        <v>287</v>
      </c>
      <c r="D971" s="214" t="s">
        <v>268</v>
      </c>
      <c r="E971" s="214" t="s">
        <v>603</v>
      </c>
      <c r="F971" s="214"/>
      <c r="G971" s="27">
        <f>G972</f>
        <v>5258.6</v>
      </c>
      <c r="H971" s="27">
        <f>H972</f>
        <v>441.6</v>
      </c>
      <c r="I971" s="27">
        <f t="shared" ref="I971:L972" si="1030">I972</f>
        <v>1500</v>
      </c>
      <c r="J971" s="27">
        <f t="shared" si="1030"/>
        <v>6383</v>
      </c>
      <c r="K971" s="27">
        <f t="shared" si="1030"/>
        <v>6266.6</v>
      </c>
      <c r="L971" s="27">
        <f t="shared" si="1030"/>
        <v>6060</v>
      </c>
      <c r="M971" s="27">
        <f>M972+M974</f>
        <v>6383</v>
      </c>
      <c r="N971" s="27">
        <f t="shared" ref="N971" si="1031">N972+N974</f>
        <v>4.7</v>
      </c>
      <c r="O971" s="27">
        <f t="shared" si="964"/>
        <v>7.363308788970703E-2</v>
      </c>
    </row>
    <row r="972" spans="1:16" ht="31.5">
      <c r="A972" s="26" t="s">
        <v>184</v>
      </c>
      <c r="B972" s="216">
        <v>908</v>
      </c>
      <c r="C972" s="214" t="s">
        <v>287</v>
      </c>
      <c r="D972" s="214" t="s">
        <v>268</v>
      </c>
      <c r="E972" s="214" t="s">
        <v>603</v>
      </c>
      <c r="F972" s="214" t="s">
        <v>185</v>
      </c>
      <c r="G972" s="27">
        <f>G973</f>
        <v>5258.6</v>
      </c>
      <c r="H972" s="27">
        <f>H973</f>
        <v>441.6</v>
      </c>
      <c r="I972" s="27">
        <f t="shared" si="1030"/>
        <v>1500</v>
      </c>
      <c r="J972" s="27">
        <f t="shared" si="1030"/>
        <v>6383</v>
      </c>
      <c r="K972" s="27">
        <f t="shared" si="1030"/>
        <v>6266.6</v>
      </c>
      <c r="L972" s="27">
        <f t="shared" si="1030"/>
        <v>6060</v>
      </c>
      <c r="M972" s="27">
        <f t="shared" ref="M972:N972" si="1032">M973</f>
        <v>6379.6</v>
      </c>
      <c r="N972" s="27">
        <f t="shared" si="1032"/>
        <v>4.7</v>
      </c>
      <c r="O972" s="27">
        <f t="shared" si="964"/>
        <v>7.3672330553639725E-2</v>
      </c>
    </row>
    <row r="973" spans="1:16" ht="47.25">
      <c r="A973" s="26" t="s">
        <v>186</v>
      </c>
      <c r="B973" s="216">
        <v>908</v>
      </c>
      <c r="C973" s="214" t="s">
        <v>287</v>
      </c>
      <c r="D973" s="214" t="s">
        <v>268</v>
      </c>
      <c r="E973" s="214" t="s">
        <v>603</v>
      </c>
      <c r="F973" s="214" t="s">
        <v>187</v>
      </c>
      <c r="G973" s="27">
        <v>5258.6</v>
      </c>
      <c r="H973" s="27">
        <v>441.6</v>
      </c>
      <c r="I973" s="27">
        <v>1500</v>
      </c>
      <c r="J973" s="27">
        <v>6383</v>
      </c>
      <c r="K973" s="27">
        <v>6266.6</v>
      </c>
      <c r="L973" s="27">
        <v>6060</v>
      </c>
      <c r="M973" s="27">
        <f>6383-3.4</f>
        <v>6379.6</v>
      </c>
      <c r="N973" s="27">
        <v>4.7</v>
      </c>
      <c r="O973" s="27">
        <f t="shared" ref="O973:O1036" si="1033">N973/M973*100</f>
        <v>7.3672330553639725E-2</v>
      </c>
    </row>
    <row r="974" spans="1:16" ht="15.75">
      <c r="A974" s="26" t="s">
        <v>188</v>
      </c>
      <c r="B974" s="216">
        <v>908</v>
      </c>
      <c r="C974" s="214" t="s">
        <v>287</v>
      </c>
      <c r="D974" s="214" t="s">
        <v>268</v>
      </c>
      <c r="E974" s="214" t="s">
        <v>603</v>
      </c>
      <c r="F974" s="214" t="s">
        <v>198</v>
      </c>
      <c r="G974" s="27"/>
      <c r="H974" s="27"/>
      <c r="I974" s="27"/>
      <c r="J974" s="27"/>
      <c r="K974" s="27"/>
      <c r="L974" s="27"/>
      <c r="M974" s="27">
        <f>M975</f>
        <v>3.4</v>
      </c>
      <c r="N974" s="27">
        <f t="shared" ref="N974" si="1034">N975</f>
        <v>0</v>
      </c>
      <c r="O974" s="27">
        <f t="shared" si="1033"/>
        <v>0</v>
      </c>
    </row>
    <row r="975" spans="1:16" ht="15.75">
      <c r="A975" s="26" t="s">
        <v>622</v>
      </c>
      <c r="B975" s="216">
        <v>908</v>
      </c>
      <c r="C975" s="214" t="s">
        <v>287</v>
      </c>
      <c r="D975" s="214" t="s">
        <v>268</v>
      </c>
      <c r="E975" s="214" t="s">
        <v>603</v>
      </c>
      <c r="F975" s="214" t="s">
        <v>191</v>
      </c>
      <c r="G975" s="27"/>
      <c r="H975" s="27"/>
      <c r="I975" s="27"/>
      <c r="J975" s="27"/>
      <c r="K975" s="27"/>
      <c r="L975" s="27"/>
      <c r="M975" s="27">
        <v>3.4</v>
      </c>
      <c r="N975" s="27">
        <v>0</v>
      </c>
      <c r="O975" s="27">
        <f t="shared" si="1033"/>
        <v>0</v>
      </c>
    </row>
    <row r="976" spans="1:16" ht="15.75">
      <c r="A976" s="26" t="s">
        <v>604</v>
      </c>
      <c r="B976" s="216">
        <v>908</v>
      </c>
      <c r="C976" s="214" t="s">
        <v>287</v>
      </c>
      <c r="D976" s="214" t="s">
        <v>268</v>
      </c>
      <c r="E976" s="214" t="s">
        <v>605</v>
      </c>
      <c r="F976" s="214"/>
      <c r="G976" s="27">
        <f>G977</f>
        <v>3185.3</v>
      </c>
      <c r="H976" s="27">
        <f>H977</f>
        <v>3.7</v>
      </c>
      <c r="I976" s="27">
        <f t="shared" ref="I976:L977" si="1035">I977</f>
        <v>100</v>
      </c>
      <c r="J976" s="27">
        <f t="shared" si="1035"/>
        <v>4316.8</v>
      </c>
      <c r="K976" s="27">
        <f t="shared" si="1035"/>
        <v>4360.3999999999996</v>
      </c>
      <c r="L976" s="27">
        <f t="shared" si="1035"/>
        <v>6237.6</v>
      </c>
      <c r="M976" s="27">
        <f t="shared" ref="M976:N977" si="1036">M977</f>
        <v>4316.8</v>
      </c>
      <c r="N976" s="27">
        <f t="shared" si="1036"/>
        <v>0</v>
      </c>
      <c r="O976" s="27">
        <f t="shared" si="1033"/>
        <v>0</v>
      </c>
    </row>
    <row r="977" spans="1:15" ht="31.5">
      <c r="A977" s="26" t="s">
        <v>184</v>
      </c>
      <c r="B977" s="216">
        <v>908</v>
      </c>
      <c r="C977" s="214" t="s">
        <v>287</v>
      </c>
      <c r="D977" s="214" t="s">
        <v>268</v>
      </c>
      <c r="E977" s="214" t="s">
        <v>605</v>
      </c>
      <c r="F977" s="214" t="s">
        <v>185</v>
      </c>
      <c r="G977" s="27">
        <f>G978</f>
        <v>3185.3</v>
      </c>
      <c r="H977" s="27">
        <f>H978</f>
        <v>3.7</v>
      </c>
      <c r="I977" s="27">
        <f t="shared" si="1035"/>
        <v>100</v>
      </c>
      <c r="J977" s="27">
        <f t="shared" si="1035"/>
        <v>4316.8</v>
      </c>
      <c r="K977" s="27">
        <f t="shared" si="1035"/>
        <v>4360.3999999999996</v>
      </c>
      <c r="L977" s="27">
        <f>L978</f>
        <v>6237.6</v>
      </c>
      <c r="M977" s="27">
        <f t="shared" si="1036"/>
        <v>4316.8</v>
      </c>
      <c r="N977" s="27">
        <f t="shared" si="1036"/>
        <v>0</v>
      </c>
      <c r="O977" s="27">
        <f t="shared" si="1033"/>
        <v>0</v>
      </c>
    </row>
    <row r="978" spans="1:15" ht="47.25">
      <c r="A978" s="26" t="s">
        <v>186</v>
      </c>
      <c r="B978" s="216">
        <v>908</v>
      </c>
      <c r="C978" s="214" t="s">
        <v>287</v>
      </c>
      <c r="D978" s="214" t="s">
        <v>268</v>
      </c>
      <c r="E978" s="214" t="s">
        <v>605</v>
      </c>
      <c r="F978" s="214" t="s">
        <v>187</v>
      </c>
      <c r="G978" s="27">
        <v>3185.3</v>
      </c>
      <c r="H978" s="27">
        <v>3.7</v>
      </c>
      <c r="I978" s="27">
        <v>100</v>
      </c>
      <c r="J978" s="27">
        <v>4316.8</v>
      </c>
      <c r="K978" s="27">
        <v>4360.3999999999996</v>
      </c>
      <c r="L978" s="27">
        <v>6237.6</v>
      </c>
      <c r="M978" s="27">
        <v>4316.8</v>
      </c>
      <c r="N978" s="27">
        <v>0</v>
      </c>
      <c r="O978" s="27">
        <f t="shared" si="1033"/>
        <v>0</v>
      </c>
    </row>
    <row r="979" spans="1:15" ht="31.5">
      <c r="A979" s="26" t="s">
        <v>615</v>
      </c>
      <c r="B979" s="216">
        <v>908</v>
      </c>
      <c r="C979" s="214" t="s">
        <v>287</v>
      </c>
      <c r="D979" s="214" t="s">
        <v>268</v>
      </c>
      <c r="E979" s="214" t="s">
        <v>991</v>
      </c>
      <c r="F979" s="214"/>
      <c r="G979" s="27"/>
      <c r="H979" s="27"/>
      <c r="I979" s="27"/>
      <c r="J979" s="27"/>
      <c r="K979" s="27"/>
      <c r="L979" s="27"/>
      <c r="M979" s="27">
        <f>M980</f>
        <v>2170.9</v>
      </c>
      <c r="N979" s="27">
        <f t="shared" ref="N979:N980" si="1037">N980</f>
        <v>1583</v>
      </c>
      <c r="O979" s="27">
        <f t="shared" si="1033"/>
        <v>72.919065825233773</v>
      </c>
    </row>
    <row r="980" spans="1:15" ht="31.5">
      <c r="A980" s="26" t="s">
        <v>184</v>
      </c>
      <c r="B980" s="216">
        <v>908</v>
      </c>
      <c r="C980" s="214" t="s">
        <v>287</v>
      </c>
      <c r="D980" s="214" t="s">
        <v>268</v>
      </c>
      <c r="E980" s="214" t="s">
        <v>991</v>
      </c>
      <c r="F980" s="214" t="s">
        <v>185</v>
      </c>
      <c r="G980" s="27"/>
      <c r="H980" s="27"/>
      <c r="I980" s="27"/>
      <c r="J980" s="27"/>
      <c r="K980" s="27"/>
      <c r="L980" s="27"/>
      <c r="M980" s="27">
        <f>M981</f>
        <v>2170.9</v>
      </c>
      <c r="N980" s="27">
        <f t="shared" si="1037"/>
        <v>1583</v>
      </c>
      <c r="O980" s="27">
        <f t="shared" si="1033"/>
        <v>72.919065825233773</v>
      </c>
    </row>
    <row r="981" spans="1:15" ht="47.25">
      <c r="A981" s="26" t="s">
        <v>186</v>
      </c>
      <c r="B981" s="216">
        <v>908</v>
      </c>
      <c r="C981" s="214" t="s">
        <v>287</v>
      </c>
      <c r="D981" s="214" t="s">
        <v>268</v>
      </c>
      <c r="E981" s="214" t="s">
        <v>991</v>
      </c>
      <c r="F981" s="214" t="s">
        <v>187</v>
      </c>
      <c r="G981" s="27"/>
      <c r="H981" s="27"/>
      <c r="I981" s="27"/>
      <c r="J981" s="27"/>
      <c r="K981" s="27"/>
      <c r="L981" s="27"/>
      <c r="M981" s="27">
        <v>2170.9</v>
      </c>
      <c r="N981" s="27">
        <v>1583</v>
      </c>
      <c r="O981" s="27">
        <f t="shared" si="1033"/>
        <v>72.919065825233773</v>
      </c>
    </row>
    <row r="982" spans="1:15" ht="47.25">
      <c r="A982" s="26" t="s">
        <v>606</v>
      </c>
      <c r="B982" s="216">
        <v>908</v>
      </c>
      <c r="C982" s="214" t="s">
        <v>287</v>
      </c>
      <c r="D982" s="214" t="s">
        <v>268</v>
      </c>
      <c r="E982" s="214" t="s">
        <v>607</v>
      </c>
      <c r="F982" s="214"/>
      <c r="G982" s="27">
        <f>G983+G988+G991+G994</f>
        <v>3678.1999999999994</v>
      </c>
      <c r="H982" s="27">
        <f>H983+H988+H991+H994</f>
        <v>921.30000000000007</v>
      </c>
      <c r="I982" s="27">
        <f t="shared" ref="I982:L982" si="1038">I983+I988+I991+I994</f>
        <v>1541.4</v>
      </c>
      <c r="J982" s="27">
        <f>J983+J988+J991+J994</f>
        <v>5067.2</v>
      </c>
      <c r="K982" s="27">
        <f t="shared" si="1038"/>
        <v>5293.5999999999995</v>
      </c>
      <c r="L982" s="27">
        <f t="shared" si="1038"/>
        <v>5530.0999999999995</v>
      </c>
      <c r="M982" s="27">
        <f t="shared" ref="M982:N982" si="1039">M983+M988+M991+M994</f>
        <v>5067.2</v>
      </c>
      <c r="N982" s="27">
        <f t="shared" si="1039"/>
        <v>15.1</v>
      </c>
      <c r="O982" s="27">
        <f t="shared" si="1033"/>
        <v>0.29799494790022102</v>
      </c>
    </row>
    <row r="983" spans="1:15" ht="15.75">
      <c r="A983" s="26" t="s">
        <v>604</v>
      </c>
      <c r="B983" s="216">
        <v>908</v>
      </c>
      <c r="C983" s="214" t="s">
        <v>287</v>
      </c>
      <c r="D983" s="214" t="s">
        <v>268</v>
      </c>
      <c r="E983" s="214" t="s">
        <v>608</v>
      </c>
      <c r="F983" s="214"/>
      <c r="G983" s="27">
        <f>G984+G986</f>
        <v>1112.3999999999999</v>
      </c>
      <c r="H983" s="27">
        <f>H984+H986</f>
        <v>672.2</v>
      </c>
      <c r="I983" s="27">
        <f t="shared" ref="I983:L983" si="1040">I984+I986</f>
        <v>992.8</v>
      </c>
      <c r="J983" s="27">
        <f t="shared" si="1040"/>
        <v>1364</v>
      </c>
      <c r="K983" s="27">
        <f t="shared" si="1040"/>
        <v>1430.3</v>
      </c>
      <c r="L983" s="27">
        <f t="shared" si="1040"/>
        <v>1500</v>
      </c>
      <c r="M983" s="27">
        <f t="shared" ref="M983:N983" si="1041">M984+M986</f>
        <v>1364</v>
      </c>
      <c r="N983" s="27">
        <f t="shared" si="1041"/>
        <v>0</v>
      </c>
      <c r="O983" s="27">
        <f t="shared" si="1033"/>
        <v>0</v>
      </c>
    </row>
    <row r="984" spans="1:15" ht="94.5" hidden="1">
      <c r="A984" s="26" t="s">
        <v>180</v>
      </c>
      <c r="B984" s="216">
        <v>908</v>
      </c>
      <c r="C984" s="214" t="s">
        <v>287</v>
      </c>
      <c r="D984" s="214" t="s">
        <v>268</v>
      </c>
      <c r="E984" s="214" t="s">
        <v>608</v>
      </c>
      <c r="F984" s="214" t="s">
        <v>181</v>
      </c>
      <c r="G984" s="27">
        <f>G985</f>
        <v>892.8</v>
      </c>
      <c r="H984" s="27">
        <f>H985</f>
        <v>652.1</v>
      </c>
      <c r="I984" s="27">
        <f t="shared" ref="I984:L984" si="1042">I985</f>
        <v>892.8</v>
      </c>
      <c r="J984" s="27">
        <f t="shared" si="1042"/>
        <v>0</v>
      </c>
      <c r="K984" s="27">
        <f t="shared" si="1042"/>
        <v>0</v>
      </c>
      <c r="L984" s="27">
        <f t="shared" si="1042"/>
        <v>0</v>
      </c>
      <c r="M984" s="27">
        <f t="shared" ref="M984:N984" si="1043">M985</f>
        <v>0</v>
      </c>
      <c r="N984" s="27">
        <f t="shared" si="1043"/>
        <v>0</v>
      </c>
      <c r="O984" s="27" t="e">
        <f t="shared" si="1033"/>
        <v>#DIV/0!</v>
      </c>
    </row>
    <row r="985" spans="1:15" ht="31.5" hidden="1">
      <c r="A985" s="48" t="s">
        <v>395</v>
      </c>
      <c r="B985" s="216">
        <v>908</v>
      </c>
      <c r="C985" s="214" t="s">
        <v>287</v>
      </c>
      <c r="D985" s="214" t="s">
        <v>268</v>
      </c>
      <c r="E985" s="214" t="s">
        <v>608</v>
      </c>
      <c r="F985" s="214" t="s">
        <v>262</v>
      </c>
      <c r="G985" s="27">
        <f>801.5+91.3</f>
        <v>892.8</v>
      </c>
      <c r="H985" s="27">
        <v>652.1</v>
      </c>
      <c r="I985" s="27">
        <f t="shared" ref="I985" si="1044">801.5+91.3</f>
        <v>892.8</v>
      </c>
      <c r="J985" s="27">
        <v>0</v>
      </c>
      <c r="K985" s="27">
        <v>0</v>
      </c>
      <c r="L985" s="27">
        <v>0</v>
      </c>
      <c r="M985" s="27">
        <v>0</v>
      </c>
      <c r="N985" s="27">
        <v>0</v>
      </c>
      <c r="O985" s="27" t="e">
        <f t="shared" si="1033"/>
        <v>#DIV/0!</v>
      </c>
    </row>
    <row r="986" spans="1:15" ht="31.5">
      <c r="A986" s="26" t="s">
        <v>184</v>
      </c>
      <c r="B986" s="216">
        <v>908</v>
      </c>
      <c r="C986" s="214" t="s">
        <v>287</v>
      </c>
      <c r="D986" s="214" t="s">
        <v>268</v>
      </c>
      <c r="E986" s="214" t="s">
        <v>608</v>
      </c>
      <c r="F986" s="214" t="s">
        <v>185</v>
      </c>
      <c r="G986" s="27">
        <f>G987</f>
        <v>219.6</v>
      </c>
      <c r="H986" s="27">
        <f>H987</f>
        <v>20.100000000000001</v>
      </c>
      <c r="I986" s="27">
        <f t="shared" ref="I986:L986" si="1045">I987</f>
        <v>100</v>
      </c>
      <c r="J986" s="27">
        <f t="shared" si="1045"/>
        <v>1364</v>
      </c>
      <c r="K986" s="27">
        <f t="shared" si="1045"/>
        <v>1430.3</v>
      </c>
      <c r="L986" s="27">
        <f t="shared" si="1045"/>
        <v>1500</v>
      </c>
      <c r="M986" s="27">
        <f t="shared" ref="M986:N986" si="1046">M987</f>
        <v>1364</v>
      </c>
      <c r="N986" s="27">
        <f t="shared" si="1046"/>
        <v>0</v>
      </c>
      <c r="O986" s="27">
        <f t="shared" si="1033"/>
        <v>0</v>
      </c>
    </row>
    <row r="987" spans="1:15" ht="47.25">
      <c r="A987" s="26" t="s">
        <v>186</v>
      </c>
      <c r="B987" s="216">
        <v>908</v>
      </c>
      <c r="C987" s="214" t="s">
        <v>287</v>
      </c>
      <c r="D987" s="214" t="s">
        <v>268</v>
      </c>
      <c r="E987" s="214" t="s">
        <v>608</v>
      </c>
      <c r="F987" s="214" t="s">
        <v>187</v>
      </c>
      <c r="G987" s="27">
        <v>219.6</v>
      </c>
      <c r="H987" s="27">
        <v>20.100000000000001</v>
      </c>
      <c r="I987" s="27">
        <v>100</v>
      </c>
      <c r="J987" s="27">
        <v>1364</v>
      </c>
      <c r="K987" s="27">
        <v>1430.3</v>
      </c>
      <c r="L987" s="27">
        <v>1500</v>
      </c>
      <c r="M987" s="27">
        <v>1364</v>
      </c>
      <c r="N987" s="27">
        <v>0</v>
      </c>
      <c r="O987" s="27">
        <f t="shared" si="1033"/>
        <v>0</v>
      </c>
    </row>
    <row r="988" spans="1:15" ht="15.75">
      <c r="A988" s="26" t="s">
        <v>609</v>
      </c>
      <c r="B988" s="216">
        <v>908</v>
      </c>
      <c r="C988" s="214" t="s">
        <v>287</v>
      </c>
      <c r="D988" s="214" t="s">
        <v>268</v>
      </c>
      <c r="E988" s="214" t="s">
        <v>610</v>
      </c>
      <c r="F988" s="214"/>
      <c r="G988" s="27">
        <f>G989</f>
        <v>86.6</v>
      </c>
      <c r="H988" s="27">
        <f>H989</f>
        <v>0</v>
      </c>
      <c r="I988" s="27">
        <f t="shared" ref="I988:L989" si="1047">I989</f>
        <v>0</v>
      </c>
      <c r="J988" s="27">
        <f t="shared" si="1047"/>
        <v>115.8</v>
      </c>
      <c r="K988" s="27">
        <f t="shared" si="1047"/>
        <v>121.6</v>
      </c>
      <c r="L988" s="27">
        <f t="shared" si="1047"/>
        <v>127.6</v>
      </c>
      <c r="M988" s="27">
        <f t="shared" ref="M988:N989" si="1048">M989</f>
        <v>115.8</v>
      </c>
      <c r="N988" s="27">
        <f t="shared" si="1048"/>
        <v>0</v>
      </c>
      <c r="O988" s="27">
        <f t="shared" si="1033"/>
        <v>0</v>
      </c>
    </row>
    <row r="989" spans="1:15" ht="31.5">
      <c r="A989" s="26" t="s">
        <v>184</v>
      </c>
      <c r="B989" s="216">
        <v>908</v>
      </c>
      <c r="C989" s="214" t="s">
        <v>287</v>
      </c>
      <c r="D989" s="214" t="s">
        <v>268</v>
      </c>
      <c r="E989" s="214" t="s">
        <v>610</v>
      </c>
      <c r="F989" s="214" t="s">
        <v>185</v>
      </c>
      <c r="G989" s="27">
        <f>G990</f>
        <v>86.6</v>
      </c>
      <c r="H989" s="27">
        <f>H990</f>
        <v>0</v>
      </c>
      <c r="I989" s="27">
        <f t="shared" si="1047"/>
        <v>0</v>
      </c>
      <c r="J989" s="27">
        <f t="shared" si="1047"/>
        <v>115.8</v>
      </c>
      <c r="K989" s="27">
        <f t="shared" si="1047"/>
        <v>121.6</v>
      </c>
      <c r="L989" s="27">
        <f t="shared" si="1047"/>
        <v>127.6</v>
      </c>
      <c r="M989" s="27">
        <f t="shared" si="1048"/>
        <v>115.8</v>
      </c>
      <c r="N989" s="27">
        <f t="shared" si="1048"/>
        <v>0</v>
      </c>
      <c r="O989" s="27">
        <f t="shared" si="1033"/>
        <v>0</v>
      </c>
    </row>
    <row r="990" spans="1:15" ht="47.25">
      <c r="A990" s="26" t="s">
        <v>186</v>
      </c>
      <c r="B990" s="216">
        <v>908</v>
      </c>
      <c r="C990" s="214" t="s">
        <v>287</v>
      </c>
      <c r="D990" s="214" t="s">
        <v>268</v>
      </c>
      <c r="E990" s="214" t="s">
        <v>610</v>
      </c>
      <c r="F990" s="214" t="s">
        <v>187</v>
      </c>
      <c r="G990" s="27">
        <v>86.6</v>
      </c>
      <c r="H990" s="27">
        <v>0</v>
      </c>
      <c r="I990" s="27">
        <v>0</v>
      </c>
      <c r="J990" s="27">
        <v>115.8</v>
      </c>
      <c r="K990" s="27">
        <v>121.6</v>
      </c>
      <c r="L990" s="27">
        <v>127.6</v>
      </c>
      <c r="M990" s="27">
        <v>115.8</v>
      </c>
      <c r="N990" s="27">
        <v>0</v>
      </c>
      <c r="O990" s="27">
        <f t="shared" si="1033"/>
        <v>0</v>
      </c>
    </row>
    <row r="991" spans="1:15" ht="47.25">
      <c r="A991" s="47" t="s">
        <v>611</v>
      </c>
      <c r="B991" s="216">
        <v>908</v>
      </c>
      <c r="C991" s="214" t="s">
        <v>287</v>
      </c>
      <c r="D991" s="214" t="s">
        <v>268</v>
      </c>
      <c r="E991" s="214" t="s">
        <v>612</v>
      </c>
      <c r="F991" s="214"/>
      <c r="G991" s="27">
        <f>G992</f>
        <v>2130.6</v>
      </c>
      <c r="H991" s="27">
        <f>H992</f>
        <v>0</v>
      </c>
      <c r="I991" s="27">
        <f t="shared" ref="I991:L992" si="1049">I992</f>
        <v>200</v>
      </c>
      <c r="J991" s="27">
        <f t="shared" si="1049"/>
        <v>3124.2</v>
      </c>
      <c r="K991" s="27">
        <f t="shared" si="1049"/>
        <v>3258.5</v>
      </c>
      <c r="L991" s="27">
        <f t="shared" si="1049"/>
        <v>3398.6</v>
      </c>
      <c r="M991" s="27">
        <f t="shared" ref="M991:N992" si="1050">M992</f>
        <v>3124.2</v>
      </c>
      <c r="N991" s="27">
        <f t="shared" si="1050"/>
        <v>0</v>
      </c>
      <c r="O991" s="27">
        <f t="shared" si="1033"/>
        <v>0</v>
      </c>
    </row>
    <row r="992" spans="1:15" ht="31.5">
      <c r="A992" s="26" t="s">
        <v>184</v>
      </c>
      <c r="B992" s="216">
        <v>908</v>
      </c>
      <c r="C992" s="214" t="s">
        <v>287</v>
      </c>
      <c r="D992" s="214" t="s">
        <v>268</v>
      </c>
      <c r="E992" s="214" t="s">
        <v>612</v>
      </c>
      <c r="F992" s="214" t="s">
        <v>185</v>
      </c>
      <c r="G992" s="27">
        <f>G993</f>
        <v>2130.6</v>
      </c>
      <c r="H992" s="27">
        <f>H993</f>
        <v>0</v>
      </c>
      <c r="I992" s="27">
        <f t="shared" si="1049"/>
        <v>200</v>
      </c>
      <c r="J992" s="27">
        <f t="shared" si="1049"/>
        <v>3124.2</v>
      </c>
      <c r="K992" s="27">
        <f t="shared" si="1049"/>
        <v>3258.5</v>
      </c>
      <c r="L992" s="27">
        <f t="shared" si="1049"/>
        <v>3398.6</v>
      </c>
      <c r="M992" s="27">
        <f t="shared" si="1050"/>
        <v>3124.2</v>
      </c>
      <c r="N992" s="27">
        <f t="shared" si="1050"/>
        <v>0</v>
      </c>
      <c r="O992" s="27">
        <f t="shared" si="1033"/>
        <v>0</v>
      </c>
    </row>
    <row r="993" spans="1:15" ht="47.25">
      <c r="A993" s="26" t="s">
        <v>186</v>
      </c>
      <c r="B993" s="216">
        <v>908</v>
      </c>
      <c r="C993" s="214" t="s">
        <v>287</v>
      </c>
      <c r="D993" s="214" t="s">
        <v>268</v>
      </c>
      <c r="E993" s="214" t="s">
        <v>612</v>
      </c>
      <c r="F993" s="214" t="s">
        <v>187</v>
      </c>
      <c r="G993" s="27">
        <v>2130.6</v>
      </c>
      <c r="H993" s="27">
        <v>0</v>
      </c>
      <c r="I993" s="27">
        <v>200</v>
      </c>
      <c r="J993" s="27">
        <v>3124.2</v>
      </c>
      <c r="K993" s="27">
        <v>3258.5</v>
      </c>
      <c r="L993" s="27">
        <v>3398.6</v>
      </c>
      <c r="M993" s="27">
        <v>3124.2</v>
      </c>
      <c r="N993" s="27">
        <v>0</v>
      </c>
      <c r="O993" s="27">
        <f t="shared" si="1033"/>
        <v>0</v>
      </c>
    </row>
    <row r="994" spans="1:15" ht="31.5">
      <c r="A994" s="47" t="s">
        <v>613</v>
      </c>
      <c r="B994" s="216">
        <v>908</v>
      </c>
      <c r="C994" s="214" t="s">
        <v>287</v>
      </c>
      <c r="D994" s="214" t="s">
        <v>268</v>
      </c>
      <c r="E994" s="214" t="s">
        <v>614</v>
      </c>
      <c r="F994" s="214"/>
      <c r="G994" s="27">
        <f>G995</f>
        <v>348.6</v>
      </c>
      <c r="H994" s="27">
        <f>H995</f>
        <v>249.1</v>
      </c>
      <c r="I994" s="27">
        <f t="shared" ref="I994:L995" si="1051">I995</f>
        <v>348.6</v>
      </c>
      <c r="J994" s="27">
        <f t="shared" si="1051"/>
        <v>463.2</v>
      </c>
      <c r="K994" s="27">
        <f t="shared" si="1051"/>
        <v>483.2</v>
      </c>
      <c r="L994" s="27">
        <f t="shared" si="1051"/>
        <v>503.9</v>
      </c>
      <c r="M994" s="27">
        <f t="shared" ref="M994:N995" si="1052">M995</f>
        <v>463.2</v>
      </c>
      <c r="N994" s="27">
        <f t="shared" si="1052"/>
        <v>15.1</v>
      </c>
      <c r="O994" s="27">
        <f t="shared" si="1033"/>
        <v>3.2599309153713301</v>
      </c>
    </row>
    <row r="995" spans="1:15" ht="31.5">
      <c r="A995" s="26" t="s">
        <v>184</v>
      </c>
      <c r="B995" s="216">
        <v>908</v>
      </c>
      <c r="C995" s="214" t="s">
        <v>287</v>
      </c>
      <c r="D995" s="214" t="s">
        <v>268</v>
      </c>
      <c r="E995" s="214" t="s">
        <v>614</v>
      </c>
      <c r="F995" s="214" t="s">
        <v>185</v>
      </c>
      <c r="G995" s="27">
        <f>G996</f>
        <v>348.6</v>
      </c>
      <c r="H995" s="27">
        <f>H996</f>
        <v>249.1</v>
      </c>
      <c r="I995" s="27">
        <f t="shared" si="1051"/>
        <v>348.6</v>
      </c>
      <c r="J995" s="27">
        <f t="shared" si="1051"/>
        <v>463.2</v>
      </c>
      <c r="K995" s="27">
        <f t="shared" si="1051"/>
        <v>483.2</v>
      </c>
      <c r="L995" s="27">
        <f t="shared" si="1051"/>
        <v>503.9</v>
      </c>
      <c r="M995" s="27">
        <f t="shared" si="1052"/>
        <v>463.2</v>
      </c>
      <c r="N995" s="27">
        <f t="shared" si="1052"/>
        <v>15.1</v>
      </c>
      <c r="O995" s="27">
        <f t="shared" si="1033"/>
        <v>3.2599309153713301</v>
      </c>
    </row>
    <row r="996" spans="1:15" ht="47.25">
      <c r="A996" s="26" t="s">
        <v>186</v>
      </c>
      <c r="B996" s="216">
        <v>908</v>
      </c>
      <c r="C996" s="214" t="s">
        <v>287</v>
      </c>
      <c r="D996" s="214" t="s">
        <v>268</v>
      </c>
      <c r="E996" s="214" t="s">
        <v>614</v>
      </c>
      <c r="F996" s="214" t="s">
        <v>187</v>
      </c>
      <c r="G996" s="27">
        <v>348.6</v>
      </c>
      <c r="H996" s="27">
        <v>249.1</v>
      </c>
      <c r="I996" s="27">
        <v>348.6</v>
      </c>
      <c r="J996" s="27">
        <v>463.2</v>
      </c>
      <c r="K996" s="27">
        <v>483.2</v>
      </c>
      <c r="L996" s="27">
        <v>503.9</v>
      </c>
      <c r="M996" s="27">
        <v>463.2</v>
      </c>
      <c r="N996" s="27">
        <v>15.1</v>
      </c>
      <c r="O996" s="27">
        <f t="shared" si="1033"/>
        <v>3.2599309153713301</v>
      </c>
    </row>
    <row r="997" spans="1:15" ht="63">
      <c r="A997" s="26" t="s">
        <v>985</v>
      </c>
      <c r="B997" s="216">
        <v>908</v>
      </c>
      <c r="C997" s="214" t="s">
        <v>287</v>
      </c>
      <c r="D997" s="214" t="s">
        <v>268</v>
      </c>
      <c r="E997" s="214" t="s">
        <v>811</v>
      </c>
      <c r="F997" s="214"/>
      <c r="G997" s="27">
        <f>G998</f>
        <v>600</v>
      </c>
      <c r="H997" s="27">
        <f t="shared" ref="H997:H999" si="1053">H998</f>
        <v>0</v>
      </c>
      <c r="I997" s="27">
        <f t="shared" ref="I997:L999" si="1054">I998</f>
        <v>600</v>
      </c>
      <c r="J997" s="27">
        <f t="shared" si="1054"/>
        <v>0</v>
      </c>
      <c r="K997" s="27">
        <f t="shared" si="1054"/>
        <v>0</v>
      </c>
      <c r="L997" s="27">
        <f t="shared" si="1054"/>
        <v>0</v>
      </c>
      <c r="M997" s="27">
        <f t="shared" ref="M997:N999" si="1055">M998</f>
        <v>500</v>
      </c>
      <c r="N997" s="27">
        <f t="shared" si="1055"/>
        <v>0</v>
      </c>
      <c r="O997" s="27">
        <f t="shared" si="1033"/>
        <v>0</v>
      </c>
    </row>
    <row r="998" spans="1:15" ht="31.5">
      <c r="A998" s="94" t="s">
        <v>810</v>
      </c>
      <c r="B998" s="216">
        <v>908</v>
      </c>
      <c r="C998" s="214" t="s">
        <v>287</v>
      </c>
      <c r="D998" s="214" t="s">
        <v>268</v>
      </c>
      <c r="E998" s="214" t="s">
        <v>812</v>
      </c>
      <c r="F998" s="214"/>
      <c r="G998" s="27">
        <f>G999</f>
        <v>600</v>
      </c>
      <c r="H998" s="27">
        <f t="shared" si="1053"/>
        <v>0</v>
      </c>
      <c r="I998" s="27">
        <f t="shared" si="1054"/>
        <v>600</v>
      </c>
      <c r="J998" s="27">
        <f t="shared" si="1054"/>
        <v>0</v>
      </c>
      <c r="K998" s="27">
        <f t="shared" si="1054"/>
        <v>0</v>
      </c>
      <c r="L998" s="27">
        <f t="shared" si="1054"/>
        <v>0</v>
      </c>
      <c r="M998" s="27">
        <f t="shared" si="1055"/>
        <v>500</v>
      </c>
      <c r="N998" s="27">
        <f t="shared" si="1055"/>
        <v>0</v>
      </c>
      <c r="O998" s="27">
        <f t="shared" si="1033"/>
        <v>0</v>
      </c>
    </row>
    <row r="999" spans="1:15" ht="31.5">
      <c r="A999" s="26" t="s">
        <v>184</v>
      </c>
      <c r="B999" s="216">
        <v>908</v>
      </c>
      <c r="C999" s="214" t="s">
        <v>287</v>
      </c>
      <c r="D999" s="214" t="s">
        <v>268</v>
      </c>
      <c r="E999" s="214" t="s">
        <v>812</v>
      </c>
      <c r="F999" s="214" t="s">
        <v>185</v>
      </c>
      <c r="G999" s="27">
        <f>G1000</f>
        <v>600</v>
      </c>
      <c r="H999" s="27">
        <f t="shared" si="1053"/>
        <v>0</v>
      </c>
      <c r="I999" s="27">
        <f t="shared" si="1054"/>
        <v>600</v>
      </c>
      <c r="J999" s="27">
        <f t="shared" si="1054"/>
        <v>0</v>
      </c>
      <c r="K999" s="27">
        <f t="shared" si="1054"/>
        <v>0</v>
      </c>
      <c r="L999" s="27">
        <f t="shared" si="1054"/>
        <v>0</v>
      </c>
      <c r="M999" s="27">
        <f t="shared" si="1055"/>
        <v>500</v>
      </c>
      <c r="N999" s="27">
        <f t="shared" si="1055"/>
        <v>0</v>
      </c>
      <c r="O999" s="27">
        <f t="shared" si="1033"/>
        <v>0</v>
      </c>
    </row>
    <row r="1000" spans="1:15" ht="47.25">
      <c r="A1000" s="26" t="s">
        <v>186</v>
      </c>
      <c r="B1000" s="216">
        <v>908</v>
      </c>
      <c r="C1000" s="214" t="s">
        <v>287</v>
      </c>
      <c r="D1000" s="214" t="s">
        <v>268</v>
      </c>
      <c r="E1000" s="214" t="s">
        <v>812</v>
      </c>
      <c r="F1000" s="214" t="s">
        <v>187</v>
      </c>
      <c r="G1000" s="27">
        <v>600</v>
      </c>
      <c r="H1000" s="27">
        <v>0</v>
      </c>
      <c r="I1000" s="27">
        <v>600</v>
      </c>
      <c r="J1000" s="27">
        <v>0</v>
      </c>
      <c r="K1000" s="27">
        <v>0</v>
      </c>
      <c r="L1000" s="27">
        <v>0</v>
      </c>
      <c r="M1000" s="27">
        <v>500</v>
      </c>
      <c r="N1000" s="27">
        <v>0</v>
      </c>
      <c r="O1000" s="27">
        <f t="shared" si="1033"/>
        <v>0</v>
      </c>
    </row>
    <row r="1001" spans="1:15" ht="15.75">
      <c r="A1001" s="26" t="s">
        <v>174</v>
      </c>
      <c r="B1001" s="216">
        <v>908</v>
      </c>
      <c r="C1001" s="214" t="s">
        <v>287</v>
      </c>
      <c r="D1001" s="214" t="s">
        <v>268</v>
      </c>
      <c r="E1001" s="214" t="s">
        <v>175</v>
      </c>
      <c r="F1001" s="214"/>
      <c r="G1001" s="27">
        <f>G1002+G1015</f>
        <v>12489.099999999999</v>
      </c>
      <c r="H1001" s="27">
        <f>H1002+H1015</f>
        <v>3210</v>
      </c>
      <c r="I1001" s="27">
        <f t="shared" ref="I1001:L1001" si="1056">I1002+I1015</f>
        <v>12233.199999999999</v>
      </c>
      <c r="J1001" s="27">
        <f t="shared" si="1056"/>
        <v>3812.4</v>
      </c>
      <c r="K1001" s="27">
        <f t="shared" si="1056"/>
        <v>3812.4</v>
      </c>
      <c r="L1001" s="27">
        <f t="shared" si="1056"/>
        <v>3812.4</v>
      </c>
      <c r="M1001" s="27">
        <f t="shared" ref="M1001:N1001" si="1057">M1002+M1015</f>
        <v>2891.2</v>
      </c>
      <c r="N1001" s="27">
        <f t="shared" si="1057"/>
        <v>0</v>
      </c>
      <c r="O1001" s="27">
        <f t="shared" si="1033"/>
        <v>0</v>
      </c>
    </row>
    <row r="1002" spans="1:15" ht="31.5">
      <c r="A1002" s="26" t="s">
        <v>238</v>
      </c>
      <c r="B1002" s="216">
        <v>908</v>
      </c>
      <c r="C1002" s="214" t="s">
        <v>287</v>
      </c>
      <c r="D1002" s="214" t="s">
        <v>268</v>
      </c>
      <c r="E1002" s="214" t="s">
        <v>239</v>
      </c>
      <c r="F1002" s="214"/>
      <c r="G1002" s="27">
        <f>G1003+G1006+G1009+G1012</f>
        <v>12033.199999999999</v>
      </c>
      <c r="H1002" s="27">
        <f>H1003+H1006+H1009+H1012</f>
        <v>3210</v>
      </c>
      <c r="I1002" s="27">
        <f t="shared" ref="I1002:L1002" si="1058">I1003+I1006+I1009+I1012</f>
        <v>12033.199999999999</v>
      </c>
      <c r="J1002" s="27">
        <f t="shared" si="1058"/>
        <v>0</v>
      </c>
      <c r="K1002" s="27">
        <f t="shared" si="1058"/>
        <v>0</v>
      </c>
      <c r="L1002" s="27">
        <f t="shared" si="1058"/>
        <v>0</v>
      </c>
      <c r="M1002" s="27">
        <f>M1003+M1006+M1009+M1012</f>
        <v>2501.1999999999998</v>
      </c>
      <c r="N1002" s="27">
        <f t="shared" ref="N1002" si="1059">N1003+N1006+N1009+N1012</f>
        <v>0</v>
      </c>
      <c r="O1002" s="27">
        <f t="shared" si="1033"/>
        <v>0</v>
      </c>
    </row>
    <row r="1003" spans="1:15" ht="31.5" hidden="1">
      <c r="A1003" s="26" t="s">
        <v>615</v>
      </c>
      <c r="B1003" s="216">
        <v>908</v>
      </c>
      <c r="C1003" s="214" t="s">
        <v>287</v>
      </c>
      <c r="D1003" s="214" t="s">
        <v>268</v>
      </c>
      <c r="E1003" s="214" t="s">
        <v>616</v>
      </c>
      <c r="F1003" s="214"/>
      <c r="G1003" s="27">
        <f>G1004</f>
        <v>6302.4</v>
      </c>
      <c r="H1003" s="27">
        <f>H1004</f>
        <v>3210</v>
      </c>
      <c r="I1003" s="27">
        <f t="shared" ref="I1003:L1004" si="1060">I1004</f>
        <v>6302.4</v>
      </c>
      <c r="J1003" s="27">
        <f t="shared" si="1060"/>
        <v>0</v>
      </c>
      <c r="K1003" s="27">
        <f t="shared" si="1060"/>
        <v>0</v>
      </c>
      <c r="L1003" s="27">
        <f t="shared" si="1060"/>
        <v>0</v>
      </c>
      <c r="M1003" s="27">
        <f t="shared" ref="M1003:N1004" si="1061">M1004</f>
        <v>0</v>
      </c>
      <c r="N1003" s="27">
        <f t="shared" si="1061"/>
        <v>0</v>
      </c>
      <c r="O1003" s="27" t="e">
        <f t="shared" si="1033"/>
        <v>#DIV/0!</v>
      </c>
    </row>
    <row r="1004" spans="1:15" ht="31.5" hidden="1">
      <c r="A1004" s="26" t="s">
        <v>184</v>
      </c>
      <c r="B1004" s="216">
        <v>908</v>
      </c>
      <c r="C1004" s="214" t="s">
        <v>287</v>
      </c>
      <c r="D1004" s="214" t="s">
        <v>268</v>
      </c>
      <c r="E1004" s="214" t="s">
        <v>616</v>
      </c>
      <c r="F1004" s="214" t="s">
        <v>185</v>
      </c>
      <c r="G1004" s="27">
        <f>G1005</f>
        <v>6302.4</v>
      </c>
      <c r="H1004" s="27">
        <f>H1005</f>
        <v>3210</v>
      </c>
      <c r="I1004" s="27">
        <f t="shared" si="1060"/>
        <v>6302.4</v>
      </c>
      <c r="J1004" s="27">
        <f t="shared" si="1060"/>
        <v>0</v>
      </c>
      <c r="K1004" s="27">
        <f t="shared" si="1060"/>
        <v>0</v>
      </c>
      <c r="L1004" s="27">
        <f t="shared" si="1060"/>
        <v>0</v>
      </c>
      <c r="M1004" s="27">
        <f t="shared" si="1061"/>
        <v>0</v>
      </c>
      <c r="N1004" s="27">
        <f t="shared" si="1061"/>
        <v>0</v>
      </c>
      <c r="O1004" s="27" t="e">
        <f t="shared" si="1033"/>
        <v>#DIV/0!</v>
      </c>
    </row>
    <row r="1005" spans="1:15" ht="47.25" hidden="1">
      <c r="A1005" s="26" t="s">
        <v>186</v>
      </c>
      <c r="B1005" s="216">
        <v>908</v>
      </c>
      <c r="C1005" s="214" t="s">
        <v>287</v>
      </c>
      <c r="D1005" s="214" t="s">
        <v>268</v>
      </c>
      <c r="E1005" s="214" t="s">
        <v>616</v>
      </c>
      <c r="F1005" s="214" t="s">
        <v>187</v>
      </c>
      <c r="G1005" s="27">
        <f>3907.3-814.9+3210</f>
        <v>6302.4</v>
      </c>
      <c r="H1005" s="27">
        <v>3210</v>
      </c>
      <c r="I1005" s="27">
        <f t="shared" ref="I1005" si="1062">3907.3-814.9+3210</f>
        <v>6302.4</v>
      </c>
      <c r="J1005" s="27">
        <v>0</v>
      </c>
      <c r="K1005" s="27">
        <v>0</v>
      </c>
      <c r="L1005" s="27">
        <v>0</v>
      </c>
      <c r="M1005" s="27">
        <f>1915.9+2170.9-2170.9+255-2170.9</f>
        <v>0</v>
      </c>
      <c r="N1005" s="27">
        <f t="shared" ref="N1005" si="1063">1915.9+2170.9-2170.9+255-2170.9</f>
        <v>0</v>
      </c>
      <c r="O1005" s="27" t="e">
        <f t="shared" si="1033"/>
        <v>#DIV/0!</v>
      </c>
    </row>
    <row r="1006" spans="1:15" ht="47.25">
      <c r="A1006" s="26" t="s">
        <v>774</v>
      </c>
      <c r="B1006" s="216">
        <v>908</v>
      </c>
      <c r="C1006" s="214" t="s">
        <v>287</v>
      </c>
      <c r="D1006" s="214" t="s">
        <v>268</v>
      </c>
      <c r="E1006" s="214" t="s">
        <v>775</v>
      </c>
      <c r="F1006" s="214"/>
      <c r="G1006" s="27">
        <f t="shared" ref="G1006:L1007" si="1064">G1007</f>
        <v>2132</v>
      </c>
      <c r="H1006" s="27">
        <f t="shared" si="1064"/>
        <v>0</v>
      </c>
      <c r="I1006" s="27">
        <f t="shared" si="1064"/>
        <v>2132</v>
      </c>
      <c r="J1006" s="27">
        <f t="shared" si="1064"/>
        <v>0</v>
      </c>
      <c r="K1006" s="27">
        <f t="shared" si="1064"/>
        <v>0</v>
      </c>
      <c r="L1006" s="27">
        <f t="shared" si="1064"/>
        <v>0</v>
      </c>
      <c r="M1006" s="27">
        <f t="shared" ref="M1006:N1007" si="1065">M1007</f>
        <v>976</v>
      </c>
      <c r="N1006" s="27">
        <f t="shared" si="1065"/>
        <v>0</v>
      </c>
      <c r="O1006" s="27">
        <f t="shared" si="1033"/>
        <v>0</v>
      </c>
    </row>
    <row r="1007" spans="1:15" ht="31.5">
      <c r="A1007" s="26" t="s">
        <v>184</v>
      </c>
      <c r="B1007" s="216">
        <v>908</v>
      </c>
      <c r="C1007" s="214" t="s">
        <v>287</v>
      </c>
      <c r="D1007" s="214" t="s">
        <v>268</v>
      </c>
      <c r="E1007" s="214" t="s">
        <v>775</v>
      </c>
      <c r="F1007" s="214" t="s">
        <v>185</v>
      </c>
      <c r="G1007" s="27">
        <f t="shared" si="1064"/>
        <v>2132</v>
      </c>
      <c r="H1007" s="27">
        <f t="shared" si="1064"/>
        <v>0</v>
      </c>
      <c r="I1007" s="27">
        <f t="shared" si="1064"/>
        <v>2132</v>
      </c>
      <c r="J1007" s="27">
        <f t="shared" si="1064"/>
        <v>0</v>
      </c>
      <c r="K1007" s="27">
        <f t="shared" si="1064"/>
        <v>0</v>
      </c>
      <c r="L1007" s="27">
        <f t="shared" si="1064"/>
        <v>0</v>
      </c>
      <c r="M1007" s="27">
        <f t="shared" si="1065"/>
        <v>976</v>
      </c>
      <c r="N1007" s="27">
        <f t="shared" si="1065"/>
        <v>0</v>
      </c>
      <c r="O1007" s="27">
        <f t="shared" si="1033"/>
        <v>0</v>
      </c>
    </row>
    <row r="1008" spans="1:15" ht="47.25">
      <c r="A1008" s="26" t="s">
        <v>186</v>
      </c>
      <c r="B1008" s="216">
        <v>908</v>
      </c>
      <c r="C1008" s="214" t="s">
        <v>287</v>
      </c>
      <c r="D1008" s="214" t="s">
        <v>268</v>
      </c>
      <c r="E1008" s="214" t="s">
        <v>775</v>
      </c>
      <c r="F1008" s="214" t="s">
        <v>187</v>
      </c>
      <c r="G1008" s="27">
        <v>2132</v>
      </c>
      <c r="H1008" s="27">
        <v>0</v>
      </c>
      <c r="I1008" s="27">
        <v>2132</v>
      </c>
      <c r="J1008" s="27">
        <v>0</v>
      </c>
      <c r="K1008" s="27">
        <v>0</v>
      </c>
      <c r="L1008" s="27">
        <v>0</v>
      </c>
      <c r="M1008" s="27">
        <f>'прил.№1 доходы'!I136</f>
        <v>976</v>
      </c>
      <c r="N1008" s="27">
        <v>0</v>
      </c>
      <c r="O1008" s="27">
        <f t="shared" si="1033"/>
        <v>0</v>
      </c>
    </row>
    <row r="1009" spans="1:15" ht="47.25" hidden="1">
      <c r="A1009" s="26" t="s">
        <v>776</v>
      </c>
      <c r="B1009" s="216">
        <v>908</v>
      </c>
      <c r="C1009" s="214" t="s">
        <v>287</v>
      </c>
      <c r="D1009" s="214" t="s">
        <v>268</v>
      </c>
      <c r="E1009" s="214" t="s">
        <v>617</v>
      </c>
      <c r="F1009" s="214"/>
      <c r="G1009" s="27">
        <f t="shared" ref="G1009:L1010" si="1066">G1010</f>
        <v>2000</v>
      </c>
      <c r="H1009" s="27">
        <f t="shared" si="1066"/>
        <v>0</v>
      </c>
      <c r="I1009" s="27">
        <f t="shared" si="1066"/>
        <v>2000</v>
      </c>
      <c r="J1009" s="27">
        <f t="shared" si="1066"/>
        <v>0</v>
      </c>
      <c r="K1009" s="27">
        <f t="shared" si="1066"/>
        <v>0</v>
      </c>
      <c r="L1009" s="27">
        <f t="shared" si="1066"/>
        <v>0</v>
      </c>
      <c r="M1009" s="27">
        <f t="shared" ref="M1009:N1010" si="1067">M1010</f>
        <v>0</v>
      </c>
      <c r="N1009" s="27">
        <f t="shared" si="1067"/>
        <v>0</v>
      </c>
      <c r="O1009" s="27" t="e">
        <f t="shared" si="1033"/>
        <v>#DIV/0!</v>
      </c>
    </row>
    <row r="1010" spans="1:15" ht="31.5" hidden="1">
      <c r="A1010" s="26" t="s">
        <v>184</v>
      </c>
      <c r="B1010" s="216">
        <v>908</v>
      </c>
      <c r="C1010" s="214" t="s">
        <v>287</v>
      </c>
      <c r="D1010" s="214" t="s">
        <v>268</v>
      </c>
      <c r="E1010" s="214" t="s">
        <v>617</v>
      </c>
      <c r="F1010" s="214" t="s">
        <v>185</v>
      </c>
      <c r="G1010" s="27">
        <f t="shared" si="1066"/>
        <v>2000</v>
      </c>
      <c r="H1010" s="27">
        <f t="shared" si="1066"/>
        <v>0</v>
      </c>
      <c r="I1010" s="27">
        <f t="shared" si="1066"/>
        <v>2000</v>
      </c>
      <c r="J1010" s="27">
        <f t="shared" si="1066"/>
        <v>0</v>
      </c>
      <c r="K1010" s="27">
        <f t="shared" si="1066"/>
        <v>0</v>
      </c>
      <c r="L1010" s="27">
        <f t="shared" si="1066"/>
        <v>0</v>
      </c>
      <c r="M1010" s="27">
        <f t="shared" si="1067"/>
        <v>0</v>
      </c>
      <c r="N1010" s="27">
        <f t="shared" si="1067"/>
        <v>0</v>
      </c>
      <c r="O1010" s="27" t="e">
        <f t="shared" si="1033"/>
        <v>#DIV/0!</v>
      </c>
    </row>
    <row r="1011" spans="1:15" ht="47.25" hidden="1">
      <c r="A1011" s="26" t="s">
        <v>186</v>
      </c>
      <c r="B1011" s="216">
        <v>908</v>
      </c>
      <c r="C1011" s="214" t="s">
        <v>287</v>
      </c>
      <c r="D1011" s="214" t="s">
        <v>268</v>
      </c>
      <c r="E1011" s="214" t="s">
        <v>617</v>
      </c>
      <c r="F1011" s="214" t="s">
        <v>187</v>
      </c>
      <c r="G1011" s="27">
        <v>2000</v>
      </c>
      <c r="H1011" s="27">
        <v>0</v>
      </c>
      <c r="I1011" s="27">
        <v>2000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 t="e">
        <f t="shared" si="1033"/>
        <v>#DIV/0!</v>
      </c>
    </row>
    <row r="1012" spans="1:15" ht="63">
      <c r="A1012" s="26" t="s">
        <v>777</v>
      </c>
      <c r="B1012" s="216">
        <v>908</v>
      </c>
      <c r="C1012" s="214" t="s">
        <v>287</v>
      </c>
      <c r="D1012" s="214" t="s">
        <v>268</v>
      </c>
      <c r="E1012" s="214" t="s">
        <v>778</v>
      </c>
      <c r="F1012" s="214"/>
      <c r="G1012" s="27">
        <f>G1013</f>
        <v>1598.8</v>
      </c>
      <c r="H1012" s="27">
        <f>H1013</f>
        <v>0</v>
      </c>
      <c r="I1012" s="27">
        <f t="shared" ref="I1012:L1013" si="1068">I1013</f>
        <v>1598.8</v>
      </c>
      <c r="J1012" s="27">
        <f t="shared" si="1068"/>
        <v>0</v>
      </c>
      <c r="K1012" s="27">
        <f t="shared" si="1068"/>
        <v>0</v>
      </c>
      <c r="L1012" s="27">
        <f t="shared" si="1068"/>
        <v>0</v>
      </c>
      <c r="M1012" s="27">
        <f t="shared" ref="M1012:N1013" si="1069">M1013</f>
        <v>1525.2</v>
      </c>
      <c r="N1012" s="27">
        <f t="shared" si="1069"/>
        <v>0</v>
      </c>
      <c r="O1012" s="27">
        <f t="shared" si="1033"/>
        <v>0</v>
      </c>
    </row>
    <row r="1013" spans="1:15" ht="31.5">
      <c r="A1013" s="26" t="s">
        <v>184</v>
      </c>
      <c r="B1013" s="216">
        <v>908</v>
      </c>
      <c r="C1013" s="214" t="s">
        <v>287</v>
      </c>
      <c r="D1013" s="214" t="s">
        <v>268</v>
      </c>
      <c r="E1013" s="214" t="s">
        <v>778</v>
      </c>
      <c r="F1013" s="214" t="s">
        <v>185</v>
      </c>
      <c r="G1013" s="27">
        <f>G1014</f>
        <v>1598.8</v>
      </c>
      <c r="H1013" s="27">
        <f>H1014</f>
        <v>0</v>
      </c>
      <c r="I1013" s="27">
        <f t="shared" si="1068"/>
        <v>1598.8</v>
      </c>
      <c r="J1013" s="27">
        <f t="shared" si="1068"/>
        <v>0</v>
      </c>
      <c r="K1013" s="27">
        <f t="shared" si="1068"/>
        <v>0</v>
      </c>
      <c r="L1013" s="27">
        <f t="shared" si="1068"/>
        <v>0</v>
      </c>
      <c r="M1013" s="27">
        <f t="shared" si="1069"/>
        <v>1525.2</v>
      </c>
      <c r="N1013" s="27">
        <f t="shared" si="1069"/>
        <v>0</v>
      </c>
      <c r="O1013" s="27">
        <f t="shared" si="1033"/>
        <v>0</v>
      </c>
    </row>
    <row r="1014" spans="1:15" ht="47.25">
      <c r="A1014" s="26" t="s">
        <v>186</v>
      </c>
      <c r="B1014" s="216">
        <v>908</v>
      </c>
      <c r="C1014" s="214" t="s">
        <v>287</v>
      </c>
      <c r="D1014" s="214" t="s">
        <v>268</v>
      </c>
      <c r="E1014" s="214" t="s">
        <v>778</v>
      </c>
      <c r="F1014" s="214" t="s">
        <v>187</v>
      </c>
      <c r="G1014" s="27">
        <v>1598.8</v>
      </c>
      <c r="H1014" s="27">
        <v>0</v>
      </c>
      <c r="I1014" s="27">
        <v>1598.8</v>
      </c>
      <c r="J1014" s="27">
        <v>0</v>
      </c>
      <c r="K1014" s="27">
        <v>0</v>
      </c>
      <c r="L1014" s="27">
        <v>0</v>
      </c>
      <c r="M1014" s="27">
        <f>'прил.№1 доходы'!I115+'прил.№1 доходы'!I103</f>
        <v>1525.2</v>
      </c>
      <c r="N1014" s="27">
        <v>0</v>
      </c>
      <c r="O1014" s="27">
        <f t="shared" si="1033"/>
        <v>0</v>
      </c>
    </row>
    <row r="1015" spans="1:15" ht="15.75">
      <c r="A1015" s="26" t="s">
        <v>194</v>
      </c>
      <c r="B1015" s="216">
        <v>908</v>
      </c>
      <c r="C1015" s="214" t="s">
        <v>287</v>
      </c>
      <c r="D1015" s="214" t="s">
        <v>268</v>
      </c>
      <c r="E1015" s="214" t="s">
        <v>195</v>
      </c>
      <c r="F1015" s="214"/>
      <c r="G1015" s="27">
        <f>G1016+G1019</f>
        <v>455.9</v>
      </c>
      <c r="H1015" s="27">
        <f t="shared" ref="H1015:H1017" si="1070">H1016</f>
        <v>0</v>
      </c>
      <c r="I1015" s="27">
        <f t="shared" ref="I1015:L1015" si="1071">I1016+I1019</f>
        <v>200</v>
      </c>
      <c r="J1015" s="27">
        <f>J1016+J1019</f>
        <v>3812.4</v>
      </c>
      <c r="K1015" s="27">
        <f t="shared" si="1071"/>
        <v>3812.4</v>
      </c>
      <c r="L1015" s="27">
        <f t="shared" si="1071"/>
        <v>3812.4</v>
      </c>
      <c r="M1015" s="27">
        <f t="shared" ref="M1015:N1015" si="1072">M1016+M1019</f>
        <v>390</v>
      </c>
      <c r="N1015" s="27">
        <f t="shared" si="1072"/>
        <v>0</v>
      </c>
      <c r="O1015" s="27">
        <f t="shared" si="1033"/>
        <v>0</v>
      </c>
    </row>
    <row r="1016" spans="1:15" ht="15.75">
      <c r="A1016" s="26" t="s">
        <v>618</v>
      </c>
      <c r="B1016" s="216">
        <v>908</v>
      </c>
      <c r="C1016" s="214" t="s">
        <v>287</v>
      </c>
      <c r="D1016" s="214" t="s">
        <v>268</v>
      </c>
      <c r="E1016" s="214" t="s">
        <v>619</v>
      </c>
      <c r="F1016" s="214"/>
      <c r="G1016" s="27">
        <f>G1017</f>
        <v>455.9</v>
      </c>
      <c r="H1016" s="27">
        <f t="shared" si="1070"/>
        <v>0</v>
      </c>
      <c r="I1016" s="27">
        <f t="shared" ref="I1016:L1017" si="1073">I1017</f>
        <v>200</v>
      </c>
      <c r="J1016" s="27">
        <f t="shared" si="1073"/>
        <v>462.1</v>
      </c>
      <c r="K1016" s="27">
        <f t="shared" si="1073"/>
        <v>462.1</v>
      </c>
      <c r="L1016" s="27">
        <f t="shared" si="1073"/>
        <v>462.1</v>
      </c>
      <c r="M1016" s="27">
        <f t="shared" ref="M1016:N1017" si="1074">M1017</f>
        <v>390</v>
      </c>
      <c r="N1016" s="27">
        <f t="shared" si="1074"/>
        <v>0</v>
      </c>
      <c r="O1016" s="27">
        <f t="shared" si="1033"/>
        <v>0</v>
      </c>
    </row>
    <row r="1017" spans="1:15" ht="31.5">
      <c r="A1017" s="26" t="s">
        <v>184</v>
      </c>
      <c r="B1017" s="216">
        <v>908</v>
      </c>
      <c r="C1017" s="214" t="s">
        <v>287</v>
      </c>
      <c r="D1017" s="214" t="s">
        <v>268</v>
      </c>
      <c r="E1017" s="214" t="s">
        <v>619</v>
      </c>
      <c r="F1017" s="214" t="s">
        <v>185</v>
      </c>
      <c r="G1017" s="27">
        <f>G1018</f>
        <v>455.9</v>
      </c>
      <c r="H1017" s="27">
        <f t="shared" si="1070"/>
        <v>0</v>
      </c>
      <c r="I1017" s="27">
        <f t="shared" si="1073"/>
        <v>200</v>
      </c>
      <c r="J1017" s="27">
        <f t="shared" si="1073"/>
        <v>462.1</v>
      </c>
      <c r="K1017" s="27">
        <f t="shared" si="1073"/>
        <v>462.1</v>
      </c>
      <c r="L1017" s="27">
        <f t="shared" si="1073"/>
        <v>462.1</v>
      </c>
      <c r="M1017" s="27">
        <f t="shared" si="1074"/>
        <v>390</v>
      </c>
      <c r="N1017" s="27">
        <f t="shared" si="1074"/>
        <v>0</v>
      </c>
      <c r="O1017" s="27">
        <f t="shared" si="1033"/>
        <v>0</v>
      </c>
    </row>
    <row r="1018" spans="1:15" ht="47.25">
      <c r="A1018" s="26" t="s">
        <v>186</v>
      </c>
      <c r="B1018" s="216">
        <v>908</v>
      </c>
      <c r="C1018" s="214" t="s">
        <v>287</v>
      </c>
      <c r="D1018" s="214" t="s">
        <v>268</v>
      </c>
      <c r="E1018" s="214" t="s">
        <v>619</v>
      </c>
      <c r="F1018" s="214" t="s">
        <v>187</v>
      </c>
      <c r="G1018" s="28">
        <v>455.9</v>
      </c>
      <c r="H1018" s="28">
        <v>0</v>
      </c>
      <c r="I1018" s="28">
        <v>200</v>
      </c>
      <c r="J1018" s="28">
        <v>462.1</v>
      </c>
      <c r="K1018" s="28">
        <v>462.1</v>
      </c>
      <c r="L1018" s="28">
        <v>462.1</v>
      </c>
      <c r="M1018" s="28">
        <v>390</v>
      </c>
      <c r="N1018" s="28">
        <v>0</v>
      </c>
      <c r="O1018" s="27">
        <f t="shared" si="1033"/>
        <v>0</v>
      </c>
    </row>
    <row r="1019" spans="1:15" ht="15.75" hidden="1" customHeight="1">
      <c r="A1019" s="26" t="s">
        <v>620</v>
      </c>
      <c r="B1019" s="216">
        <v>908</v>
      </c>
      <c r="C1019" s="214" t="s">
        <v>287</v>
      </c>
      <c r="D1019" s="214" t="s">
        <v>268</v>
      </c>
      <c r="E1019" s="214" t="s">
        <v>621</v>
      </c>
      <c r="F1019" s="214"/>
      <c r="G1019" s="28">
        <f t="shared" ref="G1019:L1020" si="1075">G1020</f>
        <v>0</v>
      </c>
      <c r="H1019" s="28">
        <v>0</v>
      </c>
      <c r="I1019" s="28">
        <f t="shared" si="1075"/>
        <v>0</v>
      </c>
      <c r="J1019" s="28">
        <f t="shared" si="1075"/>
        <v>3350.3</v>
      </c>
      <c r="K1019" s="28">
        <f t="shared" si="1075"/>
        <v>3350.3</v>
      </c>
      <c r="L1019" s="28">
        <f t="shared" si="1075"/>
        <v>3350.3</v>
      </c>
      <c r="M1019" s="28">
        <f t="shared" ref="M1019:N1020" si="1076">M1020</f>
        <v>0</v>
      </c>
      <c r="N1019" s="28">
        <f t="shared" si="1076"/>
        <v>0</v>
      </c>
      <c r="O1019" s="22" t="e">
        <f t="shared" si="1033"/>
        <v>#DIV/0!</v>
      </c>
    </row>
    <row r="1020" spans="1:15" ht="15.75" hidden="1" customHeight="1">
      <c r="A1020" s="26" t="s">
        <v>188</v>
      </c>
      <c r="B1020" s="216">
        <v>908</v>
      </c>
      <c r="C1020" s="214" t="s">
        <v>287</v>
      </c>
      <c r="D1020" s="214" t="s">
        <v>268</v>
      </c>
      <c r="E1020" s="214" t="s">
        <v>621</v>
      </c>
      <c r="F1020" s="214" t="s">
        <v>198</v>
      </c>
      <c r="G1020" s="28">
        <f t="shared" si="1075"/>
        <v>0</v>
      </c>
      <c r="H1020" s="28">
        <v>0</v>
      </c>
      <c r="I1020" s="28">
        <f t="shared" si="1075"/>
        <v>0</v>
      </c>
      <c r="J1020" s="28">
        <f t="shared" si="1075"/>
        <v>3350.3</v>
      </c>
      <c r="K1020" s="28">
        <f t="shared" si="1075"/>
        <v>3350.3</v>
      </c>
      <c r="L1020" s="28">
        <f t="shared" si="1075"/>
        <v>3350.3</v>
      </c>
      <c r="M1020" s="28">
        <f t="shared" si="1076"/>
        <v>0</v>
      </c>
      <c r="N1020" s="28">
        <f t="shared" si="1076"/>
        <v>0</v>
      </c>
      <c r="O1020" s="22" t="e">
        <f t="shared" si="1033"/>
        <v>#DIV/0!</v>
      </c>
    </row>
    <row r="1021" spans="1:15" ht="15.75" hidden="1" customHeight="1">
      <c r="A1021" s="26" t="s">
        <v>622</v>
      </c>
      <c r="B1021" s="216">
        <v>908</v>
      </c>
      <c r="C1021" s="214" t="s">
        <v>287</v>
      </c>
      <c r="D1021" s="214" t="s">
        <v>268</v>
      </c>
      <c r="E1021" s="214" t="s">
        <v>621</v>
      </c>
      <c r="F1021" s="214" t="s">
        <v>191</v>
      </c>
      <c r="G1021" s="28">
        <v>0</v>
      </c>
      <c r="H1021" s="28">
        <v>0</v>
      </c>
      <c r="I1021" s="28">
        <v>0</v>
      </c>
      <c r="J1021" s="28">
        <v>3350.3</v>
      </c>
      <c r="K1021" s="28">
        <v>3350.3</v>
      </c>
      <c r="L1021" s="28">
        <v>3350.3</v>
      </c>
      <c r="M1021" s="28">
        <v>0</v>
      </c>
      <c r="N1021" s="28">
        <v>0</v>
      </c>
      <c r="O1021" s="22" t="e">
        <f t="shared" si="1033"/>
        <v>#DIV/0!</v>
      </c>
    </row>
    <row r="1022" spans="1:15" ht="31.5">
      <c r="A1022" s="24" t="s">
        <v>623</v>
      </c>
      <c r="B1022" s="213">
        <v>908</v>
      </c>
      <c r="C1022" s="215" t="s">
        <v>287</v>
      </c>
      <c r="D1022" s="215" t="s">
        <v>287</v>
      </c>
      <c r="E1022" s="215"/>
      <c r="F1022" s="215"/>
      <c r="G1022" s="22">
        <f>G1023</f>
        <v>21124.699999999997</v>
      </c>
      <c r="H1022" s="22">
        <f t="shared" ref="H1022:L1022" si="1077">H1023</f>
        <v>15751.599999999999</v>
      </c>
      <c r="I1022" s="22">
        <f t="shared" si="1077"/>
        <v>21588.805882352943</v>
      </c>
      <c r="J1022" s="22">
        <f t="shared" si="1077"/>
        <v>24391.9</v>
      </c>
      <c r="K1022" s="22">
        <f t="shared" si="1077"/>
        <v>24520.199999999997</v>
      </c>
      <c r="L1022" s="22">
        <f t="shared" si="1077"/>
        <v>24626.1</v>
      </c>
      <c r="M1022" s="22">
        <f t="shared" ref="M1022:N1022" si="1078">M1023</f>
        <v>20501</v>
      </c>
      <c r="N1022" s="22">
        <f t="shared" si="1078"/>
        <v>3981.7000000000003</v>
      </c>
      <c r="O1022" s="22">
        <f t="shared" si="1033"/>
        <v>19.421979415638262</v>
      </c>
    </row>
    <row r="1023" spans="1:15" ht="15.75">
      <c r="A1023" s="26" t="s">
        <v>174</v>
      </c>
      <c r="B1023" s="216">
        <v>908</v>
      </c>
      <c r="C1023" s="214" t="s">
        <v>287</v>
      </c>
      <c r="D1023" s="214" t="s">
        <v>287</v>
      </c>
      <c r="E1023" s="214" t="s">
        <v>175</v>
      </c>
      <c r="F1023" s="214"/>
      <c r="G1023" s="27">
        <f>G1024+G1032</f>
        <v>21124.699999999997</v>
      </c>
      <c r="H1023" s="27">
        <f>H1024+H1032</f>
        <v>15751.599999999999</v>
      </c>
      <c r="I1023" s="27">
        <f t="shared" ref="I1023:L1023" si="1079">I1024+I1032</f>
        <v>21588.805882352943</v>
      </c>
      <c r="J1023" s="27">
        <f>J1024+J1032</f>
        <v>24391.9</v>
      </c>
      <c r="K1023" s="27">
        <f t="shared" si="1079"/>
        <v>24520.199999999997</v>
      </c>
      <c r="L1023" s="27">
        <f t="shared" si="1079"/>
        <v>24626.1</v>
      </c>
      <c r="M1023" s="27">
        <f t="shared" ref="M1023:N1023" si="1080">M1024+M1032</f>
        <v>20501</v>
      </c>
      <c r="N1023" s="27">
        <f t="shared" si="1080"/>
        <v>3981.7000000000003</v>
      </c>
      <c r="O1023" s="27">
        <f t="shared" si="1033"/>
        <v>19.421979415638262</v>
      </c>
    </row>
    <row r="1024" spans="1:15" ht="31.5">
      <c r="A1024" s="26" t="s">
        <v>176</v>
      </c>
      <c r="B1024" s="216">
        <v>908</v>
      </c>
      <c r="C1024" s="214" t="s">
        <v>287</v>
      </c>
      <c r="D1024" s="214" t="s">
        <v>287</v>
      </c>
      <c r="E1024" s="214" t="s">
        <v>177</v>
      </c>
      <c r="F1024" s="214"/>
      <c r="G1024" s="27">
        <f>G1025</f>
        <v>12441.3</v>
      </c>
      <c r="H1024" s="27">
        <f>H1025</f>
        <v>9088.5</v>
      </c>
      <c r="I1024" s="27">
        <f t="shared" ref="I1024:L1024" si="1081">I1025</f>
        <v>12947.405882352941</v>
      </c>
      <c r="J1024" s="27">
        <f>J1025</f>
        <v>15665.4</v>
      </c>
      <c r="K1024" s="27">
        <f t="shared" si="1081"/>
        <v>15665.4</v>
      </c>
      <c r="L1024" s="27">
        <f t="shared" si="1081"/>
        <v>15665.4</v>
      </c>
      <c r="M1024" s="27">
        <f t="shared" ref="M1024:N1024" si="1082">M1025</f>
        <v>12714.1</v>
      </c>
      <c r="N1024" s="27">
        <f t="shared" si="1082"/>
        <v>2608.8000000000002</v>
      </c>
      <c r="O1024" s="27">
        <f t="shared" si="1033"/>
        <v>20.518951400413716</v>
      </c>
    </row>
    <row r="1025" spans="1:15" ht="47.25">
      <c r="A1025" s="26" t="s">
        <v>178</v>
      </c>
      <c r="B1025" s="216">
        <v>908</v>
      </c>
      <c r="C1025" s="214" t="s">
        <v>287</v>
      </c>
      <c r="D1025" s="214" t="s">
        <v>287</v>
      </c>
      <c r="E1025" s="214" t="s">
        <v>179</v>
      </c>
      <c r="F1025" s="214"/>
      <c r="G1025" s="27">
        <f>G1026+G1030+G1028</f>
        <v>12441.3</v>
      </c>
      <c r="H1025" s="27">
        <f>H1026+H1030+H1028</f>
        <v>9088.5</v>
      </c>
      <c r="I1025" s="27">
        <f t="shared" ref="I1025:L1025" si="1083">I1026+I1030+I1028</f>
        <v>12947.405882352941</v>
      </c>
      <c r="J1025" s="27">
        <f>J1026+J1030+J1028</f>
        <v>15665.4</v>
      </c>
      <c r="K1025" s="27">
        <f t="shared" si="1083"/>
        <v>15665.4</v>
      </c>
      <c r="L1025" s="27">
        <f t="shared" si="1083"/>
        <v>15665.4</v>
      </c>
      <c r="M1025" s="27">
        <f t="shared" ref="M1025:N1025" si="1084">M1026+M1030+M1028</f>
        <v>12714.1</v>
      </c>
      <c r="N1025" s="27">
        <f t="shared" si="1084"/>
        <v>2608.8000000000002</v>
      </c>
      <c r="O1025" s="27">
        <f t="shared" si="1033"/>
        <v>20.518951400413716</v>
      </c>
    </row>
    <row r="1026" spans="1:15" ht="94.5">
      <c r="A1026" s="26" t="s">
        <v>180</v>
      </c>
      <c r="B1026" s="216">
        <v>908</v>
      </c>
      <c r="C1026" s="214" t="s">
        <v>287</v>
      </c>
      <c r="D1026" s="214" t="s">
        <v>287</v>
      </c>
      <c r="E1026" s="214" t="s">
        <v>179</v>
      </c>
      <c r="F1026" s="214" t="s">
        <v>181</v>
      </c>
      <c r="G1026" s="27">
        <f>G1027</f>
        <v>12267.4</v>
      </c>
      <c r="H1026" s="27">
        <f>H1027</f>
        <v>9047.9</v>
      </c>
      <c r="I1026" s="27">
        <f t="shared" ref="I1026:L1026" si="1085">I1027</f>
        <v>12773.505882352942</v>
      </c>
      <c r="J1026" s="27">
        <f t="shared" si="1085"/>
        <v>15284</v>
      </c>
      <c r="K1026" s="27">
        <f t="shared" si="1085"/>
        <v>15284</v>
      </c>
      <c r="L1026" s="27">
        <f t="shared" si="1085"/>
        <v>15284</v>
      </c>
      <c r="M1026" s="27">
        <f t="shared" ref="M1026:N1026" si="1086">M1027</f>
        <v>12500.4</v>
      </c>
      <c r="N1026" s="27">
        <f t="shared" si="1086"/>
        <v>2605</v>
      </c>
      <c r="O1026" s="27">
        <f t="shared" si="1033"/>
        <v>20.839333141339477</v>
      </c>
    </row>
    <row r="1027" spans="1:15" ht="31.5">
      <c r="A1027" s="26" t="s">
        <v>182</v>
      </c>
      <c r="B1027" s="216">
        <v>908</v>
      </c>
      <c r="C1027" s="214" t="s">
        <v>287</v>
      </c>
      <c r="D1027" s="214" t="s">
        <v>287</v>
      </c>
      <c r="E1027" s="214" t="s">
        <v>179</v>
      </c>
      <c r="F1027" s="214" t="s">
        <v>183</v>
      </c>
      <c r="G1027" s="28">
        <v>12267.4</v>
      </c>
      <c r="H1027" s="28">
        <v>9047.9</v>
      </c>
      <c r="I1027" s="28">
        <f>H1027/8.5*12</f>
        <v>12773.505882352942</v>
      </c>
      <c r="J1027" s="28">
        <v>15284</v>
      </c>
      <c r="K1027" s="28">
        <v>15284</v>
      </c>
      <c r="L1027" s="28">
        <v>15284</v>
      </c>
      <c r="M1027" s="28">
        <v>12500.4</v>
      </c>
      <c r="N1027" s="28">
        <v>2605</v>
      </c>
      <c r="O1027" s="27">
        <f t="shared" si="1033"/>
        <v>20.839333141339477</v>
      </c>
    </row>
    <row r="1028" spans="1:15" ht="31.5">
      <c r="A1028" s="26" t="s">
        <v>184</v>
      </c>
      <c r="B1028" s="216">
        <v>908</v>
      </c>
      <c r="C1028" s="214" t="s">
        <v>287</v>
      </c>
      <c r="D1028" s="214" t="s">
        <v>287</v>
      </c>
      <c r="E1028" s="214" t="s">
        <v>179</v>
      </c>
      <c r="F1028" s="214" t="s">
        <v>185</v>
      </c>
      <c r="G1028" s="27">
        <f t="shared" ref="G1028:L1028" si="1087">G1029</f>
        <v>25</v>
      </c>
      <c r="H1028" s="27">
        <f t="shared" si="1087"/>
        <v>25</v>
      </c>
      <c r="I1028" s="27">
        <f t="shared" si="1087"/>
        <v>25</v>
      </c>
      <c r="J1028" s="27">
        <f t="shared" si="1087"/>
        <v>232.49999999999997</v>
      </c>
      <c r="K1028" s="27">
        <f t="shared" si="1087"/>
        <v>232.49999999999997</v>
      </c>
      <c r="L1028" s="27">
        <f t="shared" si="1087"/>
        <v>232.49999999999997</v>
      </c>
      <c r="M1028" s="27">
        <f t="shared" ref="M1028:N1028" si="1088">M1029</f>
        <v>25</v>
      </c>
      <c r="N1028" s="27">
        <f t="shared" si="1088"/>
        <v>0</v>
      </c>
      <c r="O1028" s="27">
        <f t="shared" si="1033"/>
        <v>0</v>
      </c>
    </row>
    <row r="1029" spans="1:15" ht="47.25">
      <c r="A1029" s="26" t="s">
        <v>186</v>
      </c>
      <c r="B1029" s="216">
        <v>908</v>
      </c>
      <c r="C1029" s="214" t="s">
        <v>287</v>
      </c>
      <c r="D1029" s="214" t="s">
        <v>287</v>
      </c>
      <c r="E1029" s="214" t="s">
        <v>179</v>
      </c>
      <c r="F1029" s="214" t="s">
        <v>187</v>
      </c>
      <c r="G1029" s="28">
        <v>25</v>
      </c>
      <c r="H1029" s="28">
        <v>25</v>
      </c>
      <c r="I1029" s="28">
        <v>25</v>
      </c>
      <c r="J1029" s="28">
        <f>381.4-J1031</f>
        <v>232.49999999999997</v>
      </c>
      <c r="K1029" s="28">
        <f>J1029</f>
        <v>232.49999999999997</v>
      </c>
      <c r="L1029" s="28">
        <f>K1029</f>
        <v>232.49999999999997</v>
      </c>
      <c r="M1029" s="28">
        <v>25</v>
      </c>
      <c r="N1029" s="28">
        <v>0</v>
      </c>
      <c r="O1029" s="27">
        <f t="shared" si="1033"/>
        <v>0</v>
      </c>
    </row>
    <row r="1030" spans="1:15" ht="15.75">
      <c r="A1030" s="26" t="s">
        <v>188</v>
      </c>
      <c r="B1030" s="216">
        <v>908</v>
      </c>
      <c r="C1030" s="214" t="s">
        <v>287</v>
      </c>
      <c r="D1030" s="214" t="s">
        <v>287</v>
      </c>
      <c r="E1030" s="214" t="s">
        <v>179</v>
      </c>
      <c r="F1030" s="214" t="s">
        <v>198</v>
      </c>
      <c r="G1030" s="27">
        <f>G1031</f>
        <v>148.9</v>
      </c>
      <c r="H1030" s="27">
        <f>H1031</f>
        <v>15.6</v>
      </c>
      <c r="I1030" s="27">
        <f t="shared" ref="I1030:L1030" si="1089">I1031</f>
        <v>148.9</v>
      </c>
      <c r="J1030" s="27">
        <f t="shared" si="1089"/>
        <v>148.9</v>
      </c>
      <c r="K1030" s="27">
        <f t="shared" si="1089"/>
        <v>148.9</v>
      </c>
      <c r="L1030" s="27">
        <f t="shared" si="1089"/>
        <v>148.9</v>
      </c>
      <c r="M1030" s="27">
        <f t="shared" ref="M1030:N1030" si="1090">M1031</f>
        <v>188.7</v>
      </c>
      <c r="N1030" s="27">
        <f t="shared" si="1090"/>
        <v>3.8</v>
      </c>
      <c r="O1030" s="27">
        <f t="shared" si="1033"/>
        <v>2.0137784843667199</v>
      </c>
    </row>
    <row r="1031" spans="1:15" ht="15.75">
      <c r="A1031" s="26" t="s">
        <v>622</v>
      </c>
      <c r="B1031" s="216">
        <v>908</v>
      </c>
      <c r="C1031" s="214" t="s">
        <v>287</v>
      </c>
      <c r="D1031" s="214" t="s">
        <v>287</v>
      </c>
      <c r="E1031" s="214" t="s">
        <v>179</v>
      </c>
      <c r="F1031" s="214" t="s">
        <v>191</v>
      </c>
      <c r="G1031" s="27">
        <f>89+59.9</f>
        <v>148.9</v>
      </c>
      <c r="H1031" s="27">
        <v>15.6</v>
      </c>
      <c r="I1031" s="27">
        <f t="shared" ref="I1031:L1031" si="1091">89+59.9</f>
        <v>148.9</v>
      </c>
      <c r="J1031" s="27">
        <f t="shared" si="1091"/>
        <v>148.9</v>
      </c>
      <c r="K1031" s="27">
        <f t="shared" si="1091"/>
        <v>148.9</v>
      </c>
      <c r="L1031" s="27">
        <f t="shared" si="1091"/>
        <v>148.9</v>
      </c>
      <c r="M1031" s="27">
        <f>89+59.9+39.8</f>
        <v>188.7</v>
      </c>
      <c r="N1031" s="27">
        <v>3.8</v>
      </c>
      <c r="O1031" s="27">
        <f t="shared" si="1033"/>
        <v>2.0137784843667199</v>
      </c>
    </row>
    <row r="1032" spans="1:15" ht="15.75">
      <c r="A1032" s="26" t="s">
        <v>194</v>
      </c>
      <c r="B1032" s="216">
        <v>908</v>
      </c>
      <c r="C1032" s="214" t="s">
        <v>287</v>
      </c>
      <c r="D1032" s="214" t="s">
        <v>287</v>
      </c>
      <c r="E1032" s="214" t="s">
        <v>195</v>
      </c>
      <c r="F1032" s="214"/>
      <c r="G1032" s="27">
        <f>G1036+G1033</f>
        <v>8683.4</v>
      </c>
      <c r="H1032" s="27">
        <f>H1036+H1033</f>
        <v>6663.0999999999995</v>
      </c>
      <c r="I1032" s="27">
        <f t="shared" ref="I1032:L1032" si="1092">I1036+I1033</f>
        <v>8641.4</v>
      </c>
      <c r="J1032" s="27">
        <f>J1036+J1033</f>
        <v>8726.5</v>
      </c>
      <c r="K1032" s="27">
        <f t="shared" si="1092"/>
        <v>8854.7999999999993</v>
      </c>
      <c r="L1032" s="27">
        <f t="shared" si="1092"/>
        <v>8960.7000000000007</v>
      </c>
      <c r="M1032" s="27">
        <f t="shared" ref="M1032:N1032" si="1093">M1036+M1033</f>
        <v>7786.9</v>
      </c>
      <c r="N1032" s="27">
        <f t="shared" si="1093"/>
        <v>1372.9</v>
      </c>
      <c r="O1032" s="27">
        <f t="shared" si="1033"/>
        <v>17.63089290988712</v>
      </c>
    </row>
    <row r="1033" spans="1:15" ht="31.5">
      <c r="A1033" s="26" t="s">
        <v>624</v>
      </c>
      <c r="B1033" s="216">
        <v>908</v>
      </c>
      <c r="C1033" s="214" t="s">
        <v>287</v>
      </c>
      <c r="D1033" s="214" t="s">
        <v>287</v>
      </c>
      <c r="E1033" s="214" t="s">
        <v>625</v>
      </c>
      <c r="F1033" s="214"/>
      <c r="G1033" s="28">
        <f>G1034</f>
        <v>1461</v>
      </c>
      <c r="H1033" s="28">
        <f>H1034</f>
        <v>262.5</v>
      </c>
      <c r="I1033" s="28">
        <f t="shared" ref="I1033:L1034" si="1094">I1034</f>
        <v>700</v>
      </c>
      <c r="J1033" s="28">
        <f t="shared" si="1094"/>
        <v>1541</v>
      </c>
      <c r="K1033" s="28">
        <f t="shared" si="1094"/>
        <v>1541</v>
      </c>
      <c r="L1033" s="28">
        <f t="shared" si="1094"/>
        <v>1541</v>
      </c>
      <c r="M1033" s="28">
        <f t="shared" ref="M1033:N1034" si="1095">M1034</f>
        <v>982.2</v>
      </c>
      <c r="N1033" s="28">
        <f t="shared" si="1095"/>
        <v>0</v>
      </c>
      <c r="O1033" s="27">
        <f t="shared" si="1033"/>
        <v>0</v>
      </c>
    </row>
    <row r="1034" spans="1:15" ht="15.75">
      <c r="A1034" s="26" t="s">
        <v>188</v>
      </c>
      <c r="B1034" s="216">
        <v>908</v>
      </c>
      <c r="C1034" s="214" t="s">
        <v>287</v>
      </c>
      <c r="D1034" s="214" t="s">
        <v>287</v>
      </c>
      <c r="E1034" s="214" t="s">
        <v>625</v>
      </c>
      <c r="F1034" s="214" t="s">
        <v>198</v>
      </c>
      <c r="G1034" s="28">
        <f>G1035</f>
        <v>1461</v>
      </c>
      <c r="H1034" s="28">
        <f>H1035</f>
        <v>262.5</v>
      </c>
      <c r="I1034" s="28">
        <f t="shared" si="1094"/>
        <v>700</v>
      </c>
      <c r="J1034" s="28">
        <f t="shared" si="1094"/>
        <v>1541</v>
      </c>
      <c r="K1034" s="28">
        <f t="shared" si="1094"/>
        <v>1541</v>
      </c>
      <c r="L1034" s="28">
        <f t="shared" si="1094"/>
        <v>1541</v>
      </c>
      <c r="M1034" s="28">
        <f t="shared" si="1095"/>
        <v>982.2</v>
      </c>
      <c r="N1034" s="28">
        <f t="shared" si="1095"/>
        <v>0</v>
      </c>
      <c r="O1034" s="27">
        <f t="shared" si="1033"/>
        <v>0</v>
      </c>
    </row>
    <row r="1035" spans="1:15" ht="47.25" customHeight="1">
      <c r="A1035" s="26" t="s">
        <v>237</v>
      </c>
      <c r="B1035" s="216">
        <v>908</v>
      </c>
      <c r="C1035" s="214" t="s">
        <v>287</v>
      </c>
      <c r="D1035" s="214" t="s">
        <v>287</v>
      </c>
      <c r="E1035" s="214" t="s">
        <v>625</v>
      </c>
      <c r="F1035" s="214" t="s">
        <v>213</v>
      </c>
      <c r="G1035" s="28">
        <v>1461</v>
      </c>
      <c r="H1035" s="28">
        <v>262.5</v>
      </c>
      <c r="I1035" s="28">
        <v>700</v>
      </c>
      <c r="J1035" s="28">
        <f>1541</f>
        <v>1541</v>
      </c>
      <c r="K1035" s="28">
        <v>1541</v>
      </c>
      <c r="L1035" s="28">
        <v>1541</v>
      </c>
      <c r="M1035" s="28">
        <v>982.2</v>
      </c>
      <c r="N1035" s="28">
        <v>0</v>
      </c>
      <c r="O1035" s="27">
        <f t="shared" si="1033"/>
        <v>0</v>
      </c>
    </row>
    <row r="1036" spans="1:15" ht="31.5">
      <c r="A1036" s="26" t="s">
        <v>393</v>
      </c>
      <c r="B1036" s="216">
        <v>908</v>
      </c>
      <c r="C1036" s="214" t="s">
        <v>287</v>
      </c>
      <c r="D1036" s="214" t="s">
        <v>287</v>
      </c>
      <c r="E1036" s="214" t="s">
        <v>394</v>
      </c>
      <c r="F1036" s="214"/>
      <c r="G1036" s="27">
        <f>G1037+G1039</f>
        <v>7222.4</v>
      </c>
      <c r="H1036" s="27">
        <f>H1037+H1039</f>
        <v>6400.5999999999995</v>
      </c>
      <c r="I1036" s="27">
        <f t="shared" ref="I1036:L1036" si="1096">I1037+I1039</f>
        <v>7941.4</v>
      </c>
      <c r="J1036" s="27">
        <f>J1037+J1039</f>
        <v>7185.5</v>
      </c>
      <c r="K1036" s="27">
        <f t="shared" si="1096"/>
        <v>7313.7999999999993</v>
      </c>
      <c r="L1036" s="27">
        <f t="shared" si="1096"/>
        <v>7419.7</v>
      </c>
      <c r="M1036" s="27">
        <f t="shared" ref="M1036:N1036" si="1097">M1037+M1039</f>
        <v>6804.7</v>
      </c>
      <c r="N1036" s="27">
        <f t="shared" si="1097"/>
        <v>1372.9</v>
      </c>
      <c r="O1036" s="27">
        <f t="shared" si="1033"/>
        <v>20.175760871162581</v>
      </c>
    </row>
    <row r="1037" spans="1:15" ht="94.5">
      <c r="A1037" s="26" t="s">
        <v>180</v>
      </c>
      <c r="B1037" s="216">
        <v>908</v>
      </c>
      <c r="C1037" s="214" t="s">
        <v>287</v>
      </c>
      <c r="D1037" s="214" t="s">
        <v>287</v>
      </c>
      <c r="E1037" s="214" t="s">
        <v>394</v>
      </c>
      <c r="F1037" s="214" t="s">
        <v>181</v>
      </c>
      <c r="G1037" s="27">
        <f>G1038</f>
        <v>5565.9</v>
      </c>
      <c r="H1037" s="27">
        <f>H1038</f>
        <v>5406.2</v>
      </c>
      <c r="I1037" s="27">
        <f t="shared" ref="I1037:L1037" si="1098">I1038</f>
        <v>6615.5</v>
      </c>
      <c r="J1037" s="27">
        <f t="shared" si="1098"/>
        <v>4547.3</v>
      </c>
      <c r="K1037" s="27">
        <f t="shared" si="1098"/>
        <v>4592.7</v>
      </c>
      <c r="L1037" s="27">
        <f t="shared" si="1098"/>
        <v>4638.7</v>
      </c>
      <c r="M1037" s="27">
        <f t="shared" ref="M1037:N1037" si="1099">M1038</f>
        <v>4826.2</v>
      </c>
      <c r="N1037" s="27">
        <f t="shared" si="1099"/>
        <v>1051.4000000000001</v>
      </c>
      <c r="O1037" s="27">
        <f t="shared" ref="O1037:O1100" si="1100">N1037/M1037*100</f>
        <v>21.785255480502261</v>
      </c>
    </row>
    <row r="1038" spans="1:15" ht="31.5">
      <c r="A1038" s="26" t="s">
        <v>395</v>
      </c>
      <c r="B1038" s="216">
        <v>908</v>
      </c>
      <c r="C1038" s="214" t="s">
        <v>287</v>
      </c>
      <c r="D1038" s="214" t="s">
        <v>287</v>
      </c>
      <c r="E1038" s="214" t="s">
        <v>394</v>
      </c>
      <c r="F1038" s="214" t="s">
        <v>262</v>
      </c>
      <c r="G1038" s="28">
        <v>5565.9</v>
      </c>
      <c r="H1038" s="28">
        <v>5406.2</v>
      </c>
      <c r="I1038" s="28">
        <v>6615.5</v>
      </c>
      <c r="J1038" s="28">
        <v>4547.3</v>
      </c>
      <c r="K1038" s="28">
        <v>4592.7</v>
      </c>
      <c r="L1038" s="28">
        <v>4638.7</v>
      </c>
      <c r="M1038" s="28">
        <v>4826.2</v>
      </c>
      <c r="N1038" s="28">
        <v>1051.4000000000001</v>
      </c>
      <c r="O1038" s="27">
        <f t="shared" si="1100"/>
        <v>21.785255480502261</v>
      </c>
    </row>
    <row r="1039" spans="1:15" ht="31.5">
      <c r="A1039" s="26" t="s">
        <v>184</v>
      </c>
      <c r="B1039" s="216">
        <v>908</v>
      </c>
      <c r="C1039" s="214" t="s">
        <v>287</v>
      </c>
      <c r="D1039" s="214" t="s">
        <v>287</v>
      </c>
      <c r="E1039" s="214" t="s">
        <v>394</v>
      </c>
      <c r="F1039" s="214" t="s">
        <v>185</v>
      </c>
      <c r="G1039" s="27">
        <f>G1040</f>
        <v>1656.5</v>
      </c>
      <c r="H1039" s="27">
        <f>H1040</f>
        <v>994.4</v>
      </c>
      <c r="I1039" s="27">
        <f t="shared" ref="I1039:L1039" si="1101">I1040</f>
        <v>1325.9</v>
      </c>
      <c r="J1039" s="27">
        <f t="shared" si="1101"/>
        <v>2638.2</v>
      </c>
      <c r="K1039" s="27">
        <f t="shared" si="1101"/>
        <v>2721.1</v>
      </c>
      <c r="L1039" s="27">
        <f t="shared" si="1101"/>
        <v>2781</v>
      </c>
      <c r="M1039" s="27">
        <f t="shared" ref="M1039:N1039" si="1102">M1040</f>
        <v>1978.5</v>
      </c>
      <c r="N1039" s="27">
        <f t="shared" si="1102"/>
        <v>321.5</v>
      </c>
      <c r="O1039" s="27">
        <f t="shared" si="1100"/>
        <v>16.249684104119282</v>
      </c>
    </row>
    <row r="1040" spans="1:15" ht="47.25">
      <c r="A1040" s="26" t="s">
        <v>186</v>
      </c>
      <c r="B1040" s="216">
        <v>908</v>
      </c>
      <c r="C1040" s="214" t="s">
        <v>287</v>
      </c>
      <c r="D1040" s="214" t="s">
        <v>287</v>
      </c>
      <c r="E1040" s="214" t="s">
        <v>394</v>
      </c>
      <c r="F1040" s="214" t="s">
        <v>187</v>
      </c>
      <c r="G1040" s="28">
        <f>1341.9+928.5-198.8-595.1+180</f>
        <v>1656.5</v>
      </c>
      <c r="H1040" s="28">
        <v>994.4</v>
      </c>
      <c r="I1040" s="28">
        <v>1325.9</v>
      </c>
      <c r="J1040" s="28">
        <v>2638.2</v>
      </c>
      <c r="K1040" s="28">
        <v>2721.1</v>
      </c>
      <c r="L1040" s="28">
        <v>2781</v>
      </c>
      <c r="M1040" s="28">
        <v>1978.5</v>
      </c>
      <c r="N1040" s="28">
        <v>321.5</v>
      </c>
      <c r="O1040" s="27">
        <f t="shared" si="1100"/>
        <v>16.249684104119282</v>
      </c>
    </row>
    <row r="1041" spans="1:15" ht="15.75">
      <c r="A1041" s="24" t="s">
        <v>296</v>
      </c>
      <c r="B1041" s="213">
        <v>908</v>
      </c>
      <c r="C1041" s="215" t="s">
        <v>297</v>
      </c>
      <c r="D1041" s="215"/>
      <c r="E1041" s="215"/>
      <c r="F1041" s="215"/>
      <c r="G1041" s="22">
        <f t="shared" ref="G1041:L1046" si="1103">G1042</f>
        <v>87.1</v>
      </c>
      <c r="H1041" s="22">
        <f t="shared" si="1103"/>
        <v>0</v>
      </c>
      <c r="I1041" s="22">
        <f t="shared" si="1103"/>
        <v>87.1</v>
      </c>
      <c r="J1041" s="22">
        <f t="shared" si="1103"/>
        <v>107.8</v>
      </c>
      <c r="K1041" s="22">
        <f t="shared" si="1103"/>
        <v>107.8</v>
      </c>
      <c r="L1041" s="22">
        <f t="shared" si="1103"/>
        <v>107.8</v>
      </c>
      <c r="M1041" s="22">
        <f t="shared" ref="M1041:N1046" si="1104">M1042</f>
        <v>87.1</v>
      </c>
      <c r="N1041" s="22">
        <f t="shared" si="1104"/>
        <v>36.1</v>
      </c>
      <c r="O1041" s="22">
        <f t="shared" si="1100"/>
        <v>41.446613088404135</v>
      </c>
    </row>
    <row r="1042" spans="1:15" ht="31.5">
      <c r="A1042" s="24" t="s">
        <v>311</v>
      </c>
      <c r="B1042" s="213">
        <v>908</v>
      </c>
      <c r="C1042" s="215" t="s">
        <v>297</v>
      </c>
      <c r="D1042" s="215" t="s">
        <v>173</v>
      </c>
      <c r="E1042" s="215"/>
      <c r="F1042" s="215"/>
      <c r="G1042" s="22">
        <f t="shared" si="1103"/>
        <v>87.1</v>
      </c>
      <c r="H1042" s="22">
        <f t="shared" si="1103"/>
        <v>0</v>
      </c>
      <c r="I1042" s="22">
        <f t="shared" si="1103"/>
        <v>87.1</v>
      </c>
      <c r="J1042" s="22">
        <f t="shared" si="1103"/>
        <v>107.8</v>
      </c>
      <c r="K1042" s="22">
        <f t="shared" si="1103"/>
        <v>107.8</v>
      </c>
      <c r="L1042" s="22">
        <f t="shared" si="1103"/>
        <v>107.8</v>
      </c>
      <c r="M1042" s="22">
        <f t="shared" si="1104"/>
        <v>87.1</v>
      </c>
      <c r="N1042" s="22">
        <f t="shared" si="1104"/>
        <v>36.1</v>
      </c>
      <c r="O1042" s="22">
        <f t="shared" si="1100"/>
        <v>41.446613088404135</v>
      </c>
    </row>
    <row r="1043" spans="1:15" ht="15.75">
      <c r="A1043" s="26" t="s">
        <v>174</v>
      </c>
      <c r="B1043" s="216">
        <v>908</v>
      </c>
      <c r="C1043" s="214" t="s">
        <v>297</v>
      </c>
      <c r="D1043" s="214" t="s">
        <v>173</v>
      </c>
      <c r="E1043" s="214" t="s">
        <v>175</v>
      </c>
      <c r="F1043" s="214"/>
      <c r="G1043" s="22">
        <f t="shared" si="1103"/>
        <v>87.1</v>
      </c>
      <c r="H1043" s="22">
        <f t="shared" si="1103"/>
        <v>0</v>
      </c>
      <c r="I1043" s="22">
        <f t="shared" si="1103"/>
        <v>87.1</v>
      </c>
      <c r="J1043" s="22">
        <f t="shared" si="1103"/>
        <v>107.8</v>
      </c>
      <c r="K1043" s="22">
        <f t="shared" si="1103"/>
        <v>107.8</v>
      </c>
      <c r="L1043" s="22">
        <f t="shared" si="1103"/>
        <v>107.8</v>
      </c>
      <c r="M1043" s="22">
        <f t="shared" si="1104"/>
        <v>87.1</v>
      </c>
      <c r="N1043" s="22">
        <f t="shared" si="1104"/>
        <v>36.1</v>
      </c>
      <c r="O1043" s="22">
        <f t="shared" si="1100"/>
        <v>41.446613088404135</v>
      </c>
    </row>
    <row r="1044" spans="1:15" ht="15.75">
      <c r="A1044" s="26" t="s">
        <v>194</v>
      </c>
      <c r="B1044" s="216">
        <v>908</v>
      </c>
      <c r="C1044" s="214" t="s">
        <v>297</v>
      </c>
      <c r="D1044" s="214" t="s">
        <v>173</v>
      </c>
      <c r="E1044" s="214" t="s">
        <v>195</v>
      </c>
      <c r="F1044" s="214"/>
      <c r="G1044" s="27">
        <f t="shared" si="1103"/>
        <v>87.1</v>
      </c>
      <c r="H1044" s="27">
        <f t="shared" si="1103"/>
        <v>0</v>
      </c>
      <c r="I1044" s="27">
        <f t="shared" si="1103"/>
        <v>87.1</v>
      </c>
      <c r="J1044" s="27">
        <f t="shared" si="1103"/>
        <v>107.8</v>
      </c>
      <c r="K1044" s="27">
        <f t="shared" si="1103"/>
        <v>107.8</v>
      </c>
      <c r="L1044" s="27">
        <f t="shared" si="1103"/>
        <v>107.8</v>
      </c>
      <c r="M1044" s="27">
        <f t="shared" si="1104"/>
        <v>87.1</v>
      </c>
      <c r="N1044" s="27">
        <f t="shared" si="1104"/>
        <v>36.1</v>
      </c>
      <c r="O1044" s="27">
        <f t="shared" si="1100"/>
        <v>41.446613088404135</v>
      </c>
    </row>
    <row r="1045" spans="1:15" ht="15.75">
      <c r="A1045" s="26" t="s">
        <v>626</v>
      </c>
      <c r="B1045" s="216">
        <v>908</v>
      </c>
      <c r="C1045" s="214" t="s">
        <v>297</v>
      </c>
      <c r="D1045" s="214" t="s">
        <v>173</v>
      </c>
      <c r="E1045" s="214" t="s">
        <v>627</v>
      </c>
      <c r="F1045" s="214"/>
      <c r="G1045" s="27">
        <f t="shared" si="1103"/>
        <v>87.1</v>
      </c>
      <c r="H1045" s="27">
        <f t="shared" si="1103"/>
        <v>0</v>
      </c>
      <c r="I1045" s="27">
        <f t="shared" si="1103"/>
        <v>87.1</v>
      </c>
      <c r="J1045" s="27">
        <f t="shared" si="1103"/>
        <v>107.8</v>
      </c>
      <c r="K1045" s="27">
        <f t="shared" si="1103"/>
        <v>107.8</v>
      </c>
      <c r="L1045" s="27">
        <f t="shared" si="1103"/>
        <v>107.8</v>
      </c>
      <c r="M1045" s="27">
        <f t="shared" si="1104"/>
        <v>87.1</v>
      </c>
      <c r="N1045" s="27">
        <f t="shared" si="1104"/>
        <v>36.1</v>
      </c>
      <c r="O1045" s="27">
        <f t="shared" si="1100"/>
        <v>41.446613088404135</v>
      </c>
    </row>
    <row r="1046" spans="1:15" ht="15.75">
      <c r="A1046" s="26" t="s">
        <v>188</v>
      </c>
      <c r="B1046" s="216">
        <v>908</v>
      </c>
      <c r="C1046" s="214" t="s">
        <v>297</v>
      </c>
      <c r="D1046" s="214" t="s">
        <v>173</v>
      </c>
      <c r="E1046" s="214" t="s">
        <v>627</v>
      </c>
      <c r="F1046" s="214" t="s">
        <v>198</v>
      </c>
      <c r="G1046" s="27">
        <f t="shared" si="1103"/>
        <v>87.1</v>
      </c>
      <c r="H1046" s="27">
        <f t="shared" si="1103"/>
        <v>0</v>
      </c>
      <c r="I1046" s="27">
        <f t="shared" si="1103"/>
        <v>87.1</v>
      </c>
      <c r="J1046" s="27">
        <f t="shared" si="1103"/>
        <v>107.8</v>
      </c>
      <c r="K1046" s="27">
        <f t="shared" si="1103"/>
        <v>107.8</v>
      </c>
      <c r="L1046" s="27">
        <f t="shared" si="1103"/>
        <v>107.8</v>
      </c>
      <c r="M1046" s="27">
        <f t="shared" si="1104"/>
        <v>87.1</v>
      </c>
      <c r="N1046" s="27">
        <f t="shared" si="1104"/>
        <v>36.1</v>
      </c>
      <c r="O1046" s="27">
        <f t="shared" si="1100"/>
        <v>41.446613088404135</v>
      </c>
    </row>
    <row r="1047" spans="1:15" ht="54.75" customHeight="1">
      <c r="A1047" s="26" t="s">
        <v>237</v>
      </c>
      <c r="B1047" s="216">
        <v>908</v>
      </c>
      <c r="C1047" s="214" t="s">
        <v>297</v>
      </c>
      <c r="D1047" s="214" t="s">
        <v>173</v>
      </c>
      <c r="E1047" s="214" t="s">
        <v>627</v>
      </c>
      <c r="F1047" s="214" t="s">
        <v>213</v>
      </c>
      <c r="G1047" s="27">
        <v>87.1</v>
      </c>
      <c r="H1047" s="27">
        <v>0</v>
      </c>
      <c r="I1047" s="27">
        <v>87.1</v>
      </c>
      <c r="J1047" s="27">
        <v>107.8</v>
      </c>
      <c r="K1047" s="27">
        <v>107.8</v>
      </c>
      <c r="L1047" s="27">
        <v>107.8</v>
      </c>
      <c r="M1047" s="27">
        <v>87.1</v>
      </c>
      <c r="N1047" s="27">
        <v>36.1</v>
      </c>
      <c r="O1047" s="27">
        <f t="shared" si="1100"/>
        <v>41.446613088404135</v>
      </c>
    </row>
    <row r="1048" spans="1:15" ht="31.5">
      <c r="A1048" s="20" t="s">
        <v>628</v>
      </c>
      <c r="B1048" s="213">
        <v>910</v>
      </c>
      <c r="C1048" s="224"/>
      <c r="D1048" s="224"/>
      <c r="E1048" s="224"/>
      <c r="F1048" s="224"/>
      <c r="G1048" s="22">
        <f>G1049</f>
        <v>7042.5</v>
      </c>
      <c r="H1048" s="22">
        <f t="shared" ref="H1048:L1048" si="1105">H1049</f>
        <v>5729.2</v>
      </c>
      <c r="I1048" s="22">
        <f t="shared" si="1105"/>
        <v>7830.5</v>
      </c>
      <c r="J1048" s="22">
        <f t="shared" si="1105"/>
        <v>8460</v>
      </c>
      <c r="K1048" s="22">
        <f t="shared" si="1105"/>
        <v>8460</v>
      </c>
      <c r="L1048" s="22">
        <f t="shared" si="1105"/>
        <v>8460</v>
      </c>
      <c r="M1048" s="22">
        <f t="shared" ref="M1048:N1048" si="1106">M1049</f>
        <v>7014.5</v>
      </c>
      <c r="N1048" s="22">
        <f t="shared" si="1106"/>
        <v>1510</v>
      </c>
      <c r="O1048" s="22">
        <f t="shared" si="1100"/>
        <v>21.526837265663982</v>
      </c>
    </row>
    <row r="1049" spans="1:15" ht="15.75">
      <c r="A1049" s="24" t="s">
        <v>170</v>
      </c>
      <c r="B1049" s="213">
        <v>910</v>
      </c>
      <c r="C1049" s="215" t="s">
        <v>171</v>
      </c>
      <c r="D1049" s="215"/>
      <c r="E1049" s="215"/>
      <c r="F1049" s="215"/>
      <c r="G1049" s="22">
        <f>G1050+G1058+G1068+G1076</f>
        <v>7042.5</v>
      </c>
      <c r="H1049" s="22">
        <f>H1050+H1058+H1068+H1076</f>
        <v>5729.2</v>
      </c>
      <c r="I1049" s="22">
        <f t="shared" ref="I1049:L1049" si="1107">I1050+I1058+I1068+I1076</f>
        <v>7830.5</v>
      </c>
      <c r="J1049" s="22">
        <f t="shared" si="1107"/>
        <v>8460</v>
      </c>
      <c r="K1049" s="22">
        <f t="shared" si="1107"/>
        <v>8460</v>
      </c>
      <c r="L1049" s="22">
        <f t="shared" si="1107"/>
        <v>8460</v>
      </c>
      <c r="M1049" s="22">
        <f t="shared" ref="M1049:N1049" si="1108">M1050+M1058+M1068+M1076</f>
        <v>7014.5</v>
      </c>
      <c r="N1049" s="22">
        <f t="shared" si="1108"/>
        <v>1510</v>
      </c>
      <c r="O1049" s="22">
        <f t="shared" si="1100"/>
        <v>21.526837265663982</v>
      </c>
    </row>
    <row r="1050" spans="1:15" ht="47.25">
      <c r="A1050" s="24" t="s">
        <v>629</v>
      </c>
      <c r="B1050" s="213">
        <v>910</v>
      </c>
      <c r="C1050" s="215" t="s">
        <v>171</v>
      </c>
      <c r="D1050" s="215" t="s">
        <v>266</v>
      </c>
      <c r="E1050" s="215"/>
      <c r="F1050" s="215"/>
      <c r="G1050" s="22">
        <f>G1051</f>
        <v>4133.6000000000004</v>
      </c>
      <c r="H1050" s="22">
        <f>H1051</f>
        <v>3195</v>
      </c>
      <c r="I1050" s="22">
        <f t="shared" ref="I1050:L1050" si="1109">I1051</f>
        <v>4411.6000000000004</v>
      </c>
      <c r="J1050" s="22">
        <f t="shared" si="1109"/>
        <v>4342.8</v>
      </c>
      <c r="K1050" s="22">
        <f t="shared" si="1109"/>
        <v>4342.8</v>
      </c>
      <c r="L1050" s="22">
        <f t="shared" si="1109"/>
        <v>4342.8</v>
      </c>
      <c r="M1050" s="22">
        <f t="shared" ref="M1050:N1052" si="1110">M1051</f>
        <v>4342.8</v>
      </c>
      <c r="N1050" s="22">
        <f t="shared" si="1110"/>
        <v>980.5</v>
      </c>
      <c r="O1050" s="22">
        <f t="shared" si="1100"/>
        <v>22.577599705259281</v>
      </c>
    </row>
    <row r="1051" spans="1:15" ht="15.75">
      <c r="A1051" s="26" t="s">
        <v>174</v>
      </c>
      <c r="B1051" s="216">
        <v>910</v>
      </c>
      <c r="C1051" s="214" t="s">
        <v>171</v>
      </c>
      <c r="D1051" s="214" t="s">
        <v>266</v>
      </c>
      <c r="E1051" s="214" t="s">
        <v>175</v>
      </c>
      <c r="F1051" s="214"/>
      <c r="G1051" s="27">
        <f t="shared" ref="G1051:L1052" si="1111">G1052</f>
        <v>4133.6000000000004</v>
      </c>
      <c r="H1051" s="27">
        <f t="shared" si="1111"/>
        <v>3195</v>
      </c>
      <c r="I1051" s="27">
        <f t="shared" si="1111"/>
        <v>4411.6000000000004</v>
      </c>
      <c r="J1051" s="27">
        <f t="shared" si="1111"/>
        <v>4342.8</v>
      </c>
      <c r="K1051" s="27">
        <f t="shared" si="1111"/>
        <v>4342.8</v>
      </c>
      <c r="L1051" s="27">
        <f t="shared" si="1111"/>
        <v>4342.8</v>
      </c>
      <c r="M1051" s="27">
        <f t="shared" si="1110"/>
        <v>4342.8</v>
      </c>
      <c r="N1051" s="27">
        <f t="shared" si="1110"/>
        <v>980.5</v>
      </c>
      <c r="O1051" s="27">
        <f t="shared" si="1100"/>
        <v>22.577599705259281</v>
      </c>
    </row>
    <row r="1052" spans="1:15" ht="31.5">
      <c r="A1052" s="26" t="s">
        <v>176</v>
      </c>
      <c r="B1052" s="216">
        <v>910</v>
      </c>
      <c r="C1052" s="214" t="s">
        <v>171</v>
      </c>
      <c r="D1052" s="214" t="s">
        <v>266</v>
      </c>
      <c r="E1052" s="214" t="s">
        <v>177</v>
      </c>
      <c r="F1052" s="214"/>
      <c r="G1052" s="27">
        <f>G1053</f>
        <v>4133.6000000000004</v>
      </c>
      <c r="H1052" s="27">
        <f>H1053</f>
        <v>3195</v>
      </c>
      <c r="I1052" s="27">
        <f t="shared" si="1111"/>
        <v>4411.6000000000004</v>
      </c>
      <c r="J1052" s="27">
        <f t="shared" si="1111"/>
        <v>4342.8</v>
      </c>
      <c r="K1052" s="27">
        <f t="shared" si="1111"/>
        <v>4342.8</v>
      </c>
      <c r="L1052" s="27">
        <f t="shared" si="1111"/>
        <v>4342.8</v>
      </c>
      <c r="M1052" s="27">
        <f t="shared" si="1110"/>
        <v>4342.8</v>
      </c>
      <c r="N1052" s="27">
        <f t="shared" si="1110"/>
        <v>980.5</v>
      </c>
      <c r="O1052" s="27">
        <f t="shared" si="1100"/>
        <v>22.577599705259281</v>
      </c>
    </row>
    <row r="1053" spans="1:15" ht="47.25">
      <c r="A1053" s="26" t="s">
        <v>630</v>
      </c>
      <c r="B1053" s="216">
        <v>910</v>
      </c>
      <c r="C1053" s="214" t="s">
        <v>171</v>
      </c>
      <c r="D1053" s="214" t="s">
        <v>266</v>
      </c>
      <c r="E1053" s="214" t="s">
        <v>631</v>
      </c>
      <c r="F1053" s="214"/>
      <c r="G1053" s="27">
        <f t="shared" ref="G1053:L1053" si="1112">G1054+G1056</f>
        <v>4133.6000000000004</v>
      </c>
      <c r="H1053" s="27">
        <f t="shared" si="1112"/>
        <v>3195</v>
      </c>
      <c r="I1053" s="27">
        <f t="shared" si="1112"/>
        <v>4411.6000000000004</v>
      </c>
      <c r="J1053" s="27">
        <f t="shared" si="1112"/>
        <v>4342.8</v>
      </c>
      <c r="K1053" s="27">
        <f t="shared" si="1112"/>
        <v>4342.8</v>
      </c>
      <c r="L1053" s="27">
        <f t="shared" si="1112"/>
        <v>4342.8</v>
      </c>
      <c r="M1053" s="27">
        <f t="shared" ref="M1053:N1053" si="1113">M1054+M1056</f>
        <v>4342.8</v>
      </c>
      <c r="N1053" s="27">
        <f t="shared" si="1113"/>
        <v>980.5</v>
      </c>
      <c r="O1053" s="27">
        <f t="shared" si="1100"/>
        <v>22.577599705259281</v>
      </c>
    </row>
    <row r="1054" spans="1:15" ht="94.5">
      <c r="A1054" s="26" t="s">
        <v>180</v>
      </c>
      <c r="B1054" s="216">
        <v>910</v>
      </c>
      <c r="C1054" s="214" t="s">
        <v>171</v>
      </c>
      <c r="D1054" s="214" t="s">
        <v>266</v>
      </c>
      <c r="E1054" s="214" t="s">
        <v>631</v>
      </c>
      <c r="F1054" s="214" t="s">
        <v>181</v>
      </c>
      <c r="G1054" s="27">
        <f t="shared" ref="G1054:L1054" si="1114">G1055</f>
        <v>4100.6000000000004</v>
      </c>
      <c r="H1054" s="27">
        <f t="shared" si="1114"/>
        <v>3162</v>
      </c>
      <c r="I1054" s="27">
        <f t="shared" si="1114"/>
        <v>4378.6000000000004</v>
      </c>
      <c r="J1054" s="27">
        <f t="shared" si="1114"/>
        <v>3873.8</v>
      </c>
      <c r="K1054" s="27">
        <f t="shared" si="1114"/>
        <v>3873.8</v>
      </c>
      <c r="L1054" s="27">
        <f t="shared" si="1114"/>
        <v>3873.8</v>
      </c>
      <c r="M1054" s="27">
        <f t="shared" ref="M1054:N1054" si="1115">M1055+M1056</f>
        <v>4342.8</v>
      </c>
      <c r="N1054" s="27">
        <f t="shared" si="1115"/>
        <v>980.5</v>
      </c>
      <c r="O1054" s="27">
        <f t="shared" si="1100"/>
        <v>22.577599705259281</v>
      </c>
    </row>
    <row r="1055" spans="1:15" ht="31.5">
      <c r="A1055" s="26" t="s">
        <v>182</v>
      </c>
      <c r="B1055" s="216">
        <v>910</v>
      </c>
      <c r="C1055" s="214" t="s">
        <v>171</v>
      </c>
      <c r="D1055" s="214" t="s">
        <v>266</v>
      </c>
      <c r="E1055" s="214" t="s">
        <v>631</v>
      </c>
      <c r="F1055" s="214" t="s">
        <v>183</v>
      </c>
      <c r="G1055" s="28">
        <f>4188.8-55.2-33</f>
        <v>4100.6000000000004</v>
      </c>
      <c r="H1055" s="28">
        <v>3162</v>
      </c>
      <c r="I1055" s="28">
        <f>4378.6</f>
        <v>4378.6000000000004</v>
      </c>
      <c r="J1055" s="28">
        <v>3873.8</v>
      </c>
      <c r="K1055" s="28">
        <v>3873.8</v>
      </c>
      <c r="L1055" s="28">
        <v>3873.8</v>
      </c>
      <c r="M1055" s="28">
        <v>4342.8</v>
      </c>
      <c r="N1055" s="28">
        <v>980.5</v>
      </c>
      <c r="O1055" s="27">
        <f t="shared" si="1100"/>
        <v>22.577599705259281</v>
      </c>
    </row>
    <row r="1056" spans="1:15" ht="47.25" hidden="1" customHeight="1">
      <c r="A1056" s="26" t="s">
        <v>251</v>
      </c>
      <c r="B1056" s="216">
        <v>910</v>
      </c>
      <c r="C1056" s="214" t="s">
        <v>171</v>
      </c>
      <c r="D1056" s="214" t="s">
        <v>266</v>
      </c>
      <c r="E1056" s="214" t="s">
        <v>631</v>
      </c>
      <c r="F1056" s="214" t="s">
        <v>185</v>
      </c>
      <c r="G1056" s="27">
        <f t="shared" ref="G1056:L1056" si="1116">G1057</f>
        <v>33</v>
      </c>
      <c r="H1056" s="27">
        <f t="shared" si="1116"/>
        <v>33</v>
      </c>
      <c r="I1056" s="27">
        <f t="shared" si="1116"/>
        <v>33</v>
      </c>
      <c r="J1056" s="27">
        <f t="shared" si="1116"/>
        <v>469</v>
      </c>
      <c r="K1056" s="27">
        <f t="shared" si="1116"/>
        <v>469</v>
      </c>
      <c r="L1056" s="27">
        <f t="shared" si="1116"/>
        <v>469</v>
      </c>
      <c r="M1056" s="27">
        <f t="shared" ref="M1056:N1056" si="1117">M1057</f>
        <v>0</v>
      </c>
      <c r="N1056" s="27">
        <f t="shared" si="1117"/>
        <v>0</v>
      </c>
      <c r="O1056" s="22" t="e">
        <f t="shared" si="1100"/>
        <v>#DIV/0!</v>
      </c>
    </row>
    <row r="1057" spans="1:15" ht="47.25" hidden="1" customHeight="1">
      <c r="A1057" s="26" t="s">
        <v>186</v>
      </c>
      <c r="B1057" s="216">
        <v>910</v>
      </c>
      <c r="C1057" s="214" t="s">
        <v>171</v>
      </c>
      <c r="D1057" s="214" t="s">
        <v>266</v>
      </c>
      <c r="E1057" s="214" t="s">
        <v>631</v>
      </c>
      <c r="F1057" s="214" t="s">
        <v>187</v>
      </c>
      <c r="G1057" s="27">
        <v>33</v>
      </c>
      <c r="H1057" s="27">
        <v>33</v>
      </c>
      <c r="I1057" s="27">
        <f>H1057</f>
        <v>33</v>
      </c>
      <c r="J1057" s="27">
        <v>469</v>
      </c>
      <c r="K1057" s="27">
        <v>469</v>
      </c>
      <c r="L1057" s="27">
        <v>469</v>
      </c>
      <c r="M1057" s="27">
        <v>0</v>
      </c>
      <c r="N1057" s="27">
        <v>0</v>
      </c>
      <c r="O1057" s="22" t="e">
        <f t="shared" si="1100"/>
        <v>#DIV/0!</v>
      </c>
    </row>
    <row r="1058" spans="1:15" ht="78.75">
      <c r="A1058" s="24" t="s">
        <v>632</v>
      </c>
      <c r="B1058" s="213">
        <v>910</v>
      </c>
      <c r="C1058" s="215" t="s">
        <v>171</v>
      </c>
      <c r="D1058" s="215" t="s">
        <v>268</v>
      </c>
      <c r="E1058" s="215"/>
      <c r="F1058" s="215"/>
      <c r="G1058" s="22">
        <f>G1059</f>
        <v>1138.7</v>
      </c>
      <c r="H1058" s="22">
        <f>H1059</f>
        <v>874.7</v>
      </c>
      <c r="I1058" s="22">
        <f t="shared" ref="I1058:L1058" si="1118">I1059</f>
        <v>1302.7</v>
      </c>
      <c r="J1058" s="22">
        <f t="shared" si="1118"/>
        <v>1049.5</v>
      </c>
      <c r="K1058" s="22">
        <f t="shared" si="1118"/>
        <v>1049.5</v>
      </c>
      <c r="L1058" s="22">
        <f t="shared" si="1118"/>
        <v>1049.5</v>
      </c>
      <c r="M1058" s="22">
        <f t="shared" ref="M1058:N1060" si="1119">M1059</f>
        <v>1049.5</v>
      </c>
      <c r="N1058" s="22">
        <f t="shared" si="1119"/>
        <v>196.4</v>
      </c>
      <c r="O1058" s="22">
        <f t="shared" si="1100"/>
        <v>18.713673177703669</v>
      </c>
    </row>
    <row r="1059" spans="1:15" ht="15.75">
      <c r="A1059" s="26" t="s">
        <v>174</v>
      </c>
      <c r="B1059" s="216">
        <v>910</v>
      </c>
      <c r="C1059" s="214" t="s">
        <v>171</v>
      </c>
      <c r="D1059" s="214" t="s">
        <v>268</v>
      </c>
      <c r="E1059" s="214" t="s">
        <v>175</v>
      </c>
      <c r="F1059" s="215"/>
      <c r="G1059" s="27">
        <f t="shared" ref="G1059:L1060" si="1120">G1060</f>
        <v>1138.7</v>
      </c>
      <c r="H1059" s="27">
        <f t="shared" si="1120"/>
        <v>874.7</v>
      </c>
      <c r="I1059" s="27">
        <f t="shared" si="1120"/>
        <v>1302.7</v>
      </c>
      <c r="J1059" s="27">
        <f t="shared" si="1120"/>
        <v>1049.5</v>
      </c>
      <c r="K1059" s="27">
        <f t="shared" si="1120"/>
        <v>1049.5</v>
      </c>
      <c r="L1059" s="27">
        <f t="shared" si="1120"/>
        <v>1049.5</v>
      </c>
      <c r="M1059" s="27">
        <f t="shared" si="1119"/>
        <v>1049.5</v>
      </c>
      <c r="N1059" s="27">
        <f t="shared" si="1119"/>
        <v>196.4</v>
      </c>
      <c r="O1059" s="27">
        <f t="shared" si="1100"/>
        <v>18.713673177703669</v>
      </c>
    </row>
    <row r="1060" spans="1:15" ht="31.5">
      <c r="A1060" s="26" t="s">
        <v>176</v>
      </c>
      <c r="B1060" s="216">
        <v>910</v>
      </c>
      <c r="C1060" s="214" t="s">
        <v>171</v>
      </c>
      <c r="D1060" s="214" t="s">
        <v>268</v>
      </c>
      <c r="E1060" s="214" t="s">
        <v>177</v>
      </c>
      <c r="F1060" s="215"/>
      <c r="G1060" s="27">
        <f>G1061</f>
        <v>1138.7</v>
      </c>
      <c r="H1060" s="27">
        <f>H1061</f>
        <v>874.7</v>
      </c>
      <c r="I1060" s="27">
        <f t="shared" si="1120"/>
        <v>1302.7</v>
      </c>
      <c r="J1060" s="27">
        <f t="shared" si="1120"/>
        <v>1049.5</v>
      </c>
      <c r="K1060" s="27">
        <f t="shared" si="1120"/>
        <v>1049.5</v>
      </c>
      <c r="L1060" s="27">
        <f t="shared" si="1120"/>
        <v>1049.5</v>
      </c>
      <c r="M1060" s="27">
        <f t="shared" si="1119"/>
        <v>1049.5</v>
      </c>
      <c r="N1060" s="27">
        <f t="shared" si="1119"/>
        <v>196.4</v>
      </c>
      <c r="O1060" s="27">
        <f t="shared" si="1100"/>
        <v>18.713673177703669</v>
      </c>
    </row>
    <row r="1061" spans="1:15" ht="47.25">
      <c r="A1061" s="26" t="s">
        <v>633</v>
      </c>
      <c r="B1061" s="216">
        <v>910</v>
      </c>
      <c r="C1061" s="214" t="s">
        <v>171</v>
      </c>
      <c r="D1061" s="214" t="s">
        <v>268</v>
      </c>
      <c r="E1061" s="214" t="s">
        <v>634</v>
      </c>
      <c r="F1061" s="214"/>
      <c r="G1061" s="27">
        <f t="shared" ref="G1061:L1061" si="1121">G1062+G1064+G1066</f>
        <v>1138.7</v>
      </c>
      <c r="H1061" s="27">
        <f t="shared" si="1121"/>
        <v>874.7</v>
      </c>
      <c r="I1061" s="27">
        <f t="shared" si="1121"/>
        <v>1302.7</v>
      </c>
      <c r="J1061" s="27">
        <f t="shared" si="1121"/>
        <v>1049.5</v>
      </c>
      <c r="K1061" s="27">
        <f t="shared" si="1121"/>
        <v>1049.5</v>
      </c>
      <c r="L1061" s="27">
        <f t="shared" si="1121"/>
        <v>1049.5</v>
      </c>
      <c r="M1061" s="27">
        <f t="shared" ref="M1061:N1061" si="1122">M1062+M1064+M1066</f>
        <v>1049.5</v>
      </c>
      <c r="N1061" s="27">
        <f t="shared" si="1122"/>
        <v>196.4</v>
      </c>
      <c r="O1061" s="27">
        <f t="shared" si="1100"/>
        <v>18.713673177703669</v>
      </c>
    </row>
    <row r="1062" spans="1:15" ht="94.5">
      <c r="A1062" s="26" t="s">
        <v>180</v>
      </c>
      <c r="B1062" s="216">
        <v>910</v>
      </c>
      <c r="C1062" s="214" t="s">
        <v>171</v>
      </c>
      <c r="D1062" s="214" t="s">
        <v>268</v>
      </c>
      <c r="E1062" s="214" t="s">
        <v>634</v>
      </c>
      <c r="F1062" s="214" t="s">
        <v>181</v>
      </c>
      <c r="G1062" s="27">
        <f>G1063</f>
        <v>1003.7</v>
      </c>
      <c r="H1062" s="27">
        <f>H1063</f>
        <v>816.7</v>
      </c>
      <c r="I1062" s="27">
        <f t="shared" ref="I1062:L1062" si="1123">I1063</f>
        <v>1164.7</v>
      </c>
      <c r="J1062" s="27">
        <f t="shared" si="1123"/>
        <v>956.5</v>
      </c>
      <c r="K1062" s="27">
        <f t="shared" si="1123"/>
        <v>956.5</v>
      </c>
      <c r="L1062" s="27">
        <f t="shared" si="1123"/>
        <v>956.5</v>
      </c>
      <c r="M1062" s="27">
        <f t="shared" ref="M1062:N1062" si="1124">M1063</f>
        <v>956.5</v>
      </c>
      <c r="N1062" s="27">
        <f t="shared" si="1124"/>
        <v>185.4</v>
      </c>
      <c r="O1062" s="27">
        <f t="shared" si="1100"/>
        <v>19.383167799268168</v>
      </c>
    </row>
    <row r="1063" spans="1:15" ht="31.5">
      <c r="A1063" s="26" t="s">
        <v>182</v>
      </c>
      <c r="B1063" s="216">
        <v>910</v>
      </c>
      <c r="C1063" s="214" t="s">
        <v>171</v>
      </c>
      <c r="D1063" s="214" t="s">
        <v>268</v>
      </c>
      <c r="E1063" s="214" t="s">
        <v>634</v>
      </c>
      <c r="F1063" s="214" t="s">
        <v>183</v>
      </c>
      <c r="G1063" s="27">
        <v>1003.7</v>
      </c>
      <c r="H1063" s="27">
        <v>816.7</v>
      </c>
      <c r="I1063" s="27">
        <v>1164.7</v>
      </c>
      <c r="J1063" s="27">
        <v>956.5</v>
      </c>
      <c r="K1063" s="27">
        <v>956.5</v>
      </c>
      <c r="L1063" s="27">
        <v>956.5</v>
      </c>
      <c r="M1063" s="27">
        <v>956.5</v>
      </c>
      <c r="N1063" s="27">
        <v>185.4</v>
      </c>
      <c r="O1063" s="27">
        <f t="shared" si="1100"/>
        <v>19.383167799268168</v>
      </c>
    </row>
    <row r="1064" spans="1:15" ht="47.25">
      <c r="A1064" s="26" t="s">
        <v>251</v>
      </c>
      <c r="B1064" s="216">
        <v>910</v>
      </c>
      <c r="C1064" s="214" t="s">
        <v>171</v>
      </c>
      <c r="D1064" s="214" t="s">
        <v>268</v>
      </c>
      <c r="E1064" s="214" t="s">
        <v>634</v>
      </c>
      <c r="F1064" s="214" t="s">
        <v>185</v>
      </c>
      <c r="G1064" s="27">
        <f>G1065</f>
        <v>135</v>
      </c>
      <c r="H1064" s="27">
        <f>H1065</f>
        <v>58</v>
      </c>
      <c r="I1064" s="27">
        <f t="shared" ref="I1064:L1064" si="1125">I1065</f>
        <v>138</v>
      </c>
      <c r="J1064" s="27">
        <f t="shared" si="1125"/>
        <v>93</v>
      </c>
      <c r="K1064" s="27">
        <f t="shared" si="1125"/>
        <v>93</v>
      </c>
      <c r="L1064" s="27">
        <f t="shared" si="1125"/>
        <v>93</v>
      </c>
      <c r="M1064" s="27">
        <f t="shared" ref="M1064:N1064" si="1126">M1065</f>
        <v>93</v>
      </c>
      <c r="N1064" s="27">
        <f t="shared" si="1126"/>
        <v>11</v>
      </c>
      <c r="O1064" s="27">
        <f t="shared" si="1100"/>
        <v>11.827956989247312</v>
      </c>
    </row>
    <row r="1065" spans="1:15" ht="47.25">
      <c r="A1065" s="26" t="s">
        <v>186</v>
      </c>
      <c r="B1065" s="216">
        <v>910</v>
      </c>
      <c r="C1065" s="214" t="s">
        <v>171</v>
      </c>
      <c r="D1065" s="214" t="s">
        <v>268</v>
      </c>
      <c r="E1065" s="214" t="s">
        <v>634</v>
      </c>
      <c r="F1065" s="214" t="s">
        <v>187</v>
      </c>
      <c r="G1065" s="27">
        <v>135</v>
      </c>
      <c r="H1065" s="27">
        <v>58</v>
      </c>
      <c r="I1065" s="27">
        <v>138</v>
      </c>
      <c r="J1065" s="27">
        <v>93</v>
      </c>
      <c r="K1065" s="27">
        <v>93</v>
      </c>
      <c r="L1065" s="27">
        <v>93</v>
      </c>
      <c r="M1065" s="27">
        <v>93</v>
      </c>
      <c r="N1065" s="27">
        <v>11</v>
      </c>
      <c r="O1065" s="27">
        <f t="shared" si="1100"/>
        <v>11.827956989247312</v>
      </c>
    </row>
    <row r="1066" spans="1:15" ht="15.75" hidden="1" customHeight="1">
      <c r="A1066" s="26" t="s">
        <v>188</v>
      </c>
      <c r="B1066" s="216">
        <v>910</v>
      </c>
      <c r="C1066" s="214" t="s">
        <v>171</v>
      </c>
      <c r="D1066" s="214" t="s">
        <v>268</v>
      </c>
      <c r="E1066" s="214" t="s">
        <v>634</v>
      </c>
      <c r="F1066" s="214" t="s">
        <v>198</v>
      </c>
      <c r="G1066" s="27">
        <f t="shared" ref="G1066:L1066" si="1127">G1067</f>
        <v>0</v>
      </c>
      <c r="H1066" s="27">
        <f t="shared" si="1127"/>
        <v>0</v>
      </c>
      <c r="I1066" s="27">
        <f t="shared" si="1127"/>
        <v>0</v>
      </c>
      <c r="J1066" s="27">
        <f t="shared" si="1127"/>
        <v>0</v>
      </c>
      <c r="K1066" s="27">
        <f t="shared" si="1127"/>
        <v>0</v>
      </c>
      <c r="L1066" s="27">
        <f t="shared" si="1127"/>
        <v>0</v>
      </c>
      <c r="M1066" s="27">
        <f t="shared" ref="M1066:N1066" si="1128">M1067</f>
        <v>0</v>
      </c>
      <c r="N1066" s="27">
        <f t="shared" si="1128"/>
        <v>0</v>
      </c>
      <c r="O1066" s="22" t="e">
        <f t="shared" si="1100"/>
        <v>#DIV/0!</v>
      </c>
    </row>
    <row r="1067" spans="1:15" ht="15.75" hidden="1" customHeight="1">
      <c r="A1067" s="26" t="s">
        <v>622</v>
      </c>
      <c r="B1067" s="216">
        <v>910</v>
      </c>
      <c r="C1067" s="214" t="s">
        <v>171</v>
      </c>
      <c r="D1067" s="214" t="s">
        <v>268</v>
      </c>
      <c r="E1067" s="214" t="s">
        <v>634</v>
      </c>
      <c r="F1067" s="214" t="s">
        <v>191</v>
      </c>
      <c r="G1067" s="27">
        <v>0</v>
      </c>
      <c r="H1067" s="27">
        <v>0</v>
      </c>
      <c r="I1067" s="27">
        <v>0</v>
      </c>
      <c r="J1067" s="27">
        <v>0</v>
      </c>
      <c r="K1067" s="27">
        <v>0</v>
      </c>
      <c r="L1067" s="27">
        <v>0</v>
      </c>
      <c r="M1067" s="27">
        <v>0</v>
      </c>
      <c r="N1067" s="27">
        <v>0</v>
      </c>
      <c r="O1067" s="22" t="e">
        <f t="shared" si="1100"/>
        <v>#DIV/0!</v>
      </c>
    </row>
    <row r="1068" spans="1:15" ht="63">
      <c r="A1068" s="24" t="s">
        <v>172</v>
      </c>
      <c r="B1068" s="213">
        <v>910</v>
      </c>
      <c r="C1068" s="215" t="s">
        <v>171</v>
      </c>
      <c r="D1068" s="215" t="s">
        <v>173</v>
      </c>
      <c r="E1068" s="215"/>
      <c r="F1068" s="215"/>
      <c r="G1068" s="22">
        <f>G1069</f>
        <v>1737.7</v>
      </c>
      <c r="H1068" s="22">
        <f t="shared" ref="H1068:H1070" si="1129">H1069</f>
        <v>1659.5</v>
      </c>
      <c r="I1068" s="22">
        <f t="shared" ref="I1068:L1070" si="1130">I1069</f>
        <v>2083.7000000000003</v>
      </c>
      <c r="J1068" s="22">
        <f t="shared" si="1130"/>
        <v>3035.2000000000003</v>
      </c>
      <c r="K1068" s="22">
        <f t="shared" si="1130"/>
        <v>3035.2000000000003</v>
      </c>
      <c r="L1068" s="22">
        <f t="shared" si="1130"/>
        <v>3035.2000000000003</v>
      </c>
      <c r="M1068" s="22">
        <f t="shared" ref="M1068:N1070" si="1131">M1069</f>
        <v>1571.7</v>
      </c>
      <c r="N1068" s="22">
        <f t="shared" si="1131"/>
        <v>333.1</v>
      </c>
      <c r="O1068" s="22">
        <f t="shared" si="1100"/>
        <v>21.193612012470574</v>
      </c>
    </row>
    <row r="1069" spans="1:15" s="136" customFormat="1" ht="15.75">
      <c r="A1069" s="26" t="s">
        <v>174</v>
      </c>
      <c r="B1069" s="216">
        <v>910</v>
      </c>
      <c r="C1069" s="214" t="s">
        <v>171</v>
      </c>
      <c r="D1069" s="214" t="s">
        <v>173</v>
      </c>
      <c r="E1069" s="214" t="s">
        <v>175</v>
      </c>
      <c r="F1069" s="214"/>
      <c r="G1069" s="27">
        <f>G1070</f>
        <v>1737.7</v>
      </c>
      <c r="H1069" s="27">
        <f t="shared" si="1129"/>
        <v>1659.5</v>
      </c>
      <c r="I1069" s="27">
        <f t="shared" si="1130"/>
        <v>2083.7000000000003</v>
      </c>
      <c r="J1069" s="27">
        <f t="shared" si="1130"/>
        <v>3035.2000000000003</v>
      </c>
      <c r="K1069" s="27">
        <f t="shared" si="1130"/>
        <v>3035.2000000000003</v>
      </c>
      <c r="L1069" s="27">
        <f t="shared" si="1130"/>
        <v>3035.2000000000003</v>
      </c>
      <c r="M1069" s="27">
        <f t="shared" si="1131"/>
        <v>1571.7</v>
      </c>
      <c r="N1069" s="27">
        <f t="shared" si="1131"/>
        <v>333.1</v>
      </c>
      <c r="O1069" s="27">
        <f t="shared" si="1100"/>
        <v>21.193612012470574</v>
      </c>
    </row>
    <row r="1070" spans="1:15" s="136" customFormat="1" ht="31.5">
      <c r="A1070" s="26" t="s">
        <v>176</v>
      </c>
      <c r="B1070" s="216">
        <v>910</v>
      </c>
      <c r="C1070" s="214" t="s">
        <v>171</v>
      </c>
      <c r="D1070" s="214" t="s">
        <v>173</v>
      </c>
      <c r="E1070" s="214" t="s">
        <v>177</v>
      </c>
      <c r="F1070" s="214"/>
      <c r="G1070" s="27">
        <f>G1071</f>
        <v>1737.7</v>
      </c>
      <c r="H1070" s="27">
        <f t="shared" si="1129"/>
        <v>1659.5</v>
      </c>
      <c r="I1070" s="27">
        <f t="shared" si="1130"/>
        <v>2083.7000000000003</v>
      </c>
      <c r="J1070" s="27">
        <f t="shared" si="1130"/>
        <v>3035.2000000000003</v>
      </c>
      <c r="K1070" s="27">
        <f t="shared" si="1130"/>
        <v>3035.2000000000003</v>
      </c>
      <c r="L1070" s="27">
        <f t="shared" si="1130"/>
        <v>3035.2000000000003</v>
      </c>
      <c r="M1070" s="27">
        <f t="shared" si="1131"/>
        <v>1571.7</v>
      </c>
      <c r="N1070" s="27">
        <f t="shared" si="1131"/>
        <v>333.1</v>
      </c>
      <c r="O1070" s="27">
        <f t="shared" si="1100"/>
        <v>21.193612012470574</v>
      </c>
    </row>
    <row r="1071" spans="1:15" s="136" customFormat="1" ht="47.25">
      <c r="A1071" s="26" t="s">
        <v>178</v>
      </c>
      <c r="B1071" s="216">
        <v>910</v>
      </c>
      <c r="C1071" s="214" t="s">
        <v>171</v>
      </c>
      <c r="D1071" s="214" t="s">
        <v>173</v>
      </c>
      <c r="E1071" s="214" t="s">
        <v>179</v>
      </c>
      <c r="F1071" s="214"/>
      <c r="G1071" s="27">
        <f>G1072+G1074</f>
        <v>1737.7</v>
      </c>
      <c r="H1071" s="27">
        <f>H1072+H1074</f>
        <v>1659.5</v>
      </c>
      <c r="I1071" s="27">
        <f t="shared" ref="I1071:L1071" si="1132">I1072+I1074</f>
        <v>2083.7000000000003</v>
      </c>
      <c r="J1071" s="27">
        <f t="shared" si="1132"/>
        <v>3035.2000000000003</v>
      </c>
      <c r="K1071" s="27">
        <f t="shared" si="1132"/>
        <v>3035.2000000000003</v>
      </c>
      <c r="L1071" s="27">
        <f t="shared" si="1132"/>
        <v>3035.2000000000003</v>
      </c>
      <c r="M1071" s="27">
        <f t="shared" ref="M1071:N1071" si="1133">M1072+M1074</f>
        <v>1571.7</v>
      </c>
      <c r="N1071" s="27">
        <f t="shared" si="1133"/>
        <v>333.1</v>
      </c>
      <c r="O1071" s="27">
        <f t="shared" si="1100"/>
        <v>21.193612012470574</v>
      </c>
    </row>
    <row r="1072" spans="1:15" ht="94.5">
      <c r="A1072" s="26" t="s">
        <v>180</v>
      </c>
      <c r="B1072" s="216">
        <v>910</v>
      </c>
      <c r="C1072" s="214" t="s">
        <v>171</v>
      </c>
      <c r="D1072" s="214" t="s">
        <v>173</v>
      </c>
      <c r="E1072" s="214" t="s">
        <v>179</v>
      </c>
      <c r="F1072" s="214" t="s">
        <v>181</v>
      </c>
      <c r="G1072" s="27">
        <f>G1073</f>
        <v>1719.4</v>
      </c>
      <c r="H1072" s="27">
        <f>H1073</f>
        <v>1659.5</v>
      </c>
      <c r="I1072" s="27">
        <f t="shared" ref="I1072:L1072" si="1134">I1073</f>
        <v>2065.4</v>
      </c>
      <c r="J1072" s="27">
        <f t="shared" si="1134"/>
        <v>2807.9</v>
      </c>
      <c r="K1072" s="27">
        <f t="shared" si="1134"/>
        <v>2807.9</v>
      </c>
      <c r="L1072" s="27">
        <f t="shared" si="1134"/>
        <v>2807.9</v>
      </c>
      <c r="M1072" s="27">
        <f t="shared" ref="M1072:N1072" si="1135">M1073</f>
        <v>1553.4</v>
      </c>
      <c r="N1072" s="27">
        <f t="shared" si="1135"/>
        <v>333.1</v>
      </c>
      <c r="O1072" s="27">
        <f t="shared" si="1100"/>
        <v>21.443285695892879</v>
      </c>
    </row>
    <row r="1073" spans="1:15" ht="31.5">
      <c r="A1073" s="26" t="s">
        <v>182</v>
      </c>
      <c r="B1073" s="216">
        <v>910</v>
      </c>
      <c r="C1073" s="214" t="s">
        <v>171</v>
      </c>
      <c r="D1073" s="214" t="s">
        <v>173</v>
      </c>
      <c r="E1073" s="214" t="s">
        <v>179</v>
      </c>
      <c r="F1073" s="214" t="s">
        <v>183</v>
      </c>
      <c r="G1073" s="27">
        <f>1664.2+55.2</f>
        <v>1719.4</v>
      </c>
      <c r="H1073" s="27">
        <v>1659.5</v>
      </c>
      <c r="I1073" s="27">
        <v>2065.4</v>
      </c>
      <c r="J1073" s="27">
        <v>2807.9</v>
      </c>
      <c r="K1073" s="27">
        <f>J1073</f>
        <v>2807.9</v>
      </c>
      <c r="L1073" s="27">
        <f>K1073</f>
        <v>2807.9</v>
      </c>
      <c r="M1073" s="27">
        <v>1553.4</v>
      </c>
      <c r="N1073" s="27">
        <v>333.1</v>
      </c>
      <c r="O1073" s="27">
        <f t="shared" si="1100"/>
        <v>21.443285695892879</v>
      </c>
    </row>
    <row r="1074" spans="1:15" ht="47.25">
      <c r="A1074" s="26" t="s">
        <v>251</v>
      </c>
      <c r="B1074" s="216">
        <v>910</v>
      </c>
      <c r="C1074" s="214" t="s">
        <v>171</v>
      </c>
      <c r="D1074" s="214" t="s">
        <v>173</v>
      </c>
      <c r="E1074" s="214" t="s">
        <v>179</v>
      </c>
      <c r="F1074" s="214" t="s">
        <v>185</v>
      </c>
      <c r="G1074" s="27">
        <f>G1075</f>
        <v>18.3</v>
      </c>
      <c r="H1074" s="27">
        <f>H1075</f>
        <v>0</v>
      </c>
      <c r="I1074" s="27">
        <f t="shared" ref="I1074:L1074" si="1136">I1075</f>
        <v>18.3</v>
      </c>
      <c r="J1074" s="27">
        <f t="shared" si="1136"/>
        <v>227.3</v>
      </c>
      <c r="K1074" s="27">
        <f t="shared" si="1136"/>
        <v>227.3</v>
      </c>
      <c r="L1074" s="27">
        <f t="shared" si="1136"/>
        <v>227.3</v>
      </c>
      <c r="M1074" s="27">
        <f t="shared" ref="M1074:N1074" si="1137">M1075</f>
        <v>18.3</v>
      </c>
      <c r="N1074" s="27">
        <f t="shared" si="1137"/>
        <v>0</v>
      </c>
      <c r="O1074" s="27">
        <f t="shared" si="1100"/>
        <v>0</v>
      </c>
    </row>
    <row r="1075" spans="1:15" ht="47.25">
      <c r="A1075" s="26" t="s">
        <v>186</v>
      </c>
      <c r="B1075" s="216">
        <v>910</v>
      </c>
      <c r="C1075" s="214" t="s">
        <v>171</v>
      </c>
      <c r="D1075" s="214" t="s">
        <v>173</v>
      </c>
      <c r="E1075" s="214" t="s">
        <v>179</v>
      </c>
      <c r="F1075" s="214" t="s">
        <v>187</v>
      </c>
      <c r="G1075" s="27">
        <v>18.3</v>
      </c>
      <c r="H1075" s="27">
        <v>0</v>
      </c>
      <c r="I1075" s="27">
        <v>18.3</v>
      </c>
      <c r="J1075" s="27">
        <v>227.3</v>
      </c>
      <c r="K1075" s="27">
        <f>J1075</f>
        <v>227.3</v>
      </c>
      <c r="L1075" s="27">
        <f>K1075</f>
        <v>227.3</v>
      </c>
      <c r="M1075" s="27">
        <v>18.3</v>
      </c>
      <c r="N1075" s="27">
        <v>0</v>
      </c>
      <c r="O1075" s="27">
        <f t="shared" si="1100"/>
        <v>0</v>
      </c>
    </row>
    <row r="1076" spans="1:15" ht="15.75">
      <c r="A1076" s="24" t="s">
        <v>192</v>
      </c>
      <c r="B1076" s="213">
        <v>910</v>
      </c>
      <c r="C1076" s="215" t="s">
        <v>171</v>
      </c>
      <c r="D1076" s="215" t="s">
        <v>193</v>
      </c>
      <c r="E1076" s="215"/>
      <c r="F1076" s="214"/>
      <c r="G1076" s="22">
        <f>G1077+G1081</f>
        <v>32.5</v>
      </c>
      <c r="H1076" s="22">
        <f>H1077+H1081</f>
        <v>0</v>
      </c>
      <c r="I1076" s="22">
        <f t="shared" ref="I1076:L1076" si="1138">I1077+I1081</f>
        <v>32.5</v>
      </c>
      <c r="J1076" s="22">
        <f t="shared" si="1138"/>
        <v>32.5</v>
      </c>
      <c r="K1076" s="22">
        <f t="shared" si="1138"/>
        <v>32.5</v>
      </c>
      <c r="L1076" s="22">
        <f t="shared" si="1138"/>
        <v>32.5</v>
      </c>
      <c r="M1076" s="22">
        <f t="shared" ref="M1076:N1076" si="1139">M1077+M1081</f>
        <v>50.5</v>
      </c>
      <c r="N1076" s="22">
        <f t="shared" si="1139"/>
        <v>0</v>
      </c>
      <c r="O1076" s="22">
        <f t="shared" si="1100"/>
        <v>0</v>
      </c>
    </row>
    <row r="1077" spans="1:15" ht="47.25">
      <c r="A1077" s="26" t="s">
        <v>214</v>
      </c>
      <c r="B1077" s="216">
        <v>910</v>
      </c>
      <c r="C1077" s="214" t="s">
        <v>171</v>
      </c>
      <c r="D1077" s="214" t="s">
        <v>193</v>
      </c>
      <c r="E1077" s="214" t="s">
        <v>215</v>
      </c>
      <c r="F1077" s="214"/>
      <c r="G1077" s="27">
        <f>G1078</f>
        <v>0.5</v>
      </c>
      <c r="H1077" s="27">
        <f t="shared" ref="H1077:H1079" si="1140">H1078</f>
        <v>0</v>
      </c>
      <c r="I1077" s="27">
        <f t="shared" ref="I1077:L1079" si="1141">I1078</f>
        <v>0.5</v>
      </c>
      <c r="J1077" s="27">
        <f t="shared" si="1141"/>
        <v>0.5</v>
      </c>
      <c r="K1077" s="27">
        <f t="shared" si="1141"/>
        <v>0.5</v>
      </c>
      <c r="L1077" s="27">
        <f t="shared" si="1141"/>
        <v>0.5</v>
      </c>
      <c r="M1077" s="27">
        <f t="shared" ref="M1077:N1079" si="1142">M1078</f>
        <v>0.5</v>
      </c>
      <c r="N1077" s="27">
        <f t="shared" si="1142"/>
        <v>0</v>
      </c>
      <c r="O1077" s="27">
        <f t="shared" si="1100"/>
        <v>0</v>
      </c>
    </row>
    <row r="1078" spans="1:15" ht="63">
      <c r="A1078" s="33" t="s">
        <v>779</v>
      </c>
      <c r="B1078" s="216">
        <v>910</v>
      </c>
      <c r="C1078" s="214" t="s">
        <v>171</v>
      </c>
      <c r="D1078" s="214" t="s">
        <v>193</v>
      </c>
      <c r="E1078" s="217" t="s">
        <v>780</v>
      </c>
      <c r="F1078" s="214"/>
      <c r="G1078" s="27">
        <f>G1079</f>
        <v>0.5</v>
      </c>
      <c r="H1078" s="27">
        <f t="shared" si="1140"/>
        <v>0</v>
      </c>
      <c r="I1078" s="27">
        <f t="shared" si="1141"/>
        <v>0.5</v>
      </c>
      <c r="J1078" s="27">
        <f t="shared" si="1141"/>
        <v>0.5</v>
      </c>
      <c r="K1078" s="27">
        <f t="shared" si="1141"/>
        <v>0.5</v>
      </c>
      <c r="L1078" s="27">
        <f t="shared" si="1141"/>
        <v>0.5</v>
      </c>
      <c r="M1078" s="27">
        <f t="shared" si="1142"/>
        <v>0.5</v>
      </c>
      <c r="N1078" s="27">
        <f t="shared" si="1142"/>
        <v>0</v>
      </c>
      <c r="O1078" s="27">
        <f t="shared" si="1100"/>
        <v>0</v>
      </c>
    </row>
    <row r="1079" spans="1:15" ht="31.5">
      <c r="A1079" s="26" t="s">
        <v>184</v>
      </c>
      <c r="B1079" s="216">
        <v>910</v>
      </c>
      <c r="C1079" s="214" t="s">
        <v>171</v>
      </c>
      <c r="D1079" s="214" t="s">
        <v>193</v>
      </c>
      <c r="E1079" s="217" t="s">
        <v>780</v>
      </c>
      <c r="F1079" s="214" t="s">
        <v>185</v>
      </c>
      <c r="G1079" s="27">
        <f>G1080</f>
        <v>0.5</v>
      </c>
      <c r="H1079" s="27">
        <f t="shared" si="1140"/>
        <v>0</v>
      </c>
      <c r="I1079" s="27">
        <f t="shared" si="1141"/>
        <v>0.5</v>
      </c>
      <c r="J1079" s="27">
        <f t="shared" si="1141"/>
        <v>0.5</v>
      </c>
      <c r="K1079" s="27">
        <f t="shared" si="1141"/>
        <v>0.5</v>
      </c>
      <c r="L1079" s="27">
        <f t="shared" si="1141"/>
        <v>0.5</v>
      </c>
      <c r="M1079" s="27">
        <f t="shared" si="1142"/>
        <v>0.5</v>
      </c>
      <c r="N1079" s="27">
        <f t="shared" si="1142"/>
        <v>0</v>
      </c>
      <c r="O1079" s="27">
        <f t="shared" si="1100"/>
        <v>0</v>
      </c>
    </row>
    <row r="1080" spans="1:15" ht="47.25">
      <c r="A1080" s="26" t="s">
        <v>186</v>
      </c>
      <c r="B1080" s="216">
        <v>910</v>
      </c>
      <c r="C1080" s="214" t="s">
        <v>171</v>
      </c>
      <c r="D1080" s="214" t="s">
        <v>193</v>
      </c>
      <c r="E1080" s="217" t="s">
        <v>780</v>
      </c>
      <c r="F1080" s="214" t="s">
        <v>187</v>
      </c>
      <c r="G1080" s="27">
        <v>0.5</v>
      </c>
      <c r="H1080" s="27">
        <v>0</v>
      </c>
      <c r="I1080" s="27">
        <v>0.5</v>
      </c>
      <c r="J1080" s="27">
        <v>0.5</v>
      </c>
      <c r="K1080" s="27">
        <v>0.5</v>
      </c>
      <c r="L1080" s="27">
        <v>0.5</v>
      </c>
      <c r="M1080" s="27">
        <v>0.5</v>
      </c>
      <c r="N1080" s="27">
        <v>0</v>
      </c>
      <c r="O1080" s="27">
        <f t="shared" si="1100"/>
        <v>0</v>
      </c>
    </row>
    <row r="1081" spans="1:15" ht="15.75">
      <c r="A1081" s="33" t="s">
        <v>174</v>
      </c>
      <c r="B1081" s="216">
        <v>910</v>
      </c>
      <c r="C1081" s="214" t="s">
        <v>171</v>
      </c>
      <c r="D1081" s="214" t="s">
        <v>193</v>
      </c>
      <c r="E1081" s="214" t="s">
        <v>175</v>
      </c>
      <c r="F1081" s="214"/>
      <c r="G1081" s="27">
        <f>G1082</f>
        <v>32</v>
      </c>
      <c r="H1081" s="27">
        <f t="shared" ref="H1081:H1084" si="1143">H1082</f>
        <v>0</v>
      </c>
      <c r="I1081" s="27">
        <f t="shared" ref="I1081:L1084" si="1144">I1082</f>
        <v>32</v>
      </c>
      <c r="J1081" s="27">
        <f t="shared" si="1144"/>
        <v>32</v>
      </c>
      <c r="K1081" s="27">
        <f t="shared" si="1144"/>
        <v>32</v>
      </c>
      <c r="L1081" s="27">
        <f t="shared" si="1144"/>
        <v>32</v>
      </c>
      <c r="M1081" s="27">
        <f t="shared" ref="M1081:N1084" si="1145">M1082</f>
        <v>50</v>
      </c>
      <c r="N1081" s="27">
        <f t="shared" si="1145"/>
        <v>0</v>
      </c>
      <c r="O1081" s="27">
        <f t="shared" si="1100"/>
        <v>0</v>
      </c>
    </row>
    <row r="1082" spans="1:15" ht="31.5">
      <c r="A1082" s="33" t="s">
        <v>238</v>
      </c>
      <c r="B1082" s="216">
        <v>910</v>
      </c>
      <c r="C1082" s="214" t="s">
        <v>171</v>
      </c>
      <c r="D1082" s="214" t="s">
        <v>193</v>
      </c>
      <c r="E1082" s="214" t="s">
        <v>239</v>
      </c>
      <c r="F1082" s="214"/>
      <c r="G1082" s="27">
        <f>G1083</f>
        <v>32</v>
      </c>
      <c r="H1082" s="27">
        <f t="shared" si="1143"/>
        <v>0</v>
      </c>
      <c r="I1082" s="27">
        <f t="shared" si="1144"/>
        <v>32</v>
      </c>
      <c r="J1082" s="27">
        <f t="shared" si="1144"/>
        <v>32</v>
      </c>
      <c r="K1082" s="27">
        <f t="shared" si="1144"/>
        <v>32</v>
      </c>
      <c r="L1082" s="27">
        <f t="shared" si="1144"/>
        <v>32</v>
      </c>
      <c r="M1082" s="27">
        <f t="shared" si="1145"/>
        <v>50</v>
      </c>
      <c r="N1082" s="27">
        <f t="shared" si="1145"/>
        <v>0</v>
      </c>
      <c r="O1082" s="27">
        <f t="shared" si="1100"/>
        <v>0</v>
      </c>
    </row>
    <row r="1083" spans="1:15" ht="63">
      <c r="A1083" s="33" t="s">
        <v>779</v>
      </c>
      <c r="B1083" s="216">
        <v>910</v>
      </c>
      <c r="C1083" s="214" t="s">
        <v>171</v>
      </c>
      <c r="D1083" s="214" t="s">
        <v>193</v>
      </c>
      <c r="E1083" s="214" t="s">
        <v>781</v>
      </c>
      <c r="F1083" s="214"/>
      <c r="G1083" s="27">
        <f>G1084</f>
        <v>32</v>
      </c>
      <c r="H1083" s="27">
        <f t="shared" si="1143"/>
        <v>0</v>
      </c>
      <c r="I1083" s="27">
        <f t="shared" si="1144"/>
        <v>32</v>
      </c>
      <c r="J1083" s="27">
        <f t="shared" si="1144"/>
        <v>32</v>
      </c>
      <c r="K1083" s="27">
        <f t="shared" si="1144"/>
        <v>32</v>
      </c>
      <c r="L1083" s="27">
        <f t="shared" si="1144"/>
        <v>32</v>
      </c>
      <c r="M1083" s="27">
        <f t="shared" si="1145"/>
        <v>50</v>
      </c>
      <c r="N1083" s="27">
        <f t="shared" si="1145"/>
        <v>0</v>
      </c>
      <c r="O1083" s="27">
        <f t="shared" si="1100"/>
        <v>0</v>
      </c>
    </row>
    <row r="1084" spans="1:15" ht="31.5">
      <c r="A1084" s="26" t="s">
        <v>184</v>
      </c>
      <c r="B1084" s="216">
        <v>910</v>
      </c>
      <c r="C1084" s="214" t="s">
        <v>171</v>
      </c>
      <c r="D1084" s="214" t="s">
        <v>193</v>
      </c>
      <c r="E1084" s="214" t="s">
        <v>781</v>
      </c>
      <c r="F1084" s="214" t="s">
        <v>185</v>
      </c>
      <c r="G1084" s="27">
        <f>G1085</f>
        <v>32</v>
      </c>
      <c r="H1084" s="27">
        <f t="shared" si="1143"/>
        <v>0</v>
      </c>
      <c r="I1084" s="27">
        <f t="shared" si="1144"/>
        <v>32</v>
      </c>
      <c r="J1084" s="27">
        <f t="shared" si="1144"/>
        <v>32</v>
      </c>
      <c r="K1084" s="27">
        <f t="shared" si="1144"/>
        <v>32</v>
      </c>
      <c r="L1084" s="27">
        <f t="shared" si="1144"/>
        <v>32</v>
      </c>
      <c r="M1084" s="27">
        <f t="shared" si="1145"/>
        <v>50</v>
      </c>
      <c r="N1084" s="27">
        <f t="shared" si="1145"/>
        <v>0</v>
      </c>
      <c r="O1084" s="27">
        <f t="shared" si="1100"/>
        <v>0</v>
      </c>
    </row>
    <row r="1085" spans="1:15" ht="47.25">
      <c r="A1085" s="26" t="s">
        <v>186</v>
      </c>
      <c r="B1085" s="216">
        <v>910</v>
      </c>
      <c r="C1085" s="214" t="s">
        <v>171</v>
      </c>
      <c r="D1085" s="214" t="s">
        <v>193</v>
      </c>
      <c r="E1085" s="214" t="s">
        <v>781</v>
      </c>
      <c r="F1085" s="214" t="s">
        <v>187</v>
      </c>
      <c r="G1085" s="27">
        <v>32</v>
      </c>
      <c r="H1085" s="27">
        <v>0</v>
      </c>
      <c r="I1085" s="27">
        <v>32</v>
      </c>
      <c r="J1085" s="27">
        <v>32</v>
      </c>
      <c r="K1085" s="27">
        <v>32</v>
      </c>
      <c r="L1085" s="27">
        <v>32</v>
      </c>
      <c r="M1085" s="27">
        <v>50</v>
      </c>
      <c r="N1085" s="27">
        <v>0</v>
      </c>
      <c r="O1085" s="27">
        <f t="shared" si="1100"/>
        <v>0</v>
      </c>
    </row>
    <row r="1086" spans="1:15" ht="31.5">
      <c r="A1086" s="24" t="s">
        <v>635</v>
      </c>
      <c r="B1086" s="213">
        <v>913</v>
      </c>
      <c r="C1086" s="215"/>
      <c r="D1086" s="215"/>
      <c r="E1086" s="215"/>
      <c r="F1086" s="215"/>
      <c r="G1086" s="22">
        <f t="shared" ref="G1086:L1086" si="1146">G1093</f>
        <v>6309.8</v>
      </c>
      <c r="H1086" s="22">
        <f t="shared" si="1146"/>
        <v>4427.2</v>
      </c>
      <c r="I1086" s="22">
        <f t="shared" si="1146"/>
        <v>6309.8</v>
      </c>
      <c r="J1086" s="22">
        <f t="shared" si="1146"/>
        <v>8181.7000000000007</v>
      </c>
      <c r="K1086" s="22">
        <f t="shared" si="1146"/>
        <v>8258.7000000000007</v>
      </c>
      <c r="L1086" s="22">
        <f t="shared" si="1146"/>
        <v>8332.7000000000007</v>
      </c>
      <c r="M1086" s="22">
        <f>M1093+M1087</f>
        <v>6302.3</v>
      </c>
      <c r="N1086" s="22">
        <f t="shared" ref="N1086" si="1147">N1093+N1087</f>
        <v>1008.9</v>
      </c>
      <c r="O1086" s="22">
        <f t="shared" si="1100"/>
        <v>16.008441362677118</v>
      </c>
    </row>
    <row r="1087" spans="1:15" ht="15.75">
      <c r="A1087" s="267" t="s">
        <v>170</v>
      </c>
      <c r="B1087" s="213">
        <v>913</v>
      </c>
      <c r="C1087" s="215" t="s">
        <v>171</v>
      </c>
      <c r="D1087" s="265"/>
      <c r="E1087" s="265"/>
      <c r="F1087" s="265"/>
      <c r="G1087" s="265"/>
      <c r="H1087" s="265"/>
      <c r="I1087" s="265"/>
      <c r="J1087" s="265"/>
      <c r="K1087" s="265"/>
      <c r="L1087" s="265"/>
      <c r="M1087" s="266">
        <f>M1088</f>
        <v>63.6</v>
      </c>
      <c r="N1087" s="266">
        <f t="shared" ref="N1087:N1089" si="1148">N1088</f>
        <v>0</v>
      </c>
      <c r="O1087" s="22">
        <f t="shared" si="1100"/>
        <v>0</v>
      </c>
    </row>
    <row r="1088" spans="1:15" ht="15.75">
      <c r="A1088" s="36" t="s">
        <v>192</v>
      </c>
      <c r="B1088" s="213">
        <v>913</v>
      </c>
      <c r="C1088" s="215" t="s">
        <v>171</v>
      </c>
      <c r="D1088" s="215" t="s">
        <v>193</v>
      </c>
      <c r="E1088" s="214"/>
      <c r="F1088" s="214"/>
      <c r="G1088" s="22"/>
      <c r="H1088" s="22"/>
      <c r="I1088" s="22"/>
      <c r="J1088" s="22"/>
      <c r="K1088" s="22"/>
      <c r="L1088" s="22"/>
      <c r="M1088" s="22">
        <f>M1089</f>
        <v>63.6</v>
      </c>
      <c r="N1088" s="22">
        <f t="shared" si="1148"/>
        <v>0</v>
      </c>
      <c r="O1088" s="22">
        <f t="shared" si="1100"/>
        <v>0</v>
      </c>
    </row>
    <row r="1089" spans="1:15" ht="63">
      <c r="A1089" s="31" t="s">
        <v>807</v>
      </c>
      <c r="B1089" s="216">
        <v>913</v>
      </c>
      <c r="C1089" s="214" t="s">
        <v>171</v>
      </c>
      <c r="D1089" s="214" t="s">
        <v>193</v>
      </c>
      <c r="E1089" s="214" t="s">
        <v>805</v>
      </c>
      <c r="F1089" s="221"/>
      <c r="G1089" s="27">
        <f>G1091</f>
        <v>29</v>
      </c>
      <c r="H1089" s="27">
        <f t="shared" ref="H1089:L1089" si="1149">H1091</f>
        <v>19.100000000000001</v>
      </c>
      <c r="I1089" s="27">
        <f t="shared" si="1149"/>
        <v>29</v>
      </c>
      <c r="J1089" s="27">
        <f t="shared" si="1149"/>
        <v>0</v>
      </c>
      <c r="K1089" s="27">
        <f t="shared" si="1149"/>
        <v>0</v>
      </c>
      <c r="L1089" s="27">
        <f t="shared" si="1149"/>
        <v>0</v>
      </c>
      <c r="M1089" s="27">
        <f>M1090</f>
        <v>63.6</v>
      </c>
      <c r="N1089" s="27">
        <f t="shared" si="1148"/>
        <v>0</v>
      </c>
      <c r="O1089" s="27">
        <f t="shared" si="1100"/>
        <v>0</v>
      </c>
    </row>
    <row r="1090" spans="1:15" ht="31.5">
      <c r="A1090" s="123" t="s">
        <v>943</v>
      </c>
      <c r="B1090" s="216">
        <v>913</v>
      </c>
      <c r="C1090" s="214" t="s">
        <v>171</v>
      </c>
      <c r="D1090" s="214" t="s">
        <v>193</v>
      </c>
      <c r="E1090" s="214" t="s">
        <v>944</v>
      </c>
      <c r="F1090" s="221"/>
      <c r="G1090" s="27">
        <f t="shared" ref="G1090:N1090" si="1150">G1091</f>
        <v>29</v>
      </c>
      <c r="H1090" s="27">
        <f t="shared" si="1150"/>
        <v>19.100000000000001</v>
      </c>
      <c r="I1090" s="27">
        <f t="shared" si="1150"/>
        <v>29</v>
      </c>
      <c r="J1090" s="27">
        <f t="shared" si="1150"/>
        <v>0</v>
      </c>
      <c r="K1090" s="27">
        <f t="shared" si="1150"/>
        <v>0</v>
      </c>
      <c r="L1090" s="27">
        <f t="shared" si="1150"/>
        <v>0</v>
      </c>
      <c r="M1090" s="27">
        <f t="shared" si="1150"/>
        <v>63.6</v>
      </c>
      <c r="N1090" s="27">
        <f t="shared" si="1150"/>
        <v>0</v>
      </c>
      <c r="O1090" s="27">
        <f t="shared" si="1100"/>
        <v>0</v>
      </c>
    </row>
    <row r="1091" spans="1:15" ht="31.5">
      <c r="A1091" s="26" t="s">
        <v>184</v>
      </c>
      <c r="B1091" s="216">
        <v>913</v>
      </c>
      <c r="C1091" s="214" t="s">
        <v>171</v>
      </c>
      <c r="D1091" s="214" t="s">
        <v>193</v>
      </c>
      <c r="E1091" s="214" t="s">
        <v>944</v>
      </c>
      <c r="F1091" s="221" t="s">
        <v>185</v>
      </c>
      <c r="G1091" s="27">
        <f>G1092</f>
        <v>29</v>
      </c>
      <c r="H1091" s="27">
        <f t="shared" ref="H1091:N1091" si="1151">H1092</f>
        <v>19.100000000000001</v>
      </c>
      <c r="I1091" s="27">
        <f t="shared" si="1151"/>
        <v>29</v>
      </c>
      <c r="J1091" s="27">
        <f t="shared" si="1151"/>
        <v>0</v>
      </c>
      <c r="K1091" s="27">
        <f t="shared" si="1151"/>
        <v>0</v>
      </c>
      <c r="L1091" s="27">
        <f t="shared" si="1151"/>
        <v>0</v>
      </c>
      <c r="M1091" s="27">
        <f t="shared" si="1151"/>
        <v>63.6</v>
      </c>
      <c r="N1091" s="27">
        <f t="shared" si="1151"/>
        <v>0</v>
      </c>
      <c r="O1091" s="27">
        <f t="shared" si="1100"/>
        <v>0</v>
      </c>
    </row>
    <row r="1092" spans="1:15" ht="47.25">
      <c r="A1092" s="26" t="s">
        <v>186</v>
      </c>
      <c r="B1092" s="216">
        <v>913</v>
      </c>
      <c r="C1092" s="214" t="s">
        <v>171</v>
      </c>
      <c r="D1092" s="214" t="s">
        <v>193</v>
      </c>
      <c r="E1092" s="214" t="s">
        <v>944</v>
      </c>
      <c r="F1092" s="221" t="s">
        <v>187</v>
      </c>
      <c r="G1092" s="27">
        <v>29</v>
      </c>
      <c r="H1092" s="27">
        <v>19.100000000000001</v>
      </c>
      <c r="I1092" s="27">
        <v>29</v>
      </c>
      <c r="J1092" s="27">
        <v>0</v>
      </c>
      <c r="K1092" s="27">
        <v>0</v>
      </c>
      <c r="L1092" s="27">
        <v>0</v>
      </c>
      <c r="M1092" s="27">
        <f>60+3.6</f>
        <v>63.6</v>
      </c>
      <c r="N1092" s="27">
        <v>0</v>
      </c>
      <c r="O1092" s="27">
        <f t="shared" si="1100"/>
        <v>0</v>
      </c>
    </row>
    <row r="1093" spans="1:15" ht="15.75">
      <c r="A1093" s="24" t="s">
        <v>636</v>
      </c>
      <c r="B1093" s="213">
        <v>913</v>
      </c>
      <c r="C1093" s="215" t="s">
        <v>291</v>
      </c>
      <c r="D1093" s="214"/>
      <c r="E1093" s="214"/>
      <c r="F1093" s="214"/>
      <c r="G1093" s="27">
        <f t="shared" ref="G1093:N1094" si="1152">G1094</f>
        <v>6309.8</v>
      </c>
      <c r="H1093" s="27">
        <f t="shared" si="1152"/>
        <v>4427.2</v>
      </c>
      <c r="I1093" s="27">
        <f t="shared" si="1152"/>
        <v>6309.8</v>
      </c>
      <c r="J1093" s="27">
        <f t="shared" si="1152"/>
        <v>8181.7000000000007</v>
      </c>
      <c r="K1093" s="27">
        <f t="shared" si="1152"/>
        <v>8258.7000000000007</v>
      </c>
      <c r="L1093" s="27">
        <f t="shared" si="1152"/>
        <v>8332.7000000000007</v>
      </c>
      <c r="M1093" s="27">
        <f t="shared" si="1152"/>
        <v>6238.7</v>
      </c>
      <c r="N1093" s="27">
        <f t="shared" si="1152"/>
        <v>1008.9</v>
      </c>
      <c r="O1093" s="27">
        <f t="shared" si="1100"/>
        <v>16.171638322086331</v>
      </c>
    </row>
    <row r="1094" spans="1:15" ht="15.75">
      <c r="A1094" s="24" t="s">
        <v>637</v>
      </c>
      <c r="B1094" s="213">
        <v>913</v>
      </c>
      <c r="C1094" s="215" t="s">
        <v>291</v>
      </c>
      <c r="D1094" s="215" t="s">
        <v>266</v>
      </c>
      <c r="E1094" s="215"/>
      <c r="F1094" s="215"/>
      <c r="G1094" s="27">
        <f t="shared" si="1152"/>
        <v>6309.8</v>
      </c>
      <c r="H1094" s="27">
        <f t="shared" si="1152"/>
        <v>4427.2</v>
      </c>
      <c r="I1094" s="27">
        <f t="shared" si="1152"/>
        <v>6309.8</v>
      </c>
      <c r="J1094" s="27">
        <f t="shared" si="1152"/>
        <v>8181.7000000000007</v>
      </c>
      <c r="K1094" s="27">
        <f t="shared" si="1152"/>
        <v>8258.7000000000007</v>
      </c>
      <c r="L1094" s="27">
        <f t="shared" si="1152"/>
        <v>8332.7000000000007</v>
      </c>
      <c r="M1094" s="27">
        <f t="shared" si="1152"/>
        <v>6238.7</v>
      </c>
      <c r="N1094" s="27">
        <f t="shared" si="1152"/>
        <v>1008.9</v>
      </c>
      <c r="O1094" s="27">
        <f t="shared" si="1100"/>
        <v>16.171638322086331</v>
      </c>
    </row>
    <row r="1095" spans="1:15" ht="15.75">
      <c r="A1095" s="26" t="s">
        <v>174</v>
      </c>
      <c r="B1095" s="216">
        <v>913</v>
      </c>
      <c r="C1095" s="214" t="s">
        <v>291</v>
      </c>
      <c r="D1095" s="214" t="s">
        <v>266</v>
      </c>
      <c r="E1095" s="214" t="s">
        <v>175</v>
      </c>
      <c r="F1095" s="214"/>
      <c r="G1095" s="27">
        <f>G1096</f>
        <v>6309.8</v>
      </c>
      <c r="H1095" s="27">
        <f>H1096</f>
        <v>4427.2</v>
      </c>
      <c r="I1095" s="27">
        <f t="shared" ref="G1095:N1096" si="1153">I1096</f>
        <v>6309.8</v>
      </c>
      <c r="J1095" s="27">
        <f t="shared" si="1153"/>
        <v>8181.7000000000007</v>
      </c>
      <c r="K1095" s="27">
        <f t="shared" si="1153"/>
        <v>8258.7000000000007</v>
      </c>
      <c r="L1095" s="27">
        <f t="shared" si="1153"/>
        <v>8332.7000000000007</v>
      </c>
      <c r="M1095" s="27">
        <f t="shared" ref="M1095:N1095" si="1154">M1096</f>
        <v>6238.7</v>
      </c>
      <c r="N1095" s="27">
        <f t="shared" si="1154"/>
        <v>1008.9</v>
      </c>
      <c r="O1095" s="27">
        <f t="shared" si="1100"/>
        <v>16.171638322086331</v>
      </c>
    </row>
    <row r="1096" spans="1:15" ht="31.5">
      <c r="A1096" s="26" t="s">
        <v>638</v>
      </c>
      <c r="B1096" s="216">
        <v>913</v>
      </c>
      <c r="C1096" s="214" t="s">
        <v>291</v>
      </c>
      <c r="D1096" s="214" t="s">
        <v>266</v>
      </c>
      <c r="E1096" s="214" t="s">
        <v>639</v>
      </c>
      <c r="F1096" s="214"/>
      <c r="G1096" s="27">
        <f t="shared" si="1153"/>
        <v>6309.8</v>
      </c>
      <c r="H1096" s="27">
        <f t="shared" si="1153"/>
        <v>4427.2</v>
      </c>
      <c r="I1096" s="27">
        <f t="shared" si="1153"/>
        <v>6309.8</v>
      </c>
      <c r="J1096" s="27">
        <f t="shared" si="1153"/>
        <v>8181.7000000000007</v>
      </c>
      <c r="K1096" s="27">
        <f t="shared" si="1153"/>
        <v>8258.7000000000007</v>
      </c>
      <c r="L1096" s="27">
        <f t="shared" si="1153"/>
        <v>8332.7000000000007</v>
      </c>
      <c r="M1096" s="27">
        <f t="shared" si="1153"/>
        <v>6238.7</v>
      </c>
      <c r="N1096" s="27">
        <f t="shared" si="1153"/>
        <v>1008.9</v>
      </c>
      <c r="O1096" s="27">
        <f t="shared" si="1100"/>
        <v>16.171638322086331</v>
      </c>
    </row>
    <row r="1097" spans="1:15" ht="31.5">
      <c r="A1097" s="26" t="s">
        <v>363</v>
      </c>
      <c r="B1097" s="216">
        <v>913</v>
      </c>
      <c r="C1097" s="214" t="s">
        <v>291</v>
      </c>
      <c r="D1097" s="214" t="s">
        <v>266</v>
      </c>
      <c r="E1097" s="214" t="s">
        <v>640</v>
      </c>
      <c r="F1097" s="214"/>
      <c r="G1097" s="27">
        <f>G1098+G1100+G1102</f>
        <v>6309.8</v>
      </c>
      <c r="H1097" s="27">
        <f>H1098+H1100+H1102</f>
        <v>4427.2</v>
      </c>
      <c r="I1097" s="27">
        <f t="shared" ref="I1097:M1097" si="1155">I1098+I1100+I1102</f>
        <v>6309.8</v>
      </c>
      <c r="J1097" s="27">
        <f t="shared" si="1155"/>
        <v>8181.7000000000007</v>
      </c>
      <c r="K1097" s="27">
        <f t="shared" si="1155"/>
        <v>8258.7000000000007</v>
      </c>
      <c r="L1097" s="27">
        <f t="shared" si="1155"/>
        <v>8332.7000000000007</v>
      </c>
      <c r="M1097" s="27">
        <f t="shared" si="1155"/>
        <v>6238.7</v>
      </c>
      <c r="N1097" s="27">
        <f t="shared" ref="N1097" si="1156">N1098+N1100+N1102</f>
        <v>1008.9</v>
      </c>
      <c r="O1097" s="27">
        <f t="shared" si="1100"/>
        <v>16.171638322086331</v>
      </c>
    </row>
    <row r="1098" spans="1:15" ht="94.5">
      <c r="A1098" s="26" t="s">
        <v>180</v>
      </c>
      <c r="B1098" s="216">
        <v>913</v>
      </c>
      <c r="C1098" s="214" t="s">
        <v>291</v>
      </c>
      <c r="D1098" s="214" t="s">
        <v>266</v>
      </c>
      <c r="E1098" s="214" t="s">
        <v>640</v>
      </c>
      <c r="F1098" s="214" t="s">
        <v>181</v>
      </c>
      <c r="G1098" s="27">
        <f t="shared" ref="G1098:N1098" si="1157">G1099</f>
        <v>5371.7</v>
      </c>
      <c r="H1098" s="27">
        <f t="shared" si="1157"/>
        <v>3759.5</v>
      </c>
      <c r="I1098" s="27">
        <f t="shared" si="1157"/>
        <v>5371.7</v>
      </c>
      <c r="J1098" s="27">
        <f t="shared" si="1157"/>
        <v>5696.1</v>
      </c>
      <c r="K1098" s="27">
        <f t="shared" si="1157"/>
        <v>5753.1</v>
      </c>
      <c r="L1098" s="27">
        <f t="shared" si="1157"/>
        <v>5810.7</v>
      </c>
      <c r="M1098" s="27">
        <f t="shared" si="1157"/>
        <v>5371.7</v>
      </c>
      <c r="N1098" s="27">
        <f t="shared" si="1157"/>
        <v>928.9</v>
      </c>
      <c r="O1098" s="27">
        <f t="shared" si="1100"/>
        <v>17.292477241841503</v>
      </c>
    </row>
    <row r="1099" spans="1:15" ht="31.5">
      <c r="A1099" s="26" t="s">
        <v>261</v>
      </c>
      <c r="B1099" s="216">
        <v>913</v>
      </c>
      <c r="C1099" s="214" t="s">
        <v>291</v>
      </c>
      <c r="D1099" s="214" t="s">
        <v>266</v>
      </c>
      <c r="E1099" s="214" t="s">
        <v>640</v>
      </c>
      <c r="F1099" s="214" t="s">
        <v>262</v>
      </c>
      <c r="G1099" s="28">
        <v>5371.7</v>
      </c>
      <c r="H1099" s="28">
        <v>3759.5</v>
      </c>
      <c r="I1099" s="28">
        <v>5371.7</v>
      </c>
      <c r="J1099" s="28">
        <v>5696.1</v>
      </c>
      <c r="K1099" s="28">
        <v>5753.1</v>
      </c>
      <c r="L1099" s="28">
        <v>5810.7</v>
      </c>
      <c r="M1099" s="28">
        <v>5371.7</v>
      </c>
      <c r="N1099" s="28">
        <v>928.9</v>
      </c>
      <c r="O1099" s="27">
        <f t="shared" si="1100"/>
        <v>17.292477241841503</v>
      </c>
    </row>
    <row r="1100" spans="1:15" ht="31.5">
      <c r="A1100" s="26" t="s">
        <v>184</v>
      </c>
      <c r="B1100" s="216">
        <v>913</v>
      </c>
      <c r="C1100" s="214" t="s">
        <v>291</v>
      </c>
      <c r="D1100" s="214" t="s">
        <v>266</v>
      </c>
      <c r="E1100" s="214" t="s">
        <v>640</v>
      </c>
      <c r="F1100" s="214" t="s">
        <v>185</v>
      </c>
      <c r="G1100" s="27">
        <f t="shared" ref="G1100:L1100" si="1158">G1101</f>
        <v>928.1</v>
      </c>
      <c r="H1100" s="27">
        <f t="shared" si="1158"/>
        <v>664.7</v>
      </c>
      <c r="I1100" s="27">
        <f t="shared" si="1158"/>
        <v>928.1</v>
      </c>
      <c r="J1100" s="27">
        <f t="shared" si="1158"/>
        <v>2475.6</v>
      </c>
      <c r="K1100" s="27">
        <f t="shared" si="1158"/>
        <v>2495.6</v>
      </c>
      <c r="L1100" s="27">
        <f t="shared" si="1158"/>
        <v>2512</v>
      </c>
      <c r="M1100" s="27">
        <f>M1101</f>
        <v>857</v>
      </c>
      <c r="N1100" s="27">
        <f t="shared" ref="N1100" si="1159">N1101</f>
        <v>80</v>
      </c>
      <c r="O1100" s="27">
        <f t="shared" si="1100"/>
        <v>9.3348891481913654</v>
      </c>
    </row>
    <row r="1101" spans="1:15" ht="47.25">
      <c r="A1101" s="26" t="s">
        <v>186</v>
      </c>
      <c r="B1101" s="216">
        <v>913</v>
      </c>
      <c r="C1101" s="214" t="s">
        <v>291</v>
      </c>
      <c r="D1101" s="214" t="s">
        <v>266</v>
      </c>
      <c r="E1101" s="214" t="s">
        <v>640</v>
      </c>
      <c r="F1101" s="214" t="s">
        <v>187</v>
      </c>
      <c r="G1101" s="28">
        <f>898.3+28.1+1.7</f>
        <v>928.1</v>
      </c>
      <c r="H1101" s="28">
        <v>664.7</v>
      </c>
      <c r="I1101" s="28">
        <f t="shared" ref="I1101" si="1160">898.3+28.1+1.7</f>
        <v>928.1</v>
      </c>
      <c r="J1101" s="28">
        <f>2485.6-J1103</f>
        <v>2475.6</v>
      </c>
      <c r="K1101" s="28">
        <f>2505.6-K1103</f>
        <v>2495.6</v>
      </c>
      <c r="L1101" s="28">
        <f>2522-L1103</f>
        <v>2512</v>
      </c>
      <c r="M1101" s="28">
        <f>920.6-60-3.6</f>
        <v>857</v>
      </c>
      <c r="N1101" s="28">
        <v>80</v>
      </c>
      <c r="O1101" s="27">
        <f t="shared" ref="O1101:O1104" si="1161">N1101/M1101*100</f>
        <v>9.3348891481913654</v>
      </c>
    </row>
    <row r="1102" spans="1:15" ht="15.75">
      <c r="A1102" s="26" t="s">
        <v>188</v>
      </c>
      <c r="B1102" s="216">
        <v>913</v>
      </c>
      <c r="C1102" s="214" t="s">
        <v>291</v>
      </c>
      <c r="D1102" s="214" t="s">
        <v>266</v>
      </c>
      <c r="E1102" s="214" t="s">
        <v>640</v>
      </c>
      <c r="F1102" s="214" t="s">
        <v>198</v>
      </c>
      <c r="G1102" s="27">
        <f t="shared" ref="G1102:L1102" si="1162">G1103</f>
        <v>10</v>
      </c>
      <c r="H1102" s="27">
        <f t="shared" si="1162"/>
        <v>3</v>
      </c>
      <c r="I1102" s="27">
        <f t="shared" si="1162"/>
        <v>10</v>
      </c>
      <c r="J1102" s="27">
        <f t="shared" si="1162"/>
        <v>10</v>
      </c>
      <c r="K1102" s="27">
        <f t="shared" si="1162"/>
        <v>10</v>
      </c>
      <c r="L1102" s="27">
        <f t="shared" si="1162"/>
        <v>10</v>
      </c>
      <c r="M1102" s="27">
        <f t="shared" ref="M1102:N1102" si="1163">M1103</f>
        <v>10</v>
      </c>
      <c r="N1102" s="27">
        <f t="shared" si="1163"/>
        <v>0</v>
      </c>
      <c r="O1102" s="27">
        <f t="shared" si="1161"/>
        <v>0</v>
      </c>
    </row>
    <row r="1103" spans="1:15" ht="15.75">
      <c r="A1103" s="26" t="s">
        <v>622</v>
      </c>
      <c r="B1103" s="216">
        <v>913</v>
      </c>
      <c r="C1103" s="214" t="s">
        <v>291</v>
      </c>
      <c r="D1103" s="214" t="s">
        <v>266</v>
      </c>
      <c r="E1103" s="214" t="s">
        <v>640</v>
      </c>
      <c r="F1103" s="214" t="s">
        <v>191</v>
      </c>
      <c r="G1103" s="27">
        <v>10</v>
      </c>
      <c r="H1103" s="27">
        <v>3</v>
      </c>
      <c r="I1103" s="27">
        <v>10</v>
      </c>
      <c r="J1103" s="27">
        <v>10</v>
      </c>
      <c r="K1103" s="27">
        <v>10</v>
      </c>
      <c r="L1103" s="27">
        <v>10</v>
      </c>
      <c r="M1103" s="27">
        <v>10</v>
      </c>
      <c r="N1103" s="27">
        <v>0</v>
      </c>
      <c r="O1103" s="27">
        <f t="shared" si="1161"/>
        <v>0</v>
      </c>
    </row>
    <row r="1104" spans="1:15" ht="18.75">
      <c r="A1104" s="50" t="s">
        <v>641</v>
      </c>
      <c r="B1104" s="225"/>
      <c r="C1104" s="215"/>
      <c r="D1104" s="215"/>
      <c r="E1104" s="215"/>
      <c r="F1104" s="215"/>
      <c r="G1104" s="51">
        <f t="shared" ref="G1104:M1104" si="1164">G1086+G1048+G860+G769+G571+G528+G243+G29+G12</f>
        <v>665442.19999999995</v>
      </c>
      <c r="H1104" s="51">
        <f t="shared" si="1164"/>
        <v>441840.68000000005</v>
      </c>
      <c r="I1104" s="51">
        <f t="shared" si="1164"/>
        <v>638134.33647058823</v>
      </c>
      <c r="J1104" s="51">
        <f t="shared" si="1164"/>
        <v>747927.99999999988</v>
      </c>
      <c r="K1104" s="51">
        <f t="shared" si="1164"/>
        <v>743098.70000000007</v>
      </c>
      <c r="L1104" s="51">
        <f t="shared" si="1164"/>
        <v>741645.1</v>
      </c>
      <c r="M1104" s="51">
        <f t="shared" si="1164"/>
        <v>685900</v>
      </c>
      <c r="N1104" s="51">
        <f t="shared" ref="N1104" si="1165">N1086+N1048+N860+N769+N571+N528+N243+N29+N12</f>
        <v>177548.50000000003</v>
      </c>
      <c r="O1104" s="22">
        <f t="shared" si="1161"/>
        <v>25.885478932789042</v>
      </c>
    </row>
    <row r="1105" spans="1:15">
      <c r="A1105" s="52"/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</row>
    <row r="1106" spans="1:15" ht="18.75">
      <c r="A1106" s="52"/>
      <c r="B1106" s="52"/>
      <c r="C1106" s="53"/>
      <c r="D1106" s="53"/>
      <c r="E1106" s="53"/>
      <c r="F1106" s="126" t="s">
        <v>642</v>
      </c>
      <c r="G1106" s="54">
        <f>G1104-G1107</f>
        <v>460322.39999999991</v>
      </c>
      <c r="H1106" s="54">
        <f>H1104-H1107</f>
        <v>299775.60000000003</v>
      </c>
      <c r="I1106" s="54">
        <f t="shared" ref="I1106:M1106" si="1166">I1104-I1107</f>
        <v>433014.53647058818</v>
      </c>
      <c r="J1106" s="54">
        <f t="shared" si="1166"/>
        <v>581477.29999999981</v>
      </c>
      <c r="K1106" s="54">
        <f t="shared" si="1166"/>
        <v>576648</v>
      </c>
      <c r="L1106" s="54">
        <f t="shared" si="1166"/>
        <v>575194.39999999991</v>
      </c>
      <c r="M1106" s="54">
        <f t="shared" si="1166"/>
        <v>484975.7</v>
      </c>
      <c r="N1106" s="54">
        <f t="shared" ref="N1106:O1106" si="1167">N1104-N1107</f>
        <v>124175.60000000003</v>
      </c>
      <c r="O1106" s="54">
        <f t="shared" si="1167"/>
        <v>-326.74459285764334</v>
      </c>
    </row>
    <row r="1107" spans="1:15" ht="18.75">
      <c r="A1107" s="52"/>
      <c r="B1107" s="52"/>
      <c r="C1107" s="53"/>
      <c r="D1107" s="53"/>
      <c r="E1107" s="53"/>
      <c r="F1107" s="126" t="s">
        <v>643</v>
      </c>
      <c r="G1107" s="54">
        <f t="shared" ref="G1107:L1107" si="1168">G108+G196+G209+G231+G237+G312+G324+G395+G513+G553+G567+G617+G674+G736+G799+G899+G942+G1002+G719+G1082++G833+G272</f>
        <v>205119.80000000005</v>
      </c>
      <c r="H1107" s="54">
        <f t="shared" si="1168"/>
        <v>142065.08000000002</v>
      </c>
      <c r="I1107" s="54">
        <f t="shared" si="1168"/>
        <v>205119.80000000005</v>
      </c>
      <c r="J1107" s="54">
        <f t="shared" si="1168"/>
        <v>166450.70000000001</v>
      </c>
      <c r="K1107" s="54">
        <f t="shared" si="1168"/>
        <v>166450.70000000001</v>
      </c>
      <c r="L1107" s="54">
        <f t="shared" si="1168"/>
        <v>166450.70000000001</v>
      </c>
      <c r="M1107" s="54">
        <f>M108+M196+M209+M237+M312+M395+M567+M617+M674+M719+M736+M799+M1002+M962+M942+M979</f>
        <v>200924.3</v>
      </c>
      <c r="N1107" s="54">
        <f t="shared" ref="N1107:O1107" si="1169">N108+N196+N209+N237+N312+N395+N567+N617+N674+N719+N736+N799+N1002+N962+N942+N979</f>
        <v>53372.9</v>
      </c>
      <c r="O1107" s="54">
        <f t="shared" si="1169"/>
        <v>352.6300717904324</v>
      </c>
    </row>
    <row r="1108" spans="1:15" ht="15.75">
      <c r="A1108" s="52"/>
      <c r="B1108" s="52"/>
      <c r="C1108" s="53"/>
      <c r="D1108" s="55"/>
      <c r="E1108" s="55"/>
      <c r="F1108" s="55"/>
      <c r="G1108" s="127"/>
      <c r="H1108" s="127"/>
      <c r="I1108" s="127"/>
      <c r="J1108" s="127"/>
      <c r="K1108" s="127"/>
      <c r="L1108" s="127"/>
      <c r="M1108" s="127"/>
      <c r="N1108" s="127"/>
      <c r="O1108" s="127"/>
    </row>
    <row r="1109" spans="1:15" ht="15.75">
      <c r="A1109" s="52"/>
      <c r="B1109" s="52"/>
      <c r="C1109" s="53"/>
      <c r="D1109" s="55"/>
      <c r="E1109" s="55"/>
      <c r="F1109" s="55"/>
      <c r="G1109" s="226"/>
      <c r="H1109" s="226"/>
      <c r="I1109" s="53"/>
      <c r="J1109" s="226"/>
      <c r="K1109" s="53"/>
      <c r="L1109" s="53"/>
      <c r="M1109" s="226"/>
      <c r="N1109" s="226"/>
      <c r="O1109" s="226"/>
    </row>
    <row r="1110" spans="1:15" ht="15.75">
      <c r="A1110" s="52"/>
      <c r="B1110" s="52"/>
      <c r="C1110" s="53"/>
      <c r="D1110" s="55"/>
      <c r="E1110" s="55"/>
      <c r="F1110" s="55"/>
      <c r="G1110" s="226"/>
      <c r="H1110" s="226"/>
      <c r="I1110" s="53"/>
      <c r="J1110" s="226"/>
      <c r="K1110" s="53"/>
      <c r="L1110" s="53"/>
      <c r="M1110" s="53"/>
      <c r="N1110" s="53"/>
      <c r="O1110" s="53"/>
    </row>
    <row r="1111" spans="1:15" ht="15.75">
      <c r="A1111" s="52"/>
      <c r="B1111" s="52"/>
      <c r="C1111" s="56">
        <v>1</v>
      </c>
      <c r="D1111" s="55"/>
      <c r="E1111" s="55"/>
      <c r="F1111" s="55"/>
      <c r="G1111" s="57">
        <f t="shared" ref="G1111:L1111" si="1170">G13+G30+G529+G572+G1049+G861+G244</f>
        <v>118780.1</v>
      </c>
      <c r="H1111" s="57">
        <f t="shared" si="1170"/>
        <v>71178.899999999994</v>
      </c>
      <c r="I1111" s="57">
        <f t="shared" si="1170"/>
        <v>108948.27960784313</v>
      </c>
      <c r="J1111" s="57">
        <f t="shared" si="1170"/>
        <v>137733.79999999999</v>
      </c>
      <c r="K1111" s="57">
        <f t="shared" si="1170"/>
        <v>138680.90000000002</v>
      </c>
      <c r="L1111" s="57">
        <f t="shared" si="1170"/>
        <v>139391.70000000001</v>
      </c>
      <c r="M1111" s="57">
        <f>M13+M30+M244+M529+M572+M770+M861+M1049+M1087</f>
        <v>135107.30000000002</v>
      </c>
      <c r="N1111" s="57">
        <f t="shared" ref="N1111:O1111" si="1171">N13+N30+N244+N529+N572+N770+N861+N1049+N1087</f>
        <v>27975.5</v>
      </c>
      <c r="O1111" s="57">
        <f t="shared" si="1171"/>
        <v>171.31540360512645</v>
      </c>
    </row>
    <row r="1112" spans="1:15" ht="15.75">
      <c r="A1112" s="52"/>
      <c r="B1112" s="52"/>
      <c r="C1112" s="56" t="s">
        <v>642</v>
      </c>
      <c r="D1112" s="55"/>
      <c r="E1112" s="55"/>
      <c r="F1112" s="55"/>
      <c r="G1112" s="57">
        <f t="shared" ref="G1112:L1112" si="1172">G13+G31+G55+G64+G68+G80+G93+G97+G135+G529+G572+G861+G1059+G1050+G1070+G1077+G251</f>
        <v>115058.5</v>
      </c>
      <c r="H1112" s="57">
        <f t="shared" si="1172"/>
        <v>68666.5</v>
      </c>
      <c r="I1112" s="57">
        <f t="shared" si="1172"/>
        <v>105226.67960784314</v>
      </c>
      <c r="J1112" s="57">
        <f t="shared" si="1172"/>
        <v>134100.9</v>
      </c>
      <c r="K1112" s="57">
        <f t="shared" si="1172"/>
        <v>135048</v>
      </c>
      <c r="L1112" s="57">
        <f t="shared" si="1172"/>
        <v>135758.79999999999</v>
      </c>
      <c r="M1112" s="57">
        <f>M13+M31+M55+M68+M80+M97+M135+M244+M529+M572+M770+M862+M1049+M1087</f>
        <v>131478.6</v>
      </c>
      <c r="N1112" s="57">
        <f t="shared" ref="N1112:O1112" si="1173">N13+N31+N55+N68+N80+N97+N135+N244+N529+N572+N770+N862+N1049+N1087</f>
        <v>27627.899999999998</v>
      </c>
      <c r="O1112" s="57">
        <f t="shared" si="1173"/>
        <v>222.31627149389305</v>
      </c>
    </row>
    <row r="1113" spans="1:15" ht="15.75">
      <c r="A1113" s="52"/>
      <c r="B1113" s="52"/>
      <c r="C1113" s="56" t="s">
        <v>643</v>
      </c>
      <c r="D1113" s="55"/>
      <c r="E1113" s="55"/>
      <c r="F1113" s="55"/>
      <c r="G1113" s="57">
        <f>G1111-G1112</f>
        <v>3721.6000000000058</v>
      </c>
      <c r="H1113" s="57">
        <f>H1111-H1112</f>
        <v>2512.3999999999942</v>
      </c>
      <c r="I1113" s="57">
        <f t="shared" ref="I1113:L1113" si="1174">I1111-I1112</f>
        <v>3721.5999999999913</v>
      </c>
      <c r="J1113" s="57">
        <f t="shared" si="1174"/>
        <v>3632.8999999999942</v>
      </c>
      <c r="K1113" s="57">
        <f t="shared" si="1174"/>
        <v>3632.9000000000233</v>
      </c>
      <c r="L1113" s="57">
        <f t="shared" si="1174"/>
        <v>3632.9000000000233</v>
      </c>
      <c r="M1113" s="57">
        <f>M108</f>
        <v>3628.7</v>
      </c>
      <c r="N1113" s="57">
        <f t="shared" ref="N1113:O1113" si="1175">N108</f>
        <v>347.6</v>
      </c>
      <c r="O1113" s="57">
        <f t="shared" si="1175"/>
        <v>9.5791881390029499</v>
      </c>
    </row>
    <row r="1114" spans="1:15" ht="15.75">
      <c r="A1114" s="52"/>
      <c r="B1114" s="52"/>
      <c r="C1114" s="56">
        <v>2</v>
      </c>
      <c r="D1114" s="55"/>
      <c r="E1114" s="55"/>
      <c r="F1114" s="55"/>
      <c r="G1114" s="57">
        <f t="shared" ref="G1114:M1114" si="1176">G161</f>
        <v>0</v>
      </c>
      <c r="H1114" s="57">
        <f t="shared" si="1176"/>
        <v>0</v>
      </c>
      <c r="I1114" s="57">
        <f t="shared" si="1176"/>
        <v>0</v>
      </c>
      <c r="J1114" s="57">
        <f t="shared" si="1176"/>
        <v>322.89999999999998</v>
      </c>
      <c r="K1114" s="57">
        <f t="shared" si="1176"/>
        <v>22.3</v>
      </c>
      <c r="L1114" s="57">
        <f t="shared" si="1176"/>
        <v>22.3</v>
      </c>
      <c r="M1114" s="57">
        <f t="shared" si="1176"/>
        <v>0</v>
      </c>
      <c r="N1114" s="57">
        <f t="shared" ref="N1114:O1114" si="1177">N161</f>
        <v>0</v>
      </c>
      <c r="O1114" s="57" t="e">
        <f t="shared" si="1177"/>
        <v>#DIV/0!</v>
      </c>
    </row>
    <row r="1115" spans="1:15" ht="15.75">
      <c r="A1115" s="52"/>
      <c r="B1115" s="52"/>
      <c r="C1115" s="56">
        <v>3</v>
      </c>
      <c r="D1115" s="55"/>
      <c r="E1115" s="55"/>
      <c r="F1115" s="55"/>
      <c r="G1115" s="57">
        <f t="shared" ref="G1115:M1115" si="1178">G875+G168</f>
        <v>7209.4000000000005</v>
      </c>
      <c r="H1115" s="57">
        <f t="shared" si="1178"/>
        <v>3838.7000000000003</v>
      </c>
      <c r="I1115" s="57">
        <f t="shared" si="1178"/>
        <v>5540.3666666666668</v>
      </c>
      <c r="J1115" s="57">
        <f t="shared" si="1178"/>
        <v>10330.9</v>
      </c>
      <c r="K1115" s="57">
        <f t="shared" si="1178"/>
        <v>8923.6</v>
      </c>
      <c r="L1115" s="57">
        <f t="shared" si="1178"/>
        <v>8970.1</v>
      </c>
      <c r="M1115" s="57">
        <f t="shared" si="1178"/>
        <v>9234.4</v>
      </c>
      <c r="N1115" s="57">
        <f t="shared" ref="N1115:O1115" si="1179">N875+N168</f>
        <v>1148.0999999999999</v>
      </c>
      <c r="O1115" s="57" t="e">
        <f t="shared" si="1179"/>
        <v>#DIV/0!</v>
      </c>
    </row>
    <row r="1116" spans="1:15" ht="15.75">
      <c r="A1116" s="52"/>
      <c r="B1116" s="52"/>
      <c r="C1116" s="56">
        <v>4</v>
      </c>
      <c r="D1116" s="55"/>
      <c r="E1116" s="55"/>
      <c r="F1116" s="55"/>
      <c r="G1116" s="57">
        <f t="shared" ref="G1116:M1116" si="1180">G186+G882</f>
        <v>20153.2</v>
      </c>
      <c r="H1116" s="57">
        <f t="shared" si="1180"/>
        <v>11432.099999999999</v>
      </c>
      <c r="I1116" s="57">
        <f t="shared" si="1180"/>
        <v>20153.2</v>
      </c>
      <c r="J1116" s="57">
        <f t="shared" si="1180"/>
        <v>20793.199999999997</v>
      </c>
      <c r="K1116" s="57">
        <f t="shared" si="1180"/>
        <v>20793.199999999997</v>
      </c>
      <c r="L1116" s="57">
        <f t="shared" si="1180"/>
        <v>20793.199999999997</v>
      </c>
      <c r="M1116" s="57">
        <f t="shared" si="1180"/>
        <v>12224.5</v>
      </c>
      <c r="N1116" s="57">
        <f t="shared" ref="N1116:O1116" si="1181">N186+N882</f>
        <v>1612.5</v>
      </c>
      <c r="O1116" s="57">
        <f t="shared" si="1181"/>
        <v>25.613938155619955</v>
      </c>
    </row>
    <row r="1117" spans="1:15" ht="15.75">
      <c r="A1117" s="52"/>
      <c r="B1117" s="52"/>
      <c r="C1117" s="56" t="s">
        <v>642</v>
      </c>
      <c r="D1117" s="55"/>
      <c r="E1117" s="55"/>
      <c r="F1117" s="55"/>
      <c r="G1117" s="57">
        <f>G1116-G1118</f>
        <v>18331.8</v>
      </c>
      <c r="H1117" s="57">
        <f>H1116-H1118</f>
        <v>10388.899999999998</v>
      </c>
      <c r="I1117" s="57">
        <f t="shared" ref="I1117:M1117" si="1182">I1116-I1118</f>
        <v>18331.8</v>
      </c>
      <c r="J1117" s="57">
        <f t="shared" si="1182"/>
        <v>18331.799999999996</v>
      </c>
      <c r="K1117" s="57">
        <f t="shared" si="1182"/>
        <v>18331.799999999996</v>
      </c>
      <c r="L1117" s="57">
        <f t="shared" si="1182"/>
        <v>18331.799999999996</v>
      </c>
      <c r="M1117" s="57">
        <f t="shared" si="1182"/>
        <v>10523.6</v>
      </c>
      <c r="N1117" s="57">
        <f t="shared" ref="N1117:O1117" si="1183">N1116-N1118</f>
        <v>1364.3</v>
      </c>
      <c r="O1117" s="57">
        <f t="shared" si="1183"/>
        <v>-4.3230485336638864</v>
      </c>
    </row>
    <row r="1118" spans="1:15" ht="15.75">
      <c r="A1118" s="52"/>
      <c r="B1118" s="52"/>
      <c r="C1118" s="56" t="s">
        <v>643</v>
      </c>
      <c r="D1118" s="55"/>
      <c r="E1118" s="55"/>
      <c r="F1118" s="55"/>
      <c r="G1118" s="57">
        <f t="shared" ref="G1118:L1118" si="1184">G203+G187</f>
        <v>1821.3999999999999</v>
      </c>
      <c r="H1118" s="57">
        <f t="shared" si="1184"/>
        <v>1043.1999999999998</v>
      </c>
      <c r="I1118" s="57">
        <f t="shared" si="1184"/>
        <v>1821.3999999999999</v>
      </c>
      <c r="J1118" s="57">
        <f t="shared" si="1184"/>
        <v>2461.3999999999996</v>
      </c>
      <c r="K1118" s="57">
        <f t="shared" si="1184"/>
        <v>2461.3999999999996</v>
      </c>
      <c r="L1118" s="57">
        <f t="shared" si="1184"/>
        <v>2461.3999999999996</v>
      </c>
      <c r="M1118" s="57">
        <f>M196+M209</f>
        <v>1700.9</v>
      </c>
      <c r="N1118" s="57">
        <f t="shared" ref="N1118:O1118" si="1185">N196+N209</f>
        <v>248.2</v>
      </c>
      <c r="O1118" s="57">
        <f t="shared" si="1185"/>
        <v>29.936986689283842</v>
      </c>
    </row>
    <row r="1119" spans="1:15" ht="15.75">
      <c r="A1119" s="52"/>
      <c r="B1119" s="52"/>
      <c r="C1119" s="56">
        <v>5</v>
      </c>
      <c r="D1119" s="55"/>
      <c r="E1119" s="55"/>
      <c r="F1119" s="55"/>
      <c r="G1119" s="57">
        <f t="shared" ref="G1119:M1119" si="1186">G896+G550</f>
        <v>109165.6</v>
      </c>
      <c r="H1119" s="57">
        <f t="shared" si="1186"/>
        <v>32879.300000000003</v>
      </c>
      <c r="I1119" s="57">
        <f t="shared" si="1186"/>
        <v>90925.805882352943</v>
      </c>
      <c r="J1119" s="57">
        <f t="shared" si="1186"/>
        <v>65675</v>
      </c>
      <c r="K1119" s="57">
        <f t="shared" si="1186"/>
        <v>65971.899999999994</v>
      </c>
      <c r="L1119" s="57">
        <f t="shared" si="1186"/>
        <v>67991.900000000009</v>
      </c>
      <c r="M1119" s="57">
        <f t="shared" si="1186"/>
        <v>97791.599999999991</v>
      </c>
      <c r="N1119" s="57">
        <f t="shared" ref="N1119:O1119" si="1187">N896+N550</f>
        <v>11501.099999999999</v>
      </c>
      <c r="O1119" s="57">
        <f t="shared" si="1187"/>
        <v>26.304966157531304</v>
      </c>
    </row>
    <row r="1120" spans="1:15" ht="15.75">
      <c r="A1120" s="52"/>
      <c r="B1120" s="52"/>
      <c r="C1120" s="56" t="s">
        <v>642</v>
      </c>
      <c r="D1120" s="55"/>
      <c r="E1120" s="55"/>
      <c r="F1120" s="55"/>
      <c r="G1120" s="57">
        <f t="shared" ref="G1120:L1120" si="1188">G1023+G1015+G997+G966+G952+G914+G897++G551</f>
        <v>72021.2</v>
      </c>
      <c r="H1120" s="57">
        <f t="shared" si="1188"/>
        <v>24151.299999999996</v>
      </c>
      <c r="I1120" s="57">
        <f t="shared" si="1188"/>
        <v>53781.405882352941</v>
      </c>
      <c r="J1120" s="57">
        <f t="shared" si="1188"/>
        <v>65675</v>
      </c>
      <c r="K1120" s="57">
        <f t="shared" si="1188"/>
        <v>65971.899999999994</v>
      </c>
      <c r="L1120" s="57">
        <f t="shared" si="1188"/>
        <v>67991.899999999994</v>
      </c>
      <c r="M1120" s="57">
        <f>M551+M903+M914+M953+M959+M966+M997+M1015+M1023-M979</f>
        <v>68971.100000000006</v>
      </c>
      <c r="N1120" s="57">
        <f t="shared" ref="N1120:O1120" si="1189">N551+N903+N914+N953+N959+N966+N997+N1015+N1023-N979</f>
        <v>5769.7000000000007</v>
      </c>
      <c r="O1120" s="57">
        <f t="shared" si="1189"/>
        <v>9.295134563008034</v>
      </c>
    </row>
    <row r="1121" spans="1:15" ht="15.75">
      <c r="A1121" s="52"/>
      <c r="B1121" s="52"/>
      <c r="C1121" s="56" t="s">
        <v>643</v>
      </c>
      <c r="D1121" s="55"/>
      <c r="E1121" s="55"/>
      <c r="F1121" s="55"/>
      <c r="G1121" s="57">
        <f>G1119-G1120</f>
        <v>37144.400000000009</v>
      </c>
      <c r="H1121" s="57">
        <f>H1119-H1120</f>
        <v>8728.0000000000073</v>
      </c>
      <c r="I1121" s="57">
        <f t="shared" ref="I1121:L1121" si="1190">I1119-I1120</f>
        <v>37144.400000000001</v>
      </c>
      <c r="J1121" s="57">
        <f t="shared" si="1190"/>
        <v>0</v>
      </c>
      <c r="K1121" s="57">
        <f t="shared" si="1190"/>
        <v>0</v>
      </c>
      <c r="L1121" s="57">
        <f t="shared" si="1190"/>
        <v>0</v>
      </c>
      <c r="M1121" s="57">
        <f>M942+M1002+M962+M979</f>
        <v>28820.5</v>
      </c>
      <c r="N1121" s="57">
        <f t="shared" ref="N1121:O1121" si="1191">N942+N1002+N962+N979</f>
        <v>5731.4</v>
      </c>
      <c r="O1121" s="57">
        <f t="shared" si="1191"/>
        <v>172.91906582523376</v>
      </c>
    </row>
    <row r="1122" spans="1:15" ht="15.75">
      <c r="A1122" s="52"/>
      <c r="B1122" s="52"/>
      <c r="C1122" s="56">
        <v>7</v>
      </c>
      <c r="D1122" s="55"/>
      <c r="E1122" s="55"/>
      <c r="F1122" s="55"/>
      <c r="G1122" s="57">
        <f t="shared" ref="G1122:M1122" si="1192">G776+G590+G283</f>
        <v>290484.60000000003</v>
      </c>
      <c r="H1122" s="57">
        <f t="shared" si="1192"/>
        <v>227718.68000000002</v>
      </c>
      <c r="I1122" s="57">
        <f t="shared" si="1192"/>
        <v>286378.90000000002</v>
      </c>
      <c r="J1122" s="57">
        <f t="shared" si="1192"/>
        <v>351289.99999999994</v>
      </c>
      <c r="K1122" s="57">
        <f t="shared" si="1192"/>
        <v>343706.9</v>
      </c>
      <c r="L1122" s="57">
        <f t="shared" si="1192"/>
        <v>337520.60000000003</v>
      </c>
      <c r="M1122" s="57">
        <f t="shared" si="1192"/>
        <v>296561.09999999998</v>
      </c>
      <c r="N1122" s="57">
        <f t="shared" ref="N1122:O1122" si="1193">N776+N590+N283</f>
        <v>95327.4</v>
      </c>
      <c r="O1122" s="57">
        <f t="shared" si="1193"/>
        <v>97.589248889251138</v>
      </c>
    </row>
    <row r="1123" spans="1:15" ht="15.75">
      <c r="A1123" s="52"/>
      <c r="B1123" s="52"/>
      <c r="C1123" s="56" t="s">
        <v>642</v>
      </c>
      <c r="D1123" s="55"/>
      <c r="E1123" s="55"/>
      <c r="F1123" s="55"/>
      <c r="G1123" s="57">
        <f>G1122-G1124</f>
        <v>134770.6</v>
      </c>
      <c r="H1123" s="57">
        <f>H1122-H1124</f>
        <v>100998.00000000003</v>
      </c>
      <c r="I1123" s="57">
        <f t="shared" ref="I1123:M1123" si="1194">I1122-I1124</f>
        <v>130664.9</v>
      </c>
      <c r="J1123" s="57">
        <f t="shared" si="1194"/>
        <v>195575.99999999991</v>
      </c>
      <c r="K1123" s="57">
        <f t="shared" si="1194"/>
        <v>187992.9</v>
      </c>
      <c r="L1123" s="57">
        <f t="shared" si="1194"/>
        <v>181806.6</v>
      </c>
      <c r="M1123" s="57">
        <f t="shared" si="1194"/>
        <v>135398.39999999999</v>
      </c>
      <c r="N1123" s="57">
        <f t="shared" ref="N1123:O1123" si="1195">N1122-N1124</f>
        <v>49164.299999999996</v>
      </c>
      <c r="O1123" s="57">
        <f t="shared" si="1195"/>
        <v>-8.2237628200118564</v>
      </c>
    </row>
    <row r="1124" spans="1:15" ht="15.75">
      <c r="A1124" s="52"/>
      <c r="B1124" s="52"/>
      <c r="C1124" s="56" t="s">
        <v>643</v>
      </c>
      <c r="D1124" s="55"/>
      <c r="E1124" s="55"/>
      <c r="F1124" s="55"/>
      <c r="G1124" s="57">
        <f t="shared" ref="G1124:L1124" si="1196">G799+G736+G719+G674+G617+G312</f>
        <v>155714.00000000003</v>
      </c>
      <c r="H1124" s="57">
        <f t="shared" si="1196"/>
        <v>126720.68</v>
      </c>
      <c r="I1124" s="57">
        <f t="shared" si="1196"/>
        <v>155714.00000000003</v>
      </c>
      <c r="J1124" s="57">
        <f t="shared" si="1196"/>
        <v>155714.00000000003</v>
      </c>
      <c r="K1124" s="57">
        <f t="shared" si="1196"/>
        <v>155714.00000000003</v>
      </c>
      <c r="L1124" s="57">
        <f t="shared" si="1196"/>
        <v>155714.00000000003</v>
      </c>
      <c r="M1124" s="57">
        <f>M312+M617+M674+M719+M798+M736</f>
        <v>161162.69999999998</v>
      </c>
      <c r="N1124" s="57">
        <f t="shared" ref="N1124:O1124" si="1197">N312+N617+N674+N719+N798+N736</f>
        <v>46163.1</v>
      </c>
      <c r="O1124" s="57">
        <f t="shared" si="1197"/>
        <v>105.81301170926299</v>
      </c>
    </row>
    <row r="1125" spans="1:15" ht="15.75">
      <c r="A1125" s="52"/>
      <c r="B1125" s="52"/>
      <c r="C1125" s="56">
        <v>8</v>
      </c>
      <c r="D1125" s="55"/>
      <c r="E1125" s="55"/>
      <c r="F1125" s="55"/>
      <c r="G1125" s="57">
        <f t="shared" ref="G1125:M1125" si="1198">G328</f>
        <v>61699.8</v>
      </c>
      <c r="H1125" s="57">
        <f t="shared" si="1198"/>
        <v>54459.8</v>
      </c>
      <c r="I1125" s="57">
        <f t="shared" si="1198"/>
        <v>62134.184313725498</v>
      </c>
      <c r="J1125" s="57">
        <f t="shared" si="1198"/>
        <v>72053.100000000006</v>
      </c>
      <c r="K1125" s="57">
        <f t="shared" si="1198"/>
        <v>73293.100000000006</v>
      </c>
      <c r="L1125" s="57">
        <f t="shared" si="1198"/>
        <v>74048.899999999994</v>
      </c>
      <c r="M1125" s="57">
        <f t="shared" si="1198"/>
        <v>59773.000000000007</v>
      </c>
      <c r="N1125" s="57">
        <f t="shared" ref="N1125:O1125" si="1199">N328</f>
        <v>18186</v>
      </c>
      <c r="O1125" s="57">
        <f t="shared" si="1199"/>
        <v>30.425108326501928</v>
      </c>
    </row>
    <row r="1126" spans="1:15" ht="15.75">
      <c r="A1126" s="52"/>
      <c r="B1126" s="52"/>
      <c r="C1126" s="56" t="s">
        <v>642</v>
      </c>
      <c r="D1126" s="55"/>
      <c r="E1126" s="55"/>
      <c r="F1126" s="55"/>
      <c r="G1126" s="57">
        <f>G1125-G1127</f>
        <v>59561.9</v>
      </c>
      <c r="H1126" s="57">
        <f>H1125-H1127</f>
        <v>53415.200000000004</v>
      </c>
      <c r="I1126" s="57">
        <f t="shared" ref="I1126:M1126" si="1200">I1125-I1127</f>
        <v>59996.284313725497</v>
      </c>
      <c r="J1126" s="57">
        <f t="shared" si="1200"/>
        <v>69919.200000000012</v>
      </c>
      <c r="K1126" s="57">
        <f t="shared" si="1200"/>
        <v>71159.200000000012</v>
      </c>
      <c r="L1126" s="57">
        <f t="shared" si="1200"/>
        <v>71915</v>
      </c>
      <c r="M1126" s="57">
        <f t="shared" si="1200"/>
        <v>57688.700000000004</v>
      </c>
      <c r="N1126" s="57">
        <f t="shared" ref="N1126:O1126" si="1201">N1125-N1127</f>
        <v>17794.400000000001</v>
      </c>
      <c r="O1126" s="57">
        <f t="shared" si="1201"/>
        <v>11.637025996702956</v>
      </c>
    </row>
    <row r="1127" spans="1:15" ht="15.75">
      <c r="A1127" s="52"/>
      <c r="B1127" s="52"/>
      <c r="C1127" s="56" t="s">
        <v>643</v>
      </c>
      <c r="D1127" s="55"/>
      <c r="E1127" s="55"/>
      <c r="F1127" s="55"/>
      <c r="G1127" s="57">
        <f t="shared" ref="G1127:M1127" si="1202">G395</f>
        <v>2137.9</v>
      </c>
      <c r="H1127" s="57">
        <f t="shared" si="1202"/>
        <v>1044.5999999999999</v>
      </c>
      <c r="I1127" s="57">
        <f t="shared" si="1202"/>
        <v>2137.9</v>
      </c>
      <c r="J1127" s="57">
        <f t="shared" si="1202"/>
        <v>2133.9</v>
      </c>
      <c r="K1127" s="57">
        <f t="shared" si="1202"/>
        <v>2133.9</v>
      </c>
      <c r="L1127" s="57">
        <f t="shared" si="1202"/>
        <v>2133.9</v>
      </c>
      <c r="M1127" s="57">
        <f t="shared" si="1202"/>
        <v>2084.3000000000002</v>
      </c>
      <c r="N1127" s="57">
        <f t="shared" ref="N1127:O1127" si="1203">N395</f>
        <v>391.6</v>
      </c>
      <c r="O1127" s="57">
        <f t="shared" si="1203"/>
        <v>18.788082329798971</v>
      </c>
    </row>
    <row r="1128" spans="1:15" ht="15.75">
      <c r="A1128" s="52"/>
      <c r="B1128" s="52"/>
      <c r="C1128" s="56">
        <v>10</v>
      </c>
      <c r="D1128" s="55"/>
      <c r="E1128" s="55"/>
      <c r="F1128" s="55"/>
      <c r="G1128" s="57">
        <f t="shared" ref="G1128:M1128" si="1204">G1041+G565+G454+G218</f>
        <v>16937</v>
      </c>
      <c r="H1128" s="57">
        <f t="shared" si="1204"/>
        <v>11004</v>
      </c>
      <c r="I1128" s="57">
        <f t="shared" si="1204"/>
        <v>16927</v>
      </c>
      <c r="J1128" s="57">
        <f t="shared" si="1204"/>
        <v>17517.8</v>
      </c>
      <c r="K1128" s="57">
        <f t="shared" si="1204"/>
        <v>17632.8</v>
      </c>
      <c r="L1128" s="57">
        <f t="shared" si="1204"/>
        <v>17677.8</v>
      </c>
      <c r="M1128" s="57">
        <f t="shared" si="1204"/>
        <v>16443.7</v>
      </c>
      <c r="N1128" s="57">
        <f t="shared" ref="N1128:O1128" si="1205">N1041+N565+N454+N218</f>
        <v>3521.5</v>
      </c>
      <c r="O1128" s="57">
        <f t="shared" si="1205"/>
        <v>83.395969800039353</v>
      </c>
    </row>
    <row r="1129" spans="1:15" ht="15.75">
      <c r="A1129" s="52"/>
      <c r="B1129" s="52"/>
      <c r="C1129" s="56" t="s">
        <v>642</v>
      </c>
      <c r="D1129" s="55"/>
      <c r="E1129" s="55"/>
      <c r="F1129" s="55"/>
      <c r="G1129" s="57">
        <f t="shared" ref="G1129:M1129" si="1206">G1042+G456+G225+G219</f>
        <v>12856.5</v>
      </c>
      <c r="H1129" s="57">
        <f t="shared" si="1206"/>
        <v>8987.7999999999993</v>
      </c>
      <c r="I1129" s="57">
        <f t="shared" si="1206"/>
        <v>12846.5</v>
      </c>
      <c r="J1129" s="57">
        <f t="shared" si="1206"/>
        <v>14369.3</v>
      </c>
      <c r="K1129" s="57">
        <f t="shared" si="1206"/>
        <v>14484.3</v>
      </c>
      <c r="L1129" s="57">
        <f t="shared" si="1206"/>
        <v>14529.3</v>
      </c>
      <c r="M1129" s="57">
        <f t="shared" si="1206"/>
        <v>12916.5</v>
      </c>
      <c r="N1129" s="57">
        <f t="shared" ref="N1129:O1129" si="1207">N1042+N456+N225+N219</f>
        <v>3030.5</v>
      </c>
      <c r="O1129" s="57">
        <f t="shared" si="1207"/>
        <v>85.839099099595188</v>
      </c>
    </row>
    <row r="1130" spans="1:15" ht="15.75">
      <c r="A1130" s="52"/>
      <c r="B1130" s="52"/>
      <c r="C1130" s="56" t="s">
        <v>643</v>
      </c>
      <c r="D1130" s="55"/>
      <c r="E1130" s="55"/>
      <c r="F1130" s="55"/>
      <c r="G1130" s="57">
        <f t="shared" ref="G1130:L1130" si="1208">G513+G237</f>
        <v>4080.5000000000005</v>
      </c>
      <c r="H1130" s="57">
        <f t="shared" si="1208"/>
        <v>2016.2</v>
      </c>
      <c r="I1130" s="57">
        <f t="shared" si="1208"/>
        <v>4080.5000000000005</v>
      </c>
      <c r="J1130" s="57">
        <f t="shared" si="1208"/>
        <v>3148.5000000000005</v>
      </c>
      <c r="K1130" s="57">
        <f t="shared" si="1208"/>
        <v>3148.5000000000005</v>
      </c>
      <c r="L1130" s="57">
        <f t="shared" si="1208"/>
        <v>3148.5000000000005</v>
      </c>
      <c r="M1130" s="57">
        <f>M513+M237+M567</f>
        <v>3527.2000000000003</v>
      </c>
      <c r="N1130" s="57">
        <f t="shared" ref="N1130:O1130" si="1209">N513+N237+N567</f>
        <v>491</v>
      </c>
      <c r="O1130" s="57" t="e">
        <f t="shared" si="1209"/>
        <v>#DIV/0!</v>
      </c>
    </row>
    <row r="1131" spans="1:15" ht="15.75">
      <c r="A1131" s="52"/>
      <c r="B1131" s="52"/>
      <c r="C1131" s="56">
        <v>11</v>
      </c>
      <c r="D1131" s="55"/>
      <c r="E1131" s="55"/>
      <c r="F1131" s="55"/>
      <c r="G1131" s="57">
        <f t="shared" ref="G1131:M1131" si="1210">G809</f>
        <v>34702.699999999997</v>
      </c>
      <c r="H1131" s="57">
        <f t="shared" si="1210"/>
        <v>24902</v>
      </c>
      <c r="I1131" s="57">
        <f t="shared" si="1210"/>
        <v>40816.800000000003</v>
      </c>
      <c r="J1131" s="57">
        <f t="shared" si="1210"/>
        <v>64029.599999999999</v>
      </c>
      <c r="K1131" s="57">
        <f t="shared" si="1210"/>
        <v>65815.3</v>
      </c>
      <c r="L1131" s="57">
        <f t="shared" si="1210"/>
        <v>66895.899999999994</v>
      </c>
      <c r="M1131" s="57">
        <f t="shared" si="1210"/>
        <v>52525.7</v>
      </c>
      <c r="N1131" s="57">
        <f t="shared" ref="N1131:O1131" si="1211">N809</f>
        <v>17267.5</v>
      </c>
      <c r="O1131" s="57">
        <f t="shared" si="1211"/>
        <v>32.87438339707991</v>
      </c>
    </row>
    <row r="1132" spans="1:15" ht="15.75">
      <c r="A1132" s="52"/>
      <c r="B1132" s="52"/>
      <c r="C1132" s="56" t="s">
        <v>642</v>
      </c>
      <c r="D1132" s="55"/>
      <c r="E1132" s="55"/>
      <c r="F1132" s="55"/>
      <c r="G1132" s="57">
        <f>G1131-G1133</f>
        <v>34202.699999999997</v>
      </c>
      <c r="H1132" s="57">
        <f>H1131-H1133</f>
        <v>24902</v>
      </c>
      <c r="I1132" s="57">
        <f t="shared" ref="I1132:M1132" si="1212">I1131-I1133</f>
        <v>40316.800000000003</v>
      </c>
      <c r="J1132" s="57">
        <f t="shared" si="1212"/>
        <v>64029.599999999999</v>
      </c>
      <c r="K1132" s="57">
        <f t="shared" si="1212"/>
        <v>65815.3</v>
      </c>
      <c r="L1132" s="57">
        <f t="shared" si="1212"/>
        <v>66895.899999999994</v>
      </c>
      <c r="M1132" s="57">
        <f t="shared" si="1212"/>
        <v>52525.7</v>
      </c>
      <c r="N1132" s="57">
        <f t="shared" ref="N1132:O1132" si="1213">N1131-N1133</f>
        <v>17267.5</v>
      </c>
      <c r="O1132" s="57" t="e">
        <f t="shared" si="1213"/>
        <v>#DIV/0!</v>
      </c>
    </row>
    <row r="1133" spans="1:15" ht="15.75">
      <c r="A1133" s="52"/>
      <c r="B1133" s="52"/>
      <c r="C1133" s="56" t="s">
        <v>643</v>
      </c>
      <c r="D1133" s="55"/>
      <c r="E1133" s="55"/>
      <c r="F1133" s="55"/>
      <c r="G1133" s="57">
        <f t="shared" ref="G1133:M1133" si="1214">G833</f>
        <v>500</v>
      </c>
      <c r="H1133" s="57">
        <f t="shared" si="1214"/>
        <v>0</v>
      </c>
      <c r="I1133" s="57">
        <f t="shared" si="1214"/>
        <v>500</v>
      </c>
      <c r="J1133" s="57">
        <f t="shared" si="1214"/>
        <v>0</v>
      </c>
      <c r="K1133" s="57">
        <f t="shared" si="1214"/>
        <v>0</v>
      </c>
      <c r="L1133" s="57">
        <f t="shared" si="1214"/>
        <v>0</v>
      </c>
      <c r="M1133" s="57">
        <f t="shared" si="1214"/>
        <v>0</v>
      </c>
      <c r="N1133" s="57">
        <f t="shared" ref="N1133:O1133" si="1215">N833</f>
        <v>0</v>
      </c>
      <c r="O1133" s="57" t="e">
        <f t="shared" si="1215"/>
        <v>#DIV/0!</v>
      </c>
    </row>
    <row r="1134" spans="1:15" ht="15.75">
      <c r="A1134" s="52"/>
      <c r="B1134" s="52"/>
      <c r="C1134" s="56">
        <v>12</v>
      </c>
      <c r="D1134" s="55"/>
      <c r="E1134" s="55"/>
      <c r="F1134" s="55"/>
      <c r="G1134" s="57">
        <f t="shared" ref="G1134:M1134" si="1216">G1093</f>
        <v>6309.8</v>
      </c>
      <c r="H1134" s="57">
        <f t="shared" si="1216"/>
        <v>4427.2</v>
      </c>
      <c r="I1134" s="57">
        <f t="shared" si="1216"/>
        <v>6309.8</v>
      </c>
      <c r="J1134" s="57">
        <f t="shared" si="1216"/>
        <v>8181.7000000000007</v>
      </c>
      <c r="K1134" s="57">
        <f t="shared" si="1216"/>
        <v>8258.7000000000007</v>
      </c>
      <c r="L1134" s="57">
        <f t="shared" si="1216"/>
        <v>8332.7000000000007</v>
      </c>
      <c r="M1134" s="57">
        <f t="shared" si="1216"/>
        <v>6238.7</v>
      </c>
      <c r="N1134" s="57">
        <f t="shared" ref="N1134:O1134" si="1217">N1093</f>
        <v>1008.9</v>
      </c>
      <c r="O1134" s="57">
        <f t="shared" si="1217"/>
        <v>16.171638322086331</v>
      </c>
    </row>
    <row r="1135" spans="1:15" ht="15.75">
      <c r="A1135" s="52"/>
      <c r="B1135" s="52"/>
      <c r="C1135" s="57"/>
      <c r="D1135" s="55"/>
      <c r="E1135" s="55"/>
      <c r="F1135" s="55"/>
      <c r="G1135" s="128">
        <f>G1111+G1114+G1115+G1116+G1119+G1122+G1125+G1128+G1131+G1134</f>
        <v>665442.20000000007</v>
      </c>
      <c r="H1135" s="128">
        <f>H1111+H1114+H1115+H1116+H1119+H1122+H1125+H1128+H1131+H1134</f>
        <v>441840.68</v>
      </c>
      <c r="I1135" s="128">
        <f t="shared" ref="I1135:L1135" si="1218">I1111+I1114+I1115+I1116+I1119+I1122+I1125+I1128+I1131+I1134</f>
        <v>638134.33647058834</v>
      </c>
      <c r="J1135" s="128">
        <f t="shared" si="1218"/>
        <v>747927.99999999988</v>
      </c>
      <c r="K1135" s="128">
        <f t="shared" si="1218"/>
        <v>743098.70000000007</v>
      </c>
      <c r="L1135" s="128">
        <f t="shared" si="1218"/>
        <v>741645.10000000009</v>
      </c>
      <c r="M1135" s="128">
        <f>M1111+M1114+M1115+M1116+M1119+M1122+M1125+M1128+M1131+M1134</f>
        <v>685899.99999999977</v>
      </c>
      <c r="N1135" s="128">
        <f t="shared" ref="N1135:O1135" si="1219">N1111+N1114+N1115+N1116+N1119+N1122+N1125+N1128+N1131+N1134</f>
        <v>177548.49999999997</v>
      </c>
      <c r="O1135" s="128" t="e">
        <f t="shared" si="1219"/>
        <v>#DIV/0!</v>
      </c>
    </row>
    <row r="1136" spans="1:15" ht="15.75">
      <c r="A1136" s="52"/>
      <c r="B1136" s="52"/>
      <c r="C1136" s="56" t="s">
        <v>642</v>
      </c>
      <c r="D1136" s="55"/>
      <c r="E1136" s="55"/>
      <c r="F1136" s="55"/>
      <c r="G1136" s="128">
        <f>G1112+G1114+G1115+G1117+G1120+G1123+G1126+G1129+G1132+G1134</f>
        <v>460322.4</v>
      </c>
      <c r="H1136" s="128">
        <f>H1112+H1114+H1115+H1117+H1120+H1123+H1126+H1129+H1132+H1134</f>
        <v>299775.60000000003</v>
      </c>
      <c r="I1136" s="128">
        <f t="shared" ref="I1136:L1136" si="1220">I1112+I1114+I1115+I1117+I1120+I1123+I1126+I1129+I1132+I1134</f>
        <v>433014.53647058824</v>
      </c>
      <c r="J1136" s="128">
        <f t="shared" si="1220"/>
        <v>580837.29999999981</v>
      </c>
      <c r="K1136" s="128">
        <f t="shared" si="1220"/>
        <v>576008</v>
      </c>
      <c r="L1136" s="128">
        <f t="shared" si="1220"/>
        <v>574554.39999999991</v>
      </c>
      <c r="M1136" s="128">
        <f>M1112+M1114+M1115+M1117+M1120+M1123+M1126+M1129+M1132+M1134</f>
        <v>484975.7</v>
      </c>
      <c r="N1136" s="128">
        <f t="shared" ref="N1136:O1136" si="1221">N1112+N1114+N1115+N1117+N1120+N1123+N1126+N1129+N1132+N1134</f>
        <v>124175.59999999998</v>
      </c>
      <c r="O1136" s="128" t="e">
        <f t="shared" si="1221"/>
        <v>#DIV/0!</v>
      </c>
    </row>
    <row r="1137" spans="1:15" ht="15.75">
      <c r="A1137" s="52"/>
      <c r="B1137" s="52"/>
      <c r="C1137" s="56" t="s">
        <v>643</v>
      </c>
      <c r="D1137" s="55"/>
      <c r="E1137" s="55"/>
      <c r="F1137" s="55"/>
      <c r="G1137" s="128">
        <f>G1135-G1136</f>
        <v>205119.80000000005</v>
      </c>
      <c r="H1137" s="128">
        <f>H1135-H1136</f>
        <v>142065.07999999996</v>
      </c>
      <c r="I1137" s="128">
        <f t="shared" ref="I1137:L1137" si="1222">I1135-I1136</f>
        <v>205119.8000000001</v>
      </c>
      <c r="J1137" s="128">
        <f t="shared" si="1222"/>
        <v>167090.70000000007</v>
      </c>
      <c r="K1137" s="128">
        <f t="shared" si="1222"/>
        <v>167090.70000000007</v>
      </c>
      <c r="L1137" s="128">
        <f t="shared" si="1222"/>
        <v>167090.70000000019</v>
      </c>
      <c r="M1137" s="128">
        <f>M1135-M1136</f>
        <v>200924.29999999976</v>
      </c>
      <c r="N1137" s="128">
        <f t="shared" ref="N1137:O1137" si="1223">N1135-N1136</f>
        <v>53372.899999999994</v>
      </c>
      <c r="O1137" s="128" t="e">
        <f t="shared" si="1223"/>
        <v>#DIV/0!</v>
      </c>
    </row>
    <row r="1138" spans="1:15">
      <c r="G1138" s="129">
        <f>G1136-G1106</f>
        <v>0</v>
      </c>
      <c r="H1138" s="129">
        <f>H1136-H1106</f>
        <v>0</v>
      </c>
      <c r="I1138" s="129"/>
      <c r="J1138" s="129"/>
      <c r="K1138" s="129"/>
      <c r="L1138" s="129"/>
      <c r="M1138" s="129"/>
      <c r="N1138" s="129"/>
      <c r="O1138" s="129"/>
    </row>
    <row r="1139" spans="1:15">
      <c r="D1139" s="1" t="s">
        <v>644</v>
      </c>
      <c r="E1139" s="1">
        <v>50</v>
      </c>
      <c r="G1139" s="129">
        <f t="shared" ref="G1139:M1139" si="1224">G890</f>
        <v>15124.1</v>
      </c>
      <c r="H1139" s="129">
        <f t="shared" si="1224"/>
        <v>9060.2999999999993</v>
      </c>
      <c r="I1139" s="129">
        <f t="shared" si="1224"/>
        <v>15124.1</v>
      </c>
      <c r="J1139" s="129">
        <f t="shared" si="1224"/>
        <v>15124.1</v>
      </c>
      <c r="K1139" s="129">
        <f t="shared" si="1224"/>
        <v>15124.1</v>
      </c>
      <c r="L1139" s="129">
        <f t="shared" si="1224"/>
        <v>15124.1</v>
      </c>
      <c r="M1139" s="129">
        <f t="shared" si="1224"/>
        <v>6895.3</v>
      </c>
      <c r="N1139" s="129">
        <f t="shared" ref="N1139:O1139" si="1225">N890</f>
        <v>837.3</v>
      </c>
      <c r="O1139" s="129">
        <f t="shared" si="1225"/>
        <v>12.143053964294518</v>
      </c>
    </row>
    <row r="1140" spans="1:15">
      <c r="E1140" s="1">
        <v>51</v>
      </c>
      <c r="G1140" s="129">
        <f t="shared" ref="G1140:M1140" si="1226">G456</f>
        <v>3693</v>
      </c>
      <c r="H1140" s="129">
        <f t="shared" si="1226"/>
        <v>2188</v>
      </c>
      <c r="I1140" s="129">
        <f t="shared" si="1226"/>
        <v>3693</v>
      </c>
      <c r="J1140" s="129">
        <f t="shared" si="1226"/>
        <v>5185</v>
      </c>
      <c r="K1140" s="129">
        <f t="shared" si="1226"/>
        <v>5300</v>
      </c>
      <c r="L1140" s="129">
        <f t="shared" si="1226"/>
        <v>5345</v>
      </c>
      <c r="M1140" s="129">
        <f t="shared" si="1226"/>
        <v>3753</v>
      </c>
      <c r="N1140" s="129">
        <f t="shared" ref="N1140:O1140" si="1227">N456</f>
        <v>727.8</v>
      </c>
      <c r="O1140" s="129">
        <f t="shared" si="1227"/>
        <v>19.392486011191046</v>
      </c>
    </row>
    <row r="1141" spans="1:15">
      <c r="E1141" s="1">
        <v>52</v>
      </c>
      <c r="G1141" s="129">
        <f t="shared" ref="G1141:M1141" si="1228">G592+G637+G730+G706</f>
        <v>89244.700000000012</v>
      </c>
      <c r="H1141" s="129">
        <f t="shared" si="1228"/>
        <v>70286.5</v>
      </c>
      <c r="I1141" s="129">
        <f t="shared" si="1228"/>
        <v>89860.866666666669</v>
      </c>
      <c r="J1141" s="129">
        <f t="shared" si="1228"/>
        <v>137435.9</v>
      </c>
      <c r="K1141" s="129">
        <f t="shared" si="1228"/>
        <v>129913.1</v>
      </c>
      <c r="L1141" s="129">
        <f t="shared" si="1228"/>
        <v>123239.70000000001</v>
      </c>
      <c r="M1141" s="129">
        <f t="shared" si="1228"/>
        <v>88297.3</v>
      </c>
      <c r="N1141" s="129">
        <f t="shared" ref="N1141:O1141" si="1229">N592+N637+N730+N706</f>
        <v>35427.1</v>
      </c>
      <c r="O1141" s="129">
        <f t="shared" si="1229"/>
        <v>126.03474023893287</v>
      </c>
    </row>
    <row r="1142" spans="1:15">
      <c r="E1142" s="1">
        <v>53</v>
      </c>
      <c r="G1142" s="129">
        <f t="shared" ref="G1142:L1142" si="1230">G64</f>
        <v>250</v>
      </c>
      <c r="H1142" s="129">
        <f t="shared" si="1230"/>
        <v>0</v>
      </c>
      <c r="I1142" s="129">
        <f t="shared" si="1230"/>
        <v>250</v>
      </c>
      <c r="J1142" s="129">
        <f t="shared" si="1230"/>
        <v>0</v>
      </c>
      <c r="K1142" s="129">
        <f t="shared" si="1230"/>
        <v>0</v>
      </c>
      <c r="L1142" s="129">
        <f t="shared" si="1230"/>
        <v>0</v>
      </c>
      <c r="M1142" s="129">
        <f>M204</f>
        <v>250</v>
      </c>
      <c r="N1142" s="129">
        <f t="shared" ref="N1142:O1142" si="1231">N204</f>
        <v>0</v>
      </c>
      <c r="O1142" s="129">
        <f t="shared" si="1231"/>
        <v>0</v>
      </c>
    </row>
    <row r="1143" spans="1:15">
      <c r="E1143" s="1">
        <v>54</v>
      </c>
      <c r="G1143" s="129">
        <f t="shared" ref="G1143:M1143" si="1232">G68+G1077</f>
        <v>654</v>
      </c>
      <c r="H1143" s="129">
        <f t="shared" si="1232"/>
        <v>412.49999999999994</v>
      </c>
      <c r="I1143" s="129">
        <f t="shared" si="1232"/>
        <v>654</v>
      </c>
      <c r="J1143" s="129">
        <f t="shared" si="1232"/>
        <v>669</v>
      </c>
      <c r="K1143" s="129">
        <f t="shared" si="1232"/>
        <v>669</v>
      </c>
      <c r="L1143" s="129">
        <f t="shared" si="1232"/>
        <v>669</v>
      </c>
      <c r="M1143" s="129">
        <f t="shared" si="1232"/>
        <v>741</v>
      </c>
      <c r="N1143" s="129">
        <f t="shared" ref="N1143:O1143" si="1233">N68+N1077</f>
        <v>102.80000000000001</v>
      </c>
      <c r="O1143" s="129">
        <f t="shared" si="1233"/>
        <v>13.882511816340312</v>
      </c>
    </row>
    <row r="1144" spans="1:15">
      <c r="E1144" s="1">
        <v>55</v>
      </c>
      <c r="G1144" s="129">
        <f t="shared" ref="G1144:M1144" si="1234">G226</f>
        <v>10</v>
      </c>
      <c r="H1144" s="129">
        <f t="shared" si="1234"/>
        <v>0</v>
      </c>
      <c r="I1144" s="129">
        <f t="shared" si="1234"/>
        <v>0</v>
      </c>
      <c r="J1144" s="129">
        <f t="shared" si="1234"/>
        <v>10</v>
      </c>
      <c r="K1144" s="129">
        <f t="shared" si="1234"/>
        <v>10</v>
      </c>
      <c r="L1144" s="129">
        <f t="shared" si="1234"/>
        <v>10</v>
      </c>
      <c r="M1144" s="129">
        <f t="shared" si="1234"/>
        <v>10</v>
      </c>
      <c r="N1144" s="129">
        <f t="shared" ref="N1144:O1144" si="1235">N226</f>
        <v>0</v>
      </c>
      <c r="O1144" s="129">
        <f t="shared" si="1235"/>
        <v>0</v>
      </c>
    </row>
    <row r="1145" spans="1:15">
      <c r="E1145" s="1">
        <v>56</v>
      </c>
      <c r="G1145" s="129">
        <f t="shared" ref="G1145:L1145" si="1236">G80</f>
        <v>80</v>
      </c>
      <c r="H1145" s="129">
        <f t="shared" si="1236"/>
        <v>14.6</v>
      </c>
      <c r="I1145" s="129">
        <f t="shared" si="1236"/>
        <v>80</v>
      </c>
      <c r="J1145" s="129">
        <f t="shared" si="1236"/>
        <v>120</v>
      </c>
      <c r="K1145" s="129">
        <f t="shared" si="1236"/>
        <v>120</v>
      </c>
      <c r="L1145" s="129">
        <f t="shared" si="1236"/>
        <v>120</v>
      </c>
      <c r="M1145" s="129">
        <f>M80+M246</f>
        <v>120</v>
      </c>
      <c r="N1145" s="129">
        <f t="shared" ref="N1145:O1145" si="1237">N80+N246</f>
        <v>0</v>
      </c>
      <c r="O1145" s="129">
        <f t="shared" si="1237"/>
        <v>0</v>
      </c>
    </row>
    <row r="1146" spans="1:15">
      <c r="E1146" s="1">
        <v>57</v>
      </c>
      <c r="G1146" s="129">
        <f t="shared" ref="G1146:M1146" si="1238">G838+G811+G778</f>
        <v>36478.9</v>
      </c>
      <c r="H1146" s="129">
        <f t="shared" si="1238"/>
        <v>26367.4</v>
      </c>
      <c r="I1146" s="129">
        <f t="shared" si="1238"/>
        <v>41702</v>
      </c>
      <c r="J1146" s="129">
        <f t="shared" si="1238"/>
        <v>72379.399999999994</v>
      </c>
      <c r="K1146" s="129">
        <f t="shared" si="1238"/>
        <v>74277.599999999991</v>
      </c>
      <c r="L1146" s="129">
        <f t="shared" si="1238"/>
        <v>75462.799999999988</v>
      </c>
      <c r="M1146" s="129">
        <f t="shared" si="1238"/>
        <v>56009.2</v>
      </c>
      <c r="N1146" s="129">
        <f t="shared" ref="N1146:O1146" si="1239">N838+N811+N778</f>
        <v>19192.800000000003</v>
      </c>
      <c r="O1146" s="129">
        <f t="shared" si="1239"/>
        <v>103.05184880659721</v>
      </c>
    </row>
    <row r="1147" spans="1:15">
      <c r="E1147" s="1">
        <v>58</v>
      </c>
      <c r="G1147" s="129">
        <f t="shared" ref="G1147:M1147" si="1240">G330+G285</f>
        <v>58528.700000000004</v>
      </c>
      <c r="H1147" s="129">
        <f t="shared" si="1240"/>
        <v>49473.3</v>
      </c>
      <c r="I1147" s="129">
        <f t="shared" si="1240"/>
        <v>53466.433333333342</v>
      </c>
      <c r="J1147" s="129">
        <f t="shared" si="1240"/>
        <v>72150.8</v>
      </c>
      <c r="K1147" s="129">
        <f t="shared" si="1240"/>
        <v>72948.7</v>
      </c>
      <c r="L1147" s="129">
        <f t="shared" si="1240"/>
        <v>73823.600000000006</v>
      </c>
      <c r="M1147" s="129">
        <f t="shared" si="1240"/>
        <v>57925.200000000004</v>
      </c>
      <c r="N1147" s="129">
        <f t="shared" ref="N1147:O1147" si="1241">N330+N285</f>
        <v>20215.3</v>
      </c>
      <c r="O1147" s="129">
        <f t="shared" si="1241"/>
        <v>69.870333472484745</v>
      </c>
    </row>
    <row r="1148" spans="1:15">
      <c r="E1148" s="1">
        <v>59</v>
      </c>
      <c r="G1148" s="129">
        <f t="shared" ref="G1148:L1148" si="1242">G390</f>
        <v>200</v>
      </c>
      <c r="H1148" s="129">
        <f t="shared" si="1242"/>
        <v>0</v>
      </c>
      <c r="I1148" s="129">
        <f t="shared" si="1242"/>
        <v>200</v>
      </c>
      <c r="J1148" s="129">
        <f t="shared" si="1242"/>
        <v>0</v>
      </c>
      <c r="K1148" s="129">
        <f t="shared" si="1242"/>
        <v>0</v>
      </c>
      <c r="L1148" s="129">
        <f t="shared" si="1242"/>
        <v>0</v>
      </c>
      <c r="M1148" s="129">
        <f>M828</f>
        <v>545</v>
      </c>
      <c r="N1148" s="129">
        <f t="shared" ref="N1148:O1148" si="1243">N828</f>
        <v>0</v>
      </c>
      <c r="O1148" s="129">
        <f t="shared" si="1243"/>
        <v>0</v>
      </c>
    </row>
    <row r="1149" spans="1:15">
      <c r="E1149" s="1">
        <v>60</v>
      </c>
      <c r="G1149" s="129">
        <f t="shared" ref="G1149:M1149" si="1244">G966</f>
        <v>12375.499999999998</v>
      </c>
      <c r="H1149" s="129">
        <f t="shared" si="1244"/>
        <v>1616.6000000000001</v>
      </c>
      <c r="I1149" s="129">
        <f t="shared" si="1244"/>
        <v>3394.8</v>
      </c>
      <c r="J1149" s="129">
        <f t="shared" si="1244"/>
        <v>16123</v>
      </c>
      <c r="K1149" s="129">
        <f t="shared" si="1244"/>
        <v>16291.599999999999</v>
      </c>
      <c r="L1149" s="129">
        <f t="shared" si="1244"/>
        <v>18205.7</v>
      </c>
      <c r="M1149" s="129">
        <f t="shared" si="1244"/>
        <v>18293.899999999998</v>
      </c>
      <c r="N1149" s="129">
        <f t="shared" ref="N1149:O1149" si="1245">N966</f>
        <v>1602.8</v>
      </c>
      <c r="O1149" s="129">
        <f t="shared" si="1245"/>
        <v>8.7613904088248002</v>
      </c>
    </row>
    <row r="1150" spans="1:15">
      <c r="E1150" s="1">
        <v>61</v>
      </c>
      <c r="G1150" s="129">
        <f t="shared" ref="G1150:L1150" si="1246">G93</f>
        <v>120</v>
      </c>
      <c r="H1150" s="129">
        <f t="shared" si="1246"/>
        <v>30</v>
      </c>
      <c r="I1150" s="129">
        <f t="shared" si="1246"/>
        <v>120</v>
      </c>
      <c r="J1150" s="129">
        <f t="shared" si="1246"/>
        <v>0</v>
      </c>
      <c r="K1150" s="129">
        <f t="shared" si="1246"/>
        <v>0</v>
      </c>
      <c r="L1150" s="129">
        <f t="shared" si="1246"/>
        <v>0</v>
      </c>
      <c r="M1150" s="129">
        <f>M188</f>
        <v>120</v>
      </c>
      <c r="N1150" s="129">
        <f t="shared" ref="N1150:O1150" si="1247">N188</f>
        <v>5</v>
      </c>
      <c r="O1150" s="129">
        <f t="shared" si="1247"/>
        <v>4.1666666666666661</v>
      </c>
    </row>
    <row r="1151" spans="1:15">
      <c r="E1151" s="1">
        <v>62</v>
      </c>
      <c r="G1151" s="129">
        <f t="shared" ref="G1151:M1151" si="1248">G914</f>
        <v>5427.9</v>
      </c>
      <c r="H1151" s="129">
        <f t="shared" si="1248"/>
        <v>61.8</v>
      </c>
      <c r="I1151" s="129">
        <f t="shared" si="1248"/>
        <v>5427.9</v>
      </c>
      <c r="J1151" s="129">
        <f t="shared" si="1248"/>
        <v>967</v>
      </c>
      <c r="K1151" s="129">
        <f t="shared" si="1248"/>
        <v>967</v>
      </c>
      <c r="L1151" s="129">
        <f t="shared" si="1248"/>
        <v>967</v>
      </c>
      <c r="M1151" s="129">
        <f t="shared" si="1248"/>
        <v>5084.5</v>
      </c>
      <c r="N1151" s="129">
        <f t="shared" ref="N1151:O1151" si="1249">N914</f>
        <v>548.5</v>
      </c>
      <c r="O1151" s="129">
        <f t="shared" si="1249"/>
        <v>10.787688071590127</v>
      </c>
    </row>
    <row r="1152" spans="1:15">
      <c r="E1152" s="1">
        <v>63</v>
      </c>
      <c r="G1152" s="129">
        <f>G416+G742</f>
        <v>145</v>
      </c>
      <c r="H1152" s="129">
        <f>H416+H742</f>
        <v>0</v>
      </c>
      <c r="I1152" s="129">
        <f>I416+I742</f>
        <v>145</v>
      </c>
      <c r="J1152" s="129">
        <f>J416+J742+J574+J251</f>
        <v>155</v>
      </c>
      <c r="K1152" s="129">
        <f>K416+K742+K574+K251</f>
        <v>155</v>
      </c>
      <c r="L1152" s="129">
        <f>L416+L742+L574+L251</f>
        <v>155</v>
      </c>
      <c r="M1152" s="129">
        <f>M416+M742+M574+M251</f>
        <v>155</v>
      </c>
      <c r="N1152" s="129">
        <f t="shared" ref="N1152:O1152" si="1250">N416+N742+N574+N251</f>
        <v>0</v>
      </c>
      <c r="O1152" s="129" t="e">
        <f t="shared" si="1250"/>
        <v>#DIV/0!</v>
      </c>
    </row>
    <row r="1153" spans="5:15">
      <c r="E1153" s="1">
        <v>64</v>
      </c>
      <c r="G1153" s="129">
        <f t="shared" ref="G1153:L1153" si="1251">G97+G435</f>
        <v>34</v>
      </c>
      <c r="H1153" s="129">
        <f t="shared" si="1251"/>
        <v>19.100000000000001</v>
      </c>
      <c r="I1153" s="129">
        <f t="shared" si="1251"/>
        <v>34</v>
      </c>
      <c r="J1153" s="129">
        <f t="shared" si="1251"/>
        <v>0</v>
      </c>
      <c r="K1153" s="129">
        <f t="shared" si="1251"/>
        <v>0</v>
      </c>
      <c r="L1153" s="129">
        <f t="shared" si="1251"/>
        <v>0</v>
      </c>
      <c r="M1153" s="129">
        <f>M97+M435+M1089+M772+M586+M276</f>
        <v>3957.2</v>
      </c>
      <c r="N1153" s="129">
        <f t="shared" ref="N1153:O1153" si="1252">N97+N435+N1089+N772+N586+N276</f>
        <v>913.5</v>
      </c>
      <c r="O1153" s="129" t="e">
        <f t="shared" si="1252"/>
        <v>#DIV/0!</v>
      </c>
    </row>
    <row r="1154" spans="5:15">
      <c r="E1154" s="1">
        <v>65</v>
      </c>
      <c r="G1154" s="129">
        <f t="shared" ref="G1154:M1154" si="1253">G997</f>
        <v>600</v>
      </c>
      <c r="H1154" s="129">
        <f t="shared" si="1253"/>
        <v>0</v>
      </c>
      <c r="I1154" s="129">
        <f t="shared" si="1253"/>
        <v>600</v>
      </c>
      <c r="J1154" s="129">
        <f t="shared" si="1253"/>
        <v>0</v>
      </c>
      <c r="K1154" s="129">
        <f t="shared" si="1253"/>
        <v>0</v>
      </c>
      <c r="L1154" s="129">
        <f t="shared" si="1253"/>
        <v>0</v>
      </c>
      <c r="M1154" s="129">
        <f t="shared" si="1253"/>
        <v>500</v>
      </c>
      <c r="N1154" s="129">
        <f t="shared" ref="N1154:O1154" si="1254">N997</f>
        <v>0</v>
      </c>
      <c r="O1154" s="129">
        <f t="shared" si="1254"/>
        <v>0</v>
      </c>
    </row>
    <row r="1155" spans="5:15">
      <c r="E1155" s="1">
        <v>66</v>
      </c>
      <c r="G1155" s="129"/>
      <c r="H1155" s="129"/>
      <c r="I1155" s="129"/>
      <c r="J1155" s="129"/>
      <c r="K1155" s="129"/>
      <c r="L1155" s="129"/>
      <c r="M1155" s="129">
        <f>M541</f>
        <v>200</v>
      </c>
      <c r="N1155" s="129">
        <f t="shared" ref="N1155:O1155" si="1255">N541</f>
        <v>0</v>
      </c>
      <c r="O1155" s="129">
        <f t="shared" si="1255"/>
        <v>0</v>
      </c>
    </row>
    <row r="1156" spans="5:15">
      <c r="G1156" s="129">
        <f>SUM(G1139:G1154)</f>
        <v>222965.80000000002</v>
      </c>
      <c r="H1156" s="129">
        <f>SUM(H1139:H1154)</f>
        <v>159530.10000000003</v>
      </c>
      <c r="I1156" s="129">
        <f t="shared" ref="I1156:L1156" si="1256">SUM(I1139:I1154)</f>
        <v>214752.1</v>
      </c>
      <c r="J1156" s="129">
        <f t="shared" si="1256"/>
        <v>320319.2</v>
      </c>
      <c r="K1156" s="129">
        <f t="shared" si="1256"/>
        <v>315776.09999999998</v>
      </c>
      <c r="L1156" s="129">
        <f t="shared" si="1256"/>
        <v>313121.90000000002</v>
      </c>
      <c r="M1156" s="129">
        <f>SUM(M1139:M1155)</f>
        <v>242856.6</v>
      </c>
      <c r="N1156" s="129">
        <f t="shared" ref="N1156:O1156" si="1257">SUM(N1139:N1155)</f>
        <v>79572.900000000009</v>
      </c>
      <c r="O1156" s="129" t="e">
        <f t="shared" si="1257"/>
        <v>#DIV/0!</v>
      </c>
    </row>
    <row r="1157" spans="5:15">
      <c r="G1157" s="129"/>
      <c r="H1157" s="129"/>
      <c r="I1157" s="129"/>
    </row>
  </sheetData>
  <mergeCells count="2">
    <mergeCell ref="A6:G6"/>
    <mergeCell ref="A7:O7"/>
  </mergeCells>
  <pageMargins left="0.39370078740157483" right="0.39370078740157483" top="1.1811023622047245" bottom="0.39370078740157483" header="0.31496062992125984" footer="0.31496062992125984"/>
  <pageSetup paperSize="9" scale="76" orientation="portrait" r:id="rId1"/>
  <rowBreaks count="1" manualBreakCount="1">
    <brk id="110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3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>
      <c r="A1" s="74"/>
      <c r="B1" s="74"/>
      <c r="C1" s="74"/>
      <c r="D1" s="74"/>
      <c r="E1" s="73"/>
      <c r="F1" s="182" t="s">
        <v>161</v>
      </c>
      <c r="G1" s="74"/>
      <c r="H1" s="205"/>
    </row>
    <row r="2" spans="1:9" ht="18.75">
      <c r="A2" s="74"/>
      <c r="B2" s="74"/>
      <c r="C2" s="74"/>
      <c r="D2" s="74"/>
      <c r="E2" s="73"/>
      <c r="F2" s="182" t="s">
        <v>0</v>
      </c>
      <c r="G2" s="74"/>
      <c r="H2" s="205"/>
    </row>
    <row r="3" spans="1:9" ht="18.75">
      <c r="A3" s="74"/>
      <c r="B3" s="74"/>
      <c r="C3" s="74"/>
      <c r="D3" s="74"/>
      <c r="E3" s="73"/>
      <c r="F3" s="182" t="s">
        <v>841</v>
      </c>
      <c r="G3" s="74"/>
      <c r="H3" s="205"/>
    </row>
    <row r="4" spans="1:9" ht="15.75">
      <c r="A4" s="310"/>
      <c r="B4" s="310"/>
      <c r="C4" s="310"/>
      <c r="D4" s="310"/>
      <c r="E4" s="310"/>
      <c r="F4" s="310"/>
      <c r="G4" s="310"/>
      <c r="H4" s="205"/>
    </row>
    <row r="5" spans="1:9" ht="15.75">
      <c r="A5" s="305" t="s">
        <v>162</v>
      </c>
      <c r="B5" s="305"/>
      <c r="C5" s="305"/>
      <c r="D5" s="305"/>
      <c r="E5" s="305"/>
      <c r="F5" s="305"/>
      <c r="G5" s="305"/>
      <c r="H5" s="205"/>
    </row>
    <row r="6" spans="1:9" ht="15.75">
      <c r="A6" s="202"/>
      <c r="B6" s="202"/>
      <c r="C6" s="202"/>
      <c r="D6" s="202"/>
      <c r="E6" s="202"/>
      <c r="F6" s="202"/>
      <c r="G6" s="202"/>
      <c r="H6" s="205"/>
    </row>
    <row r="7" spans="1:9" ht="15.75">
      <c r="A7" s="14"/>
      <c r="B7" s="14"/>
      <c r="C7" s="14"/>
      <c r="D7" s="14"/>
      <c r="E7" s="14"/>
      <c r="F7" s="14"/>
      <c r="G7" s="125" t="s">
        <v>1</v>
      </c>
      <c r="H7" s="205"/>
    </row>
    <row r="8" spans="1:9" ht="47.25">
      <c r="A8" s="15" t="s">
        <v>163</v>
      </c>
      <c r="B8" s="15" t="s">
        <v>164</v>
      </c>
      <c r="C8" s="16" t="s">
        <v>165</v>
      </c>
      <c r="D8" s="16" t="s">
        <v>166</v>
      </c>
      <c r="E8" s="16" t="s">
        <v>167</v>
      </c>
      <c r="F8" s="16" t="s">
        <v>168</v>
      </c>
      <c r="G8" s="15" t="s">
        <v>4</v>
      </c>
      <c r="H8" s="205"/>
    </row>
    <row r="9" spans="1:9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5"/>
    </row>
    <row r="10" spans="1:9" ht="31.5">
      <c r="A10" s="20" t="s">
        <v>169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5"/>
      <c r="I10" s="138"/>
    </row>
    <row r="11" spans="1:9" ht="15.75">
      <c r="A11" s="24" t="s">
        <v>170</v>
      </c>
      <c r="B11" s="20">
        <v>901</v>
      </c>
      <c r="C11" s="25" t="s">
        <v>171</v>
      </c>
      <c r="D11" s="21"/>
      <c r="E11" s="21"/>
      <c r="F11" s="21"/>
      <c r="G11" s="22">
        <f>G12+G22</f>
        <v>14164.460000000001</v>
      </c>
      <c r="H11" s="205"/>
    </row>
    <row r="12" spans="1:9" ht="63">
      <c r="A12" s="24" t="s">
        <v>172</v>
      </c>
      <c r="B12" s="20">
        <v>901</v>
      </c>
      <c r="C12" s="25" t="s">
        <v>171</v>
      </c>
      <c r="D12" s="25" t="s">
        <v>173</v>
      </c>
      <c r="E12" s="25"/>
      <c r="F12" s="25"/>
      <c r="G12" s="22">
        <f>G13</f>
        <v>14114.460000000001</v>
      </c>
      <c r="H12" s="205"/>
    </row>
    <row r="13" spans="1:9" ht="15.75">
      <c r="A13" s="26" t="s">
        <v>174</v>
      </c>
      <c r="B13" s="17">
        <v>901</v>
      </c>
      <c r="C13" s="21" t="s">
        <v>171</v>
      </c>
      <c r="D13" s="21" t="s">
        <v>173</v>
      </c>
      <c r="E13" s="21" t="s">
        <v>175</v>
      </c>
      <c r="F13" s="21"/>
      <c r="G13" s="27">
        <f>G14</f>
        <v>14114.460000000001</v>
      </c>
      <c r="H13" s="205"/>
    </row>
    <row r="14" spans="1:9" ht="31.5">
      <c r="A14" s="26" t="s">
        <v>176</v>
      </c>
      <c r="B14" s="17">
        <v>901</v>
      </c>
      <c r="C14" s="21" t="s">
        <v>171</v>
      </c>
      <c r="D14" s="21" t="s">
        <v>173</v>
      </c>
      <c r="E14" s="21" t="s">
        <v>177</v>
      </c>
      <c r="F14" s="21"/>
      <c r="G14" s="27">
        <f>G15</f>
        <v>14114.460000000001</v>
      </c>
      <c r="H14" s="205"/>
    </row>
    <row r="15" spans="1:9" ht="47.25">
      <c r="A15" s="26" t="s">
        <v>178</v>
      </c>
      <c r="B15" s="17">
        <v>901</v>
      </c>
      <c r="C15" s="21" t="s">
        <v>171</v>
      </c>
      <c r="D15" s="21" t="s">
        <v>173</v>
      </c>
      <c r="E15" s="21" t="s">
        <v>179</v>
      </c>
      <c r="F15" s="21"/>
      <c r="G15" s="27">
        <f>G16+G18+G20</f>
        <v>14114.460000000001</v>
      </c>
      <c r="H15" s="205"/>
    </row>
    <row r="16" spans="1:9" ht="94.5">
      <c r="A16" s="26" t="s">
        <v>180</v>
      </c>
      <c r="B16" s="17">
        <v>901</v>
      </c>
      <c r="C16" s="21" t="s">
        <v>171</v>
      </c>
      <c r="D16" s="21" t="s">
        <v>173</v>
      </c>
      <c r="E16" s="21" t="s">
        <v>179</v>
      </c>
      <c r="F16" s="21" t="s">
        <v>181</v>
      </c>
      <c r="G16" s="27">
        <f>G17</f>
        <v>12784.1</v>
      </c>
      <c r="H16" s="205"/>
    </row>
    <row r="17" spans="1:8" ht="31.5">
      <c r="A17" s="26" t="s">
        <v>182</v>
      </c>
      <c r="B17" s="17">
        <v>901</v>
      </c>
      <c r="C17" s="21" t="s">
        <v>171</v>
      </c>
      <c r="D17" s="21" t="s">
        <v>173</v>
      </c>
      <c r="E17" s="21" t="s">
        <v>179</v>
      </c>
      <c r="F17" s="21" t="s">
        <v>183</v>
      </c>
      <c r="G17" s="28">
        <v>12784.1</v>
      </c>
      <c r="H17" s="205"/>
    </row>
    <row r="18" spans="1:8" ht="31.5">
      <c r="A18" s="26" t="s">
        <v>184</v>
      </c>
      <c r="B18" s="17">
        <v>901</v>
      </c>
      <c r="C18" s="21" t="s">
        <v>171</v>
      </c>
      <c r="D18" s="21" t="s">
        <v>173</v>
      </c>
      <c r="E18" s="21" t="s">
        <v>179</v>
      </c>
      <c r="F18" s="21" t="s">
        <v>185</v>
      </c>
      <c r="G18" s="27">
        <f>G19</f>
        <v>1302.3599999999999</v>
      </c>
      <c r="H18" s="205"/>
    </row>
    <row r="19" spans="1:8" ht="47.25">
      <c r="A19" s="26" t="s">
        <v>186</v>
      </c>
      <c r="B19" s="17">
        <v>901</v>
      </c>
      <c r="C19" s="21" t="s">
        <v>171</v>
      </c>
      <c r="D19" s="21" t="s">
        <v>173</v>
      </c>
      <c r="E19" s="21" t="s">
        <v>179</v>
      </c>
      <c r="F19" s="21" t="s">
        <v>187</v>
      </c>
      <c r="G19" s="28">
        <v>1302.3599999999999</v>
      </c>
      <c r="H19" s="205"/>
    </row>
    <row r="20" spans="1:8" ht="15.75">
      <c r="A20" s="26" t="s">
        <v>188</v>
      </c>
      <c r="B20" s="17">
        <v>901</v>
      </c>
      <c r="C20" s="21" t="s">
        <v>171</v>
      </c>
      <c r="D20" s="21" t="s">
        <v>173</v>
      </c>
      <c r="E20" s="21" t="s">
        <v>179</v>
      </c>
      <c r="F20" s="21" t="s">
        <v>189</v>
      </c>
      <c r="G20" s="27">
        <f>G21</f>
        <v>28</v>
      </c>
      <c r="H20" s="205"/>
    </row>
    <row r="21" spans="1:8" ht="15.75">
      <c r="A21" s="26" t="s">
        <v>622</v>
      </c>
      <c r="B21" s="17">
        <v>901</v>
      </c>
      <c r="C21" s="21" t="s">
        <v>171</v>
      </c>
      <c r="D21" s="21" t="s">
        <v>173</v>
      </c>
      <c r="E21" s="21" t="s">
        <v>179</v>
      </c>
      <c r="F21" s="21" t="s">
        <v>191</v>
      </c>
      <c r="G21" s="27">
        <v>28</v>
      </c>
      <c r="H21" s="205"/>
    </row>
    <row r="22" spans="1:8" ht="31.5" customHeight="1">
      <c r="A22" s="24" t="s">
        <v>192</v>
      </c>
      <c r="B22" s="20">
        <v>901</v>
      </c>
      <c r="C22" s="25" t="s">
        <v>171</v>
      </c>
      <c r="D22" s="25" t="s">
        <v>193</v>
      </c>
      <c r="E22" s="25"/>
      <c r="F22" s="25"/>
      <c r="G22" s="22">
        <f>G23</f>
        <v>50</v>
      </c>
      <c r="H22" s="205"/>
    </row>
    <row r="23" spans="1:8" ht="15.75">
      <c r="A23" s="26" t="s">
        <v>194</v>
      </c>
      <c r="B23" s="17">
        <v>901</v>
      </c>
      <c r="C23" s="21" t="s">
        <v>171</v>
      </c>
      <c r="D23" s="21" t="s">
        <v>193</v>
      </c>
      <c r="E23" s="21" t="s">
        <v>195</v>
      </c>
      <c r="F23" s="21"/>
      <c r="G23" s="27">
        <f>G24</f>
        <v>50</v>
      </c>
      <c r="H23" s="205"/>
    </row>
    <row r="24" spans="1:8" ht="15.75">
      <c r="A24" s="26" t="s">
        <v>196</v>
      </c>
      <c r="B24" s="17">
        <v>901</v>
      </c>
      <c r="C24" s="21" t="s">
        <v>171</v>
      </c>
      <c r="D24" s="21" t="s">
        <v>193</v>
      </c>
      <c r="E24" s="21" t="s">
        <v>197</v>
      </c>
      <c r="F24" s="21"/>
      <c r="G24" s="27">
        <f>G25</f>
        <v>50</v>
      </c>
      <c r="H24" s="205"/>
    </row>
    <row r="25" spans="1:8" ht="15.75">
      <c r="A25" s="26" t="s">
        <v>188</v>
      </c>
      <c r="B25" s="17">
        <v>901</v>
      </c>
      <c r="C25" s="21" t="s">
        <v>171</v>
      </c>
      <c r="D25" s="21" t="s">
        <v>193</v>
      </c>
      <c r="E25" s="21" t="s">
        <v>197</v>
      </c>
      <c r="F25" s="21" t="s">
        <v>198</v>
      </c>
      <c r="G25" s="27">
        <f>G26</f>
        <v>50</v>
      </c>
      <c r="H25" s="205"/>
    </row>
    <row r="26" spans="1:8" ht="15.75">
      <c r="A26" s="26" t="s">
        <v>199</v>
      </c>
      <c r="B26" s="17">
        <v>901</v>
      </c>
      <c r="C26" s="21" t="s">
        <v>171</v>
      </c>
      <c r="D26" s="21" t="s">
        <v>193</v>
      </c>
      <c r="E26" s="21" t="s">
        <v>197</v>
      </c>
      <c r="F26" s="21" t="s">
        <v>200</v>
      </c>
      <c r="G26" s="27">
        <v>50</v>
      </c>
      <c r="H26" s="205"/>
    </row>
    <row r="27" spans="1:8" ht="31.5">
      <c r="A27" s="20" t="s">
        <v>201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5"/>
    </row>
    <row r="28" spans="1:8" ht="15.75">
      <c r="A28" s="24" t="s">
        <v>170</v>
      </c>
      <c r="B28" s="20">
        <v>902</v>
      </c>
      <c r="C28" s="25" t="s">
        <v>171</v>
      </c>
      <c r="D28" s="21"/>
      <c r="E28" s="21"/>
      <c r="F28" s="21"/>
      <c r="G28" s="22">
        <f>G29+G48+G56</f>
        <v>66062.7</v>
      </c>
      <c r="H28" s="205"/>
    </row>
    <row r="29" spans="1:8" ht="78.75">
      <c r="A29" s="24" t="s">
        <v>202</v>
      </c>
      <c r="B29" s="20">
        <v>902</v>
      </c>
      <c r="C29" s="25" t="s">
        <v>171</v>
      </c>
      <c r="D29" s="25" t="s">
        <v>203</v>
      </c>
      <c r="E29" s="25"/>
      <c r="F29" s="25"/>
      <c r="G29" s="22">
        <f>G30</f>
        <v>51508.2</v>
      </c>
      <c r="H29" s="205"/>
    </row>
    <row r="30" spans="1:8" ht="15.75">
      <c r="A30" s="26" t="s">
        <v>174</v>
      </c>
      <c r="B30" s="17">
        <v>902</v>
      </c>
      <c r="C30" s="21" t="s">
        <v>171</v>
      </c>
      <c r="D30" s="21" t="s">
        <v>203</v>
      </c>
      <c r="E30" s="21" t="s">
        <v>175</v>
      </c>
      <c r="F30" s="21"/>
      <c r="G30" s="28">
        <f>G31+G42</f>
        <v>51508.2</v>
      </c>
      <c r="H30" s="205"/>
    </row>
    <row r="31" spans="1:8" ht="31.5">
      <c r="A31" s="26" t="s">
        <v>176</v>
      </c>
      <c r="B31" s="17">
        <v>902</v>
      </c>
      <c r="C31" s="21" t="s">
        <v>171</v>
      </c>
      <c r="D31" s="21" t="s">
        <v>203</v>
      </c>
      <c r="E31" s="21" t="s">
        <v>177</v>
      </c>
      <c r="F31" s="21"/>
      <c r="G31" s="28">
        <f>G32+G39</f>
        <v>43489.2</v>
      </c>
      <c r="H31" s="205"/>
    </row>
    <row r="32" spans="1:8" ht="47.25">
      <c r="A32" s="26" t="s">
        <v>178</v>
      </c>
      <c r="B32" s="17">
        <v>902</v>
      </c>
      <c r="C32" s="21" t="s">
        <v>171</v>
      </c>
      <c r="D32" s="21" t="s">
        <v>203</v>
      </c>
      <c r="E32" s="21" t="s">
        <v>179</v>
      </c>
      <c r="F32" s="21"/>
      <c r="G32" s="27">
        <f>G33+G35+G37</f>
        <v>39943.599999999999</v>
      </c>
      <c r="H32" s="205"/>
    </row>
    <row r="33" spans="1:10" ht="94.5">
      <c r="A33" s="26" t="s">
        <v>180</v>
      </c>
      <c r="B33" s="17">
        <v>902</v>
      </c>
      <c r="C33" s="21" t="s">
        <v>171</v>
      </c>
      <c r="D33" s="21" t="s">
        <v>203</v>
      </c>
      <c r="E33" s="21" t="s">
        <v>179</v>
      </c>
      <c r="F33" s="21" t="s">
        <v>181</v>
      </c>
      <c r="G33" s="27">
        <f>G34</f>
        <v>34230.5</v>
      </c>
      <c r="H33" s="205"/>
    </row>
    <row r="34" spans="1:10" ht="31.5">
      <c r="A34" s="26" t="s">
        <v>182</v>
      </c>
      <c r="B34" s="17">
        <v>902</v>
      </c>
      <c r="C34" s="21" t="s">
        <v>171</v>
      </c>
      <c r="D34" s="21" t="s">
        <v>203</v>
      </c>
      <c r="E34" s="21" t="s">
        <v>179</v>
      </c>
      <c r="F34" s="21" t="s">
        <v>183</v>
      </c>
      <c r="G34" s="183">
        <f>36517.7-553.5-1733.7</f>
        <v>34230.5</v>
      </c>
      <c r="H34" s="184" t="s">
        <v>818</v>
      </c>
      <c r="J34" s="200" t="s">
        <v>863</v>
      </c>
    </row>
    <row r="35" spans="1:10" ht="31.5">
      <c r="A35" s="26" t="s">
        <v>184</v>
      </c>
      <c r="B35" s="17">
        <v>902</v>
      </c>
      <c r="C35" s="21" t="s">
        <v>171</v>
      </c>
      <c r="D35" s="21" t="s">
        <v>203</v>
      </c>
      <c r="E35" s="21" t="s">
        <v>179</v>
      </c>
      <c r="F35" s="21" t="s">
        <v>185</v>
      </c>
      <c r="G35" s="27">
        <f>G36</f>
        <v>5592.4</v>
      </c>
      <c r="H35" s="205"/>
    </row>
    <row r="36" spans="1:10" ht="47.25">
      <c r="A36" s="26" t="s">
        <v>186</v>
      </c>
      <c r="B36" s="17">
        <v>902</v>
      </c>
      <c r="C36" s="21" t="s">
        <v>171</v>
      </c>
      <c r="D36" s="21" t="s">
        <v>203</v>
      </c>
      <c r="E36" s="21" t="s">
        <v>179</v>
      </c>
      <c r="F36" s="21" t="s">
        <v>187</v>
      </c>
      <c r="G36" s="28">
        <f>3962.7+1800-140.3-30</f>
        <v>5592.4</v>
      </c>
      <c r="H36" s="130"/>
      <c r="I36" s="149"/>
    </row>
    <row r="37" spans="1:10" ht="15.75">
      <c r="A37" s="26" t="s">
        <v>188</v>
      </c>
      <c r="B37" s="17">
        <v>902</v>
      </c>
      <c r="C37" s="21" t="s">
        <v>171</v>
      </c>
      <c r="D37" s="21" t="s">
        <v>203</v>
      </c>
      <c r="E37" s="21" t="s">
        <v>179</v>
      </c>
      <c r="F37" s="21" t="s">
        <v>198</v>
      </c>
      <c r="G37" s="27">
        <f>G38</f>
        <v>120.7</v>
      </c>
      <c r="H37" s="205"/>
    </row>
    <row r="38" spans="1:10" ht="15.75">
      <c r="A38" s="26" t="s">
        <v>622</v>
      </c>
      <c r="B38" s="17">
        <v>902</v>
      </c>
      <c r="C38" s="21" t="s">
        <v>171</v>
      </c>
      <c r="D38" s="21" t="s">
        <v>203</v>
      </c>
      <c r="E38" s="21" t="s">
        <v>179</v>
      </c>
      <c r="F38" s="21" t="s">
        <v>191</v>
      </c>
      <c r="G38" s="28">
        <f>90.7+30</f>
        <v>120.7</v>
      </c>
      <c r="H38" s="130"/>
      <c r="I38" s="148"/>
    </row>
    <row r="39" spans="1:10" ht="31.5">
      <c r="A39" s="26" t="s">
        <v>204</v>
      </c>
      <c r="B39" s="17">
        <v>902</v>
      </c>
      <c r="C39" s="21" t="s">
        <v>171</v>
      </c>
      <c r="D39" s="21" t="s">
        <v>203</v>
      </c>
      <c r="E39" s="21" t="s">
        <v>205</v>
      </c>
      <c r="F39" s="21"/>
      <c r="G39" s="27">
        <f t="shared" ref="G39" si="0">G40</f>
        <v>3545.6</v>
      </c>
      <c r="H39" s="205"/>
    </row>
    <row r="40" spans="1:10" ht="94.5">
      <c r="A40" s="26" t="s">
        <v>180</v>
      </c>
      <c r="B40" s="17">
        <v>902</v>
      </c>
      <c r="C40" s="21" t="s">
        <v>171</v>
      </c>
      <c r="D40" s="21" t="s">
        <v>203</v>
      </c>
      <c r="E40" s="21" t="s">
        <v>205</v>
      </c>
      <c r="F40" s="21" t="s">
        <v>181</v>
      </c>
      <c r="G40" s="27">
        <f>G41</f>
        <v>3545.6</v>
      </c>
      <c r="H40" s="205"/>
    </row>
    <row r="41" spans="1:10" ht="31.5">
      <c r="A41" s="26" t="s">
        <v>182</v>
      </c>
      <c r="B41" s="17">
        <v>902</v>
      </c>
      <c r="C41" s="21" t="s">
        <v>171</v>
      </c>
      <c r="D41" s="21" t="s">
        <v>203</v>
      </c>
      <c r="E41" s="21" t="s">
        <v>205</v>
      </c>
      <c r="F41" s="21" t="s">
        <v>183</v>
      </c>
      <c r="G41" s="28">
        <v>3545.6</v>
      </c>
      <c r="H41" s="205"/>
    </row>
    <row r="42" spans="1:10" ht="15.75">
      <c r="A42" s="26" t="s">
        <v>194</v>
      </c>
      <c r="B42" s="17">
        <v>902</v>
      </c>
      <c r="C42" s="21" t="s">
        <v>171</v>
      </c>
      <c r="D42" s="21" t="s">
        <v>203</v>
      </c>
      <c r="E42" s="21" t="s">
        <v>195</v>
      </c>
      <c r="F42" s="21"/>
      <c r="G42" s="30">
        <f>G43</f>
        <v>8019</v>
      </c>
      <c r="H42" s="205"/>
    </row>
    <row r="43" spans="1:10" ht="31.5">
      <c r="A43" s="26" t="s">
        <v>206</v>
      </c>
      <c r="B43" s="17">
        <v>902</v>
      </c>
      <c r="C43" s="21" t="s">
        <v>171</v>
      </c>
      <c r="D43" s="21" t="s">
        <v>203</v>
      </c>
      <c r="E43" s="21" t="s">
        <v>207</v>
      </c>
      <c r="F43" s="21"/>
      <c r="G43" s="27">
        <f>G44+G46</f>
        <v>8019</v>
      </c>
      <c r="H43" s="205"/>
    </row>
    <row r="44" spans="1:10" ht="94.5">
      <c r="A44" s="26" t="s">
        <v>180</v>
      </c>
      <c r="B44" s="17">
        <v>902</v>
      </c>
      <c r="C44" s="21" t="s">
        <v>171</v>
      </c>
      <c r="D44" s="21" t="s">
        <v>203</v>
      </c>
      <c r="E44" s="21" t="s">
        <v>207</v>
      </c>
      <c r="F44" s="21" t="s">
        <v>181</v>
      </c>
      <c r="G44" s="27">
        <f>G45</f>
        <v>5761.2</v>
      </c>
      <c r="H44" s="205"/>
    </row>
    <row r="45" spans="1:10" ht="31.5">
      <c r="A45" s="26" t="s">
        <v>182</v>
      </c>
      <c r="B45" s="17">
        <v>902</v>
      </c>
      <c r="C45" s="21" t="s">
        <v>171</v>
      </c>
      <c r="D45" s="21" t="s">
        <v>203</v>
      </c>
      <c r="E45" s="21" t="s">
        <v>207</v>
      </c>
      <c r="F45" s="21" t="s">
        <v>183</v>
      </c>
      <c r="G45" s="183">
        <f>6958.6+88.4-2398.3+1112.5</f>
        <v>5761.2</v>
      </c>
      <c r="H45" s="130" t="s">
        <v>819</v>
      </c>
      <c r="I45" s="148"/>
      <c r="J45" s="199" t="s">
        <v>864</v>
      </c>
    </row>
    <row r="46" spans="1:10" ht="31.5">
      <c r="A46" s="26" t="s">
        <v>184</v>
      </c>
      <c r="B46" s="17">
        <v>902</v>
      </c>
      <c r="C46" s="21" t="s">
        <v>171</v>
      </c>
      <c r="D46" s="21" t="s">
        <v>203</v>
      </c>
      <c r="E46" s="21" t="s">
        <v>207</v>
      </c>
      <c r="F46" s="21" t="s">
        <v>185</v>
      </c>
      <c r="G46" s="27">
        <f>G47</f>
        <v>2257.8000000000002</v>
      </c>
      <c r="H46" s="205"/>
    </row>
    <row r="47" spans="1:10" ht="47.25">
      <c r="A47" s="26" t="s">
        <v>186</v>
      </c>
      <c r="B47" s="17">
        <v>902</v>
      </c>
      <c r="C47" s="21" t="s">
        <v>171</v>
      </c>
      <c r="D47" s="21" t="s">
        <v>203</v>
      </c>
      <c r="E47" s="21" t="s">
        <v>207</v>
      </c>
      <c r="F47" s="21" t="s">
        <v>187</v>
      </c>
      <c r="G47" s="183">
        <f>2109.3+129.9+835.5-1438.1+621.2</f>
        <v>2257.8000000000002</v>
      </c>
      <c r="H47" s="130" t="s">
        <v>820</v>
      </c>
      <c r="I47" s="149"/>
    </row>
    <row r="48" spans="1:10" ht="63">
      <c r="A48" s="24" t="s">
        <v>172</v>
      </c>
      <c r="B48" s="20">
        <v>902</v>
      </c>
      <c r="C48" s="25" t="s">
        <v>171</v>
      </c>
      <c r="D48" s="25" t="s">
        <v>173</v>
      </c>
      <c r="E48" s="25"/>
      <c r="F48" s="21"/>
      <c r="G48" s="22">
        <f>G49</f>
        <v>1081.7</v>
      </c>
      <c r="H48" s="205"/>
    </row>
    <row r="49" spans="1:11" ht="21" customHeight="1">
      <c r="A49" s="26" t="s">
        <v>174</v>
      </c>
      <c r="B49" s="17">
        <v>902</v>
      </c>
      <c r="C49" s="21" t="s">
        <v>171</v>
      </c>
      <c r="D49" s="21" t="s">
        <v>173</v>
      </c>
      <c r="E49" s="21" t="s">
        <v>175</v>
      </c>
      <c r="F49" s="21"/>
      <c r="G49" s="27">
        <f t="shared" ref="G49" si="1">G50</f>
        <v>1081.7</v>
      </c>
      <c r="H49" s="205"/>
    </row>
    <row r="50" spans="1:11" ht="31.5">
      <c r="A50" s="26" t="s">
        <v>176</v>
      </c>
      <c r="B50" s="17">
        <v>902</v>
      </c>
      <c r="C50" s="21" t="s">
        <v>171</v>
      </c>
      <c r="D50" s="21" t="s">
        <v>173</v>
      </c>
      <c r="E50" s="21" t="s">
        <v>177</v>
      </c>
      <c r="F50" s="21"/>
      <c r="G50" s="27">
        <f>G51</f>
        <v>1081.7</v>
      </c>
      <c r="H50" s="205"/>
      <c r="K50" s="27"/>
    </row>
    <row r="51" spans="1:11" ht="47.25">
      <c r="A51" s="26" t="s">
        <v>178</v>
      </c>
      <c r="B51" s="17">
        <v>902</v>
      </c>
      <c r="C51" s="21" t="s">
        <v>171</v>
      </c>
      <c r="D51" s="21" t="s">
        <v>173</v>
      </c>
      <c r="E51" s="21" t="s">
        <v>179</v>
      </c>
      <c r="F51" s="21"/>
      <c r="G51" s="27">
        <f>G52+G54</f>
        <v>1081.7</v>
      </c>
      <c r="H51" s="205"/>
      <c r="K51" s="27"/>
    </row>
    <row r="52" spans="1:11" ht="94.5">
      <c r="A52" s="26" t="s">
        <v>180</v>
      </c>
      <c r="B52" s="17">
        <v>902</v>
      </c>
      <c r="C52" s="21" t="s">
        <v>171</v>
      </c>
      <c r="D52" s="21" t="s">
        <v>173</v>
      </c>
      <c r="E52" s="21" t="s">
        <v>179</v>
      </c>
      <c r="F52" s="21" t="s">
        <v>181</v>
      </c>
      <c r="G52" s="27">
        <f>G53</f>
        <v>1081.7</v>
      </c>
      <c r="H52" s="205"/>
      <c r="K52" s="28"/>
    </row>
    <row r="53" spans="1:11" ht="31.5">
      <c r="A53" s="26" t="s">
        <v>182</v>
      </c>
      <c r="B53" s="17">
        <v>902</v>
      </c>
      <c r="C53" s="21" t="s">
        <v>171</v>
      </c>
      <c r="D53" s="21" t="s">
        <v>173</v>
      </c>
      <c r="E53" s="21" t="s">
        <v>179</v>
      </c>
      <c r="F53" s="21" t="s">
        <v>183</v>
      </c>
      <c r="G53" s="28">
        <f>1081.7</f>
        <v>1081.7</v>
      </c>
      <c r="H53" s="205"/>
      <c r="I53" s="139"/>
      <c r="K53" s="27"/>
    </row>
    <row r="54" spans="1:11" ht="31.5" hidden="1">
      <c r="A54" s="26" t="s">
        <v>184</v>
      </c>
      <c r="B54" s="17">
        <v>902</v>
      </c>
      <c r="C54" s="21" t="s">
        <v>171</v>
      </c>
      <c r="D54" s="21" t="s">
        <v>173</v>
      </c>
      <c r="E54" s="21" t="s">
        <v>179</v>
      </c>
      <c r="F54" s="21" t="s">
        <v>185</v>
      </c>
      <c r="G54" s="28">
        <f>G55</f>
        <v>0</v>
      </c>
      <c r="H54" s="205"/>
      <c r="K54" s="27"/>
    </row>
    <row r="55" spans="1:11" ht="47.25" hidden="1">
      <c r="A55" s="26" t="s">
        <v>186</v>
      </c>
      <c r="B55" s="17">
        <v>902</v>
      </c>
      <c r="C55" s="21" t="s">
        <v>171</v>
      </c>
      <c r="D55" s="21" t="s">
        <v>173</v>
      </c>
      <c r="E55" s="21" t="s">
        <v>179</v>
      </c>
      <c r="F55" s="21" t="s">
        <v>187</v>
      </c>
      <c r="G55" s="28"/>
      <c r="H55" s="205"/>
      <c r="I55" s="139"/>
      <c r="K55" s="27"/>
    </row>
    <row r="56" spans="1:11" ht="15.75">
      <c r="A56" s="24" t="s">
        <v>192</v>
      </c>
      <c r="B56" s="20">
        <v>902</v>
      </c>
      <c r="C56" s="25" t="s">
        <v>171</v>
      </c>
      <c r="D56" s="25" t="s">
        <v>193</v>
      </c>
      <c r="E56" s="25"/>
      <c r="F56" s="25"/>
      <c r="G56" s="22">
        <f>G57+G61+G73+G86+G97+G90</f>
        <v>13472.8</v>
      </c>
      <c r="H56" s="205"/>
      <c r="I56" s="138"/>
      <c r="K56" s="27"/>
    </row>
    <row r="57" spans="1:11" ht="63">
      <c r="A57" s="26" t="s">
        <v>208</v>
      </c>
      <c r="B57" s="17">
        <v>902</v>
      </c>
      <c r="C57" s="21" t="s">
        <v>171</v>
      </c>
      <c r="D57" s="21" t="s">
        <v>193</v>
      </c>
      <c r="E57" s="21" t="s">
        <v>209</v>
      </c>
      <c r="F57" s="21"/>
      <c r="G57" s="27">
        <f>G58</f>
        <v>250</v>
      </c>
      <c r="H57" s="205"/>
    </row>
    <row r="58" spans="1:11" ht="31.5">
      <c r="A58" s="26" t="s">
        <v>210</v>
      </c>
      <c r="B58" s="17">
        <v>902</v>
      </c>
      <c r="C58" s="21" t="s">
        <v>171</v>
      </c>
      <c r="D58" s="21" t="s">
        <v>193</v>
      </c>
      <c r="E58" s="21" t="s">
        <v>211</v>
      </c>
      <c r="F58" s="21"/>
      <c r="G58" s="27">
        <f>G59</f>
        <v>250</v>
      </c>
      <c r="H58" s="205"/>
    </row>
    <row r="59" spans="1:11" ht="15.75">
      <c r="A59" s="26" t="s">
        <v>188</v>
      </c>
      <c r="B59" s="17">
        <v>902</v>
      </c>
      <c r="C59" s="21" t="s">
        <v>171</v>
      </c>
      <c r="D59" s="21" t="s">
        <v>193</v>
      </c>
      <c r="E59" s="21" t="s">
        <v>211</v>
      </c>
      <c r="F59" s="21" t="s">
        <v>198</v>
      </c>
      <c r="G59" s="27">
        <f>G60</f>
        <v>250</v>
      </c>
      <c r="H59" s="205"/>
    </row>
    <row r="60" spans="1:11" ht="78.75">
      <c r="A60" s="26" t="s">
        <v>212</v>
      </c>
      <c r="B60" s="17">
        <v>902</v>
      </c>
      <c r="C60" s="21" t="s">
        <v>171</v>
      </c>
      <c r="D60" s="21" t="s">
        <v>193</v>
      </c>
      <c r="E60" s="21" t="s">
        <v>211</v>
      </c>
      <c r="F60" s="21" t="s">
        <v>213</v>
      </c>
      <c r="G60" s="27">
        <f>100+150</f>
        <v>250</v>
      </c>
      <c r="H60" s="205"/>
      <c r="I60" s="139"/>
    </row>
    <row r="61" spans="1:11" ht="47.25">
      <c r="A61" s="26" t="s">
        <v>214</v>
      </c>
      <c r="B61" s="17">
        <v>902</v>
      </c>
      <c r="C61" s="21" t="s">
        <v>171</v>
      </c>
      <c r="D61" s="21" t="s">
        <v>193</v>
      </c>
      <c r="E61" s="21" t="s">
        <v>215</v>
      </c>
      <c r="F61" s="21"/>
      <c r="G61" s="27">
        <f>G62+G65+G70</f>
        <v>653.5</v>
      </c>
      <c r="H61" s="205"/>
    </row>
    <row r="62" spans="1:11" ht="31.5">
      <c r="A62" s="31" t="s">
        <v>216</v>
      </c>
      <c r="B62" s="17">
        <v>902</v>
      </c>
      <c r="C62" s="21" t="s">
        <v>171</v>
      </c>
      <c r="D62" s="21" t="s">
        <v>193</v>
      </c>
      <c r="E62" s="42" t="s">
        <v>217</v>
      </c>
      <c r="F62" s="21"/>
      <c r="G62" s="27">
        <f>G63</f>
        <v>428.1</v>
      </c>
      <c r="H62" s="205"/>
    </row>
    <row r="63" spans="1:11" ht="31.5">
      <c r="A63" s="26" t="s">
        <v>184</v>
      </c>
      <c r="B63" s="17">
        <v>902</v>
      </c>
      <c r="C63" s="21" t="s">
        <v>171</v>
      </c>
      <c r="D63" s="21" t="s">
        <v>193</v>
      </c>
      <c r="E63" s="42" t="s">
        <v>217</v>
      </c>
      <c r="F63" s="21" t="s">
        <v>185</v>
      </c>
      <c r="G63" s="27">
        <f>G64</f>
        <v>428.1</v>
      </c>
      <c r="H63" s="205"/>
    </row>
    <row r="64" spans="1:11" ht="47.25">
      <c r="A64" s="26" t="s">
        <v>186</v>
      </c>
      <c r="B64" s="17">
        <v>902</v>
      </c>
      <c r="C64" s="21" t="s">
        <v>171</v>
      </c>
      <c r="D64" s="21" t="s">
        <v>193</v>
      </c>
      <c r="E64" s="42" t="s">
        <v>217</v>
      </c>
      <c r="F64" s="21" t="s">
        <v>187</v>
      </c>
      <c r="G64" s="27">
        <f>494.3-66.2</f>
        <v>428.1</v>
      </c>
      <c r="H64" s="205"/>
    </row>
    <row r="65" spans="1:8" ht="63">
      <c r="A65" s="206" t="s">
        <v>218</v>
      </c>
      <c r="B65" s="17">
        <v>902</v>
      </c>
      <c r="C65" s="21" t="s">
        <v>171</v>
      </c>
      <c r="D65" s="21" t="s">
        <v>193</v>
      </c>
      <c r="E65" s="42" t="s">
        <v>219</v>
      </c>
      <c r="F65" s="21"/>
      <c r="G65" s="27">
        <f>G66+G68</f>
        <v>224.89999999999998</v>
      </c>
      <c r="H65" s="205"/>
    </row>
    <row r="66" spans="1:8" ht="94.5">
      <c r="A66" s="26" t="s">
        <v>180</v>
      </c>
      <c r="B66" s="17">
        <v>902</v>
      </c>
      <c r="C66" s="21" t="s">
        <v>171</v>
      </c>
      <c r="D66" s="21" t="s">
        <v>193</v>
      </c>
      <c r="E66" s="42" t="s">
        <v>219</v>
      </c>
      <c r="F66" s="21" t="s">
        <v>181</v>
      </c>
      <c r="G66" s="27">
        <f>G67</f>
        <v>159.69999999999999</v>
      </c>
      <c r="H66" s="205"/>
    </row>
    <row r="67" spans="1:8" ht="31.5">
      <c r="A67" s="26" t="s">
        <v>182</v>
      </c>
      <c r="B67" s="17">
        <v>902</v>
      </c>
      <c r="C67" s="21" t="s">
        <v>171</v>
      </c>
      <c r="D67" s="21" t="s">
        <v>193</v>
      </c>
      <c r="E67" s="42" t="s">
        <v>219</v>
      </c>
      <c r="F67" s="21" t="s">
        <v>183</v>
      </c>
      <c r="G67" s="27">
        <v>159.69999999999999</v>
      </c>
      <c r="H67" s="205"/>
    </row>
    <row r="68" spans="1:8" ht="31.5">
      <c r="A68" s="26" t="s">
        <v>184</v>
      </c>
      <c r="B68" s="17">
        <v>902</v>
      </c>
      <c r="C68" s="21" t="s">
        <v>171</v>
      </c>
      <c r="D68" s="21" t="s">
        <v>193</v>
      </c>
      <c r="E68" s="42" t="s">
        <v>219</v>
      </c>
      <c r="F68" s="21" t="s">
        <v>185</v>
      </c>
      <c r="G68" s="27">
        <f>G69</f>
        <v>65.2</v>
      </c>
      <c r="H68" s="205"/>
    </row>
    <row r="69" spans="1:8" ht="47.25">
      <c r="A69" s="26" t="s">
        <v>186</v>
      </c>
      <c r="B69" s="17">
        <v>902</v>
      </c>
      <c r="C69" s="21" t="s">
        <v>171</v>
      </c>
      <c r="D69" s="21" t="s">
        <v>193</v>
      </c>
      <c r="E69" s="42" t="s">
        <v>219</v>
      </c>
      <c r="F69" s="21" t="s">
        <v>187</v>
      </c>
      <c r="G69" s="27">
        <f>66.2-0.5-0.5</f>
        <v>65.2</v>
      </c>
      <c r="H69" s="130"/>
    </row>
    <row r="70" spans="1:8" ht="47.25">
      <c r="A70" s="35" t="s">
        <v>244</v>
      </c>
      <c r="B70" s="17">
        <v>902</v>
      </c>
      <c r="C70" s="21" t="s">
        <v>171</v>
      </c>
      <c r="D70" s="21" t="s">
        <v>193</v>
      </c>
      <c r="E70" s="42" t="s">
        <v>766</v>
      </c>
      <c r="F70" s="21"/>
      <c r="G70" s="27">
        <f>G71</f>
        <v>0.5</v>
      </c>
      <c r="H70" s="132"/>
    </row>
    <row r="71" spans="1:8" ht="31.5">
      <c r="A71" s="26" t="s">
        <v>184</v>
      </c>
      <c r="B71" s="17">
        <v>902</v>
      </c>
      <c r="C71" s="21" t="s">
        <v>171</v>
      </c>
      <c r="D71" s="21" t="s">
        <v>193</v>
      </c>
      <c r="E71" s="42" t="s">
        <v>766</v>
      </c>
      <c r="F71" s="21" t="s">
        <v>185</v>
      </c>
      <c r="G71" s="27">
        <f>G72</f>
        <v>0.5</v>
      </c>
      <c r="H71" s="205"/>
    </row>
    <row r="72" spans="1:8" ht="47.25">
      <c r="A72" s="26" t="s">
        <v>186</v>
      </c>
      <c r="B72" s="17">
        <v>902</v>
      </c>
      <c r="C72" s="21" t="s">
        <v>171</v>
      </c>
      <c r="D72" s="21" t="s">
        <v>193</v>
      </c>
      <c r="E72" s="42" t="s">
        <v>766</v>
      </c>
      <c r="F72" s="21" t="s">
        <v>187</v>
      </c>
      <c r="G72" s="27">
        <v>0.5</v>
      </c>
      <c r="H72" s="130"/>
    </row>
    <row r="73" spans="1:8" ht="94.5">
      <c r="A73" s="31" t="s">
        <v>220</v>
      </c>
      <c r="B73" s="17">
        <v>902</v>
      </c>
      <c r="C73" s="10" t="s">
        <v>171</v>
      </c>
      <c r="D73" s="10" t="s">
        <v>193</v>
      </c>
      <c r="E73" s="6" t="s">
        <v>221</v>
      </c>
      <c r="F73" s="10"/>
      <c r="G73" s="27">
        <f>G74+G78+G82</f>
        <v>80</v>
      </c>
      <c r="H73" s="205"/>
    </row>
    <row r="74" spans="1:8" ht="78.75">
      <c r="A74" s="31" t="s">
        <v>222</v>
      </c>
      <c r="B74" s="17">
        <v>902</v>
      </c>
      <c r="C74" s="10" t="s">
        <v>171</v>
      </c>
      <c r="D74" s="10" t="s">
        <v>193</v>
      </c>
      <c r="E74" s="32" t="s">
        <v>223</v>
      </c>
      <c r="F74" s="10"/>
      <c r="G74" s="27">
        <f>G75</f>
        <v>15</v>
      </c>
      <c r="H74" s="205"/>
    </row>
    <row r="75" spans="1:8" ht="31.5">
      <c r="A75" s="206" t="s">
        <v>224</v>
      </c>
      <c r="B75" s="17">
        <v>902</v>
      </c>
      <c r="C75" s="10" t="s">
        <v>171</v>
      </c>
      <c r="D75" s="10" t="s">
        <v>193</v>
      </c>
      <c r="E75" s="6" t="s">
        <v>225</v>
      </c>
      <c r="F75" s="10"/>
      <c r="G75" s="27">
        <f>G76</f>
        <v>15</v>
      </c>
      <c r="H75" s="205"/>
    </row>
    <row r="76" spans="1:8" ht="31.5">
      <c r="A76" s="26" t="s">
        <v>184</v>
      </c>
      <c r="B76" s="17">
        <v>902</v>
      </c>
      <c r="C76" s="10" t="s">
        <v>171</v>
      </c>
      <c r="D76" s="10" t="s">
        <v>193</v>
      </c>
      <c r="E76" s="6" t="s">
        <v>225</v>
      </c>
      <c r="F76" s="10" t="s">
        <v>185</v>
      </c>
      <c r="G76" s="27">
        <f>G77</f>
        <v>15</v>
      </c>
      <c r="H76" s="205"/>
    </row>
    <row r="77" spans="1:8" ht="47.25">
      <c r="A77" s="26" t="s">
        <v>186</v>
      </c>
      <c r="B77" s="17">
        <v>902</v>
      </c>
      <c r="C77" s="10" t="s">
        <v>171</v>
      </c>
      <c r="D77" s="10" t="s">
        <v>193</v>
      </c>
      <c r="E77" s="6" t="s">
        <v>225</v>
      </c>
      <c r="F77" s="10" t="s">
        <v>187</v>
      </c>
      <c r="G77" s="27">
        <v>15</v>
      </c>
      <c r="H77" s="205"/>
    </row>
    <row r="78" spans="1:8" ht="63">
      <c r="A78" s="31" t="s">
        <v>226</v>
      </c>
      <c r="B78" s="17">
        <v>902</v>
      </c>
      <c r="C78" s="10" t="s">
        <v>171</v>
      </c>
      <c r="D78" s="10" t="s">
        <v>193</v>
      </c>
      <c r="E78" s="32" t="s">
        <v>227</v>
      </c>
      <c r="F78" s="10"/>
      <c r="G78" s="27">
        <f>G79</f>
        <v>50</v>
      </c>
      <c r="H78" s="205"/>
    </row>
    <row r="79" spans="1:8" ht="31.5">
      <c r="A79" s="47" t="s">
        <v>228</v>
      </c>
      <c r="B79" s="17">
        <v>902</v>
      </c>
      <c r="C79" s="10" t="s">
        <v>171</v>
      </c>
      <c r="D79" s="10" t="s">
        <v>193</v>
      </c>
      <c r="E79" s="6" t="s">
        <v>229</v>
      </c>
      <c r="F79" s="10"/>
      <c r="G79" s="27">
        <f>G80</f>
        <v>50</v>
      </c>
      <c r="H79" s="205"/>
    </row>
    <row r="80" spans="1:8" ht="31.5">
      <c r="A80" s="26" t="s">
        <v>184</v>
      </c>
      <c r="B80" s="17">
        <v>902</v>
      </c>
      <c r="C80" s="10" t="s">
        <v>171</v>
      </c>
      <c r="D80" s="10" t="s">
        <v>193</v>
      </c>
      <c r="E80" s="6" t="s">
        <v>229</v>
      </c>
      <c r="F80" s="10" t="s">
        <v>185</v>
      </c>
      <c r="G80" s="27">
        <f>G81</f>
        <v>50</v>
      </c>
      <c r="H80" s="205"/>
    </row>
    <row r="81" spans="1:9" ht="47.25">
      <c r="A81" s="26" t="s">
        <v>186</v>
      </c>
      <c r="B81" s="17">
        <v>902</v>
      </c>
      <c r="C81" s="10" t="s">
        <v>171</v>
      </c>
      <c r="D81" s="10" t="s">
        <v>193</v>
      </c>
      <c r="E81" s="6" t="s">
        <v>229</v>
      </c>
      <c r="F81" s="10" t="s">
        <v>187</v>
      </c>
      <c r="G81" s="27">
        <v>50</v>
      </c>
      <c r="H81" s="205"/>
    </row>
    <row r="82" spans="1:9" ht="47.25">
      <c r="A82" s="26" t="s">
        <v>230</v>
      </c>
      <c r="B82" s="17">
        <v>902</v>
      </c>
      <c r="C82" s="10" t="s">
        <v>171</v>
      </c>
      <c r="D82" s="10" t="s">
        <v>193</v>
      </c>
      <c r="E82" s="6" t="s">
        <v>231</v>
      </c>
      <c r="F82" s="10"/>
      <c r="G82" s="27">
        <f>G83</f>
        <v>15</v>
      </c>
      <c r="H82" s="205"/>
    </row>
    <row r="83" spans="1:9" ht="15.75">
      <c r="A83" s="47" t="s">
        <v>232</v>
      </c>
      <c r="B83" s="17">
        <v>902</v>
      </c>
      <c r="C83" s="10" t="s">
        <v>171</v>
      </c>
      <c r="D83" s="10" t="s">
        <v>193</v>
      </c>
      <c r="E83" s="6" t="s">
        <v>233</v>
      </c>
      <c r="F83" s="10"/>
      <c r="G83" s="27">
        <f>G84</f>
        <v>15</v>
      </c>
      <c r="H83" s="205"/>
    </row>
    <row r="84" spans="1:9" ht="31.5">
      <c r="A84" s="26" t="s">
        <v>184</v>
      </c>
      <c r="B84" s="17">
        <v>902</v>
      </c>
      <c r="C84" s="10" t="s">
        <v>171</v>
      </c>
      <c r="D84" s="10" t="s">
        <v>193</v>
      </c>
      <c r="E84" s="6" t="s">
        <v>233</v>
      </c>
      <c r="F84" s="10" t="s">
        <v>185</v>
      </c>
      <c r="G84" s="27">
        <f>G85</f>
        <v>15</v>
      </c>
      <c r="H84" s="205"/>
    </row>
    <row r="85" spans="1:9" ht="47.25">
      <c r="A85" s="26" t="s">
        <v>186</v>
      </c>
      <c r="B85" s="17">
        <v>902</v>
      </c>
      <c r="C85" s="10" t="s">
        <v>171</v>
      </c>
      <c r="D85" s="10" t="s">
        <v>193</v>
      </c>
      <c r="E85" s="6" t="s">
        <v>233</v>
      </c>
      <c r="F85" s="10" t="s">
        <v>187</v>
      </c>
      <c r="G85" s="27">
        <v>15</v>
      </c>
      <c r="H85" s="205"/>
    </row>
    <row r="86" spans="1:9" ht="47.25">
      <c r="A86" s="33" t="s">
        <v>234</v>
      </c>
      <c r="B86" s="17">
        <v>902</v>
      </c>
      <c r="C86" s="21" t="s">
        <v>171</v>
      </c>
      <c r="D86" s="21" t="s">
        <v>193</v>
      </c>
      <c r="E86" s="32" t="s">
        <v>235</v>
      </c>
      <c r="F86" s="34"/>
      <c r="G86" s="27">
        <f>G87</f>
        <v>120</v>
      </c>
      <c r="H86" s="205"/>
    </row>
    <row r="87" spans="1:9" ht="31.5">
      <c r="A87" s="26" t="s">
        <v>210</v>
      </c>
      <c r="B87" s="17">
        <v>902</v>
      </c>
      <c r="C87" s="21" t="s">
        <v>171</v>
      </c>
      <c r="D87" s="21" t="s">
        <v>193</v>
      </c>
      <c r="E87" s="21" t="s">
        <v>236</v>
      </c>
      <c r="F87" s="34"/>
      <c r="G87" s="27">
        <f>G88</f>
        <v>120</v>
      </c>
      <c r="H87" s="205"/>
    </row>
    <row r="88" spans="1:9" ht="15.75">
      <c r="A88" s="31" t="s">
        <v>188</v>
      </c>
      <c r="B88" s="17">
        <v>902</v>
      </c>
      <c r="C88" s="21" t="s">
        <v>171</v>
      </c>
      <c r="D88" s="21" t="s">
        <v>193</v>
      </c>
      <c r="E88" s="21" t="s">
        <v>236</v>
      </c>
      <c r="F88" s="34" t="s">
        <v>198</v>
      </c>
      <c r="G88" s="27">
        <f>G89</f>
        <v>120</v>
      </c>
      <c r="H88" s="205"/>
    </row>
    <row r="89" spans="1:9" ht="63">
      <c r="A89" s="31" t="s">
        <v>237</v>
      </c>
      <c r="B89" s="17">
        <v>902</v>
      </c>
      <c r="C89" s="21" t="s">
        <v>171</v>
      </c>
      <c r="D89" s="21" t="s">
        <v>193</v>
      </c>
      <c r="E89" s="21" t="s">
        <v>236</v>
      </c>
      <c r="F89" s="34" t="s">
        <v>213</v>
      </c>
      <c r="G89" s="27">
        <f>100+20</f>
        <v>120</v>
      </c>
      <c r="H89" s="130"/>
      <c r="I89" s="150"/>
    </row>
    <row r="90" spans="1:9" ht="63">
      <c r="A90" s="31" t="s">
        <v>807</v>
      </c>
      <c r="B90" s="17">
        <v>902</v>
      </c>
      <c r="C90" s="21" t="s">
        <v>171</v>
      </c>
      <c r="D90" s="21" t="s">
        <v>193</v>
      </c>
      <c r="E90" s="21" t="s">
        <v>805</v>
      </c>
      <c r="F90" s="34"/>
      <c r="G90" s="27">
        <f>G91</f>
        <v>29</v>
      </c>
      <c r="H90" s="132"/>
    </row>
    <row r="91" spans="1:9" ht="31.5">
      <c r="A91" s="33" t="s">
        <v>210</v>
      </c>
      <c r="B91" s="17">
        <v>902</v>
      </c>
      <c r="C91" s="21" t="s">
        <v>171</v>
      </c>
      <c r="D91" s="21" t="s">
        <v>193</v>
      </c>
      <c r="E91" s="21" t="s">
        <v>813</v>
      </c>
      <c r="F91" s="34"/>
      <c r="G91" s="27">
        <f>G92</f>
        <v>29</v>
      </c>
      <c r="H91" s="132"/>
    </row>
    <row r="92" spans="1:9" ht="31.5">
      <c r="A92" s="26" t="s">
        <v>184</v>
      </c>
      <c r="B92" s="17">
        <v>902</v>
      </c>
      <c r="C92" s="21" t="s">
        <v>171</v>
      </c>
      <c r="D92" s="21" t="s">
        <v>193</v>
      </c>
      <c r="E92" s="21" t="s">
        <v>813</v>
      </c>
      <c r="F92" s="34" t="s">
        <v>185</v>
      </c>
      <c r="G92" s="27">
        <f>G93</f>
        <v>29</v>
      </c>
      <c r="H92" s="132"/>
    </row>
    <row r="93" spans="1:9" ht="47.25">
      <c r="A93" s="26" t="s">
        <v>186</v>
      </c>
      <c r="B93" s="17">
        <v>902</v>
      </c>
      <c r="C93" s="21" t="s">
        <v>171</v>
      </c>
      <c r="D93" s="21" t="s">
        <v>193</v>
      </c>
      <c r="E93" s="21" t="s">
        <v>813</v>
      </c>
      <c r="F93" s="34" t="s">
        <v>187</v>
      </c>
      <c r="G93" s="27">
        <v>29</v>
      </c>
      <c r="H93" s="132"/>
      <c r="I93" s="148"/>
    </row>
    <row r="94" spans="1:9" ht="15.75" hidden="1">
      <c r="A94" s="31"/>
      <c r="B94" s="17"/>
      <c r="C94" s="21"/>
      <c r="D94" s="21"/>
      <c r="E94" s="21"/>
      <c r="F94" s="34"/>
      <c r="G94" s="27"/>
      <c r="H94" s="132"/>
    </row>
    <row r="95" spans="1:9" ht="15.75" hidden="1">
      <c r="A95" s="26"/>
      <c r="B95" s="17"/>
      <c r="C95" s="21"/>
      <c r="D95" s="21"/>
      <c r="E95" s="21"/>
      <c r="F95" s="34"/>
      <c r="G95" s="27"/>
      <c r="H95" s="132"/>
    </row>
    <row r="96" spans="1:9" ht="15.75" hidden="1">
      <c r="A96" s="26"/>
      <c r="B96" s="17"/>
      <c r="C96" s="21"/>
      <c r="D96" s="21"/>
      <c r="E96" s="21"/>
      <c r="F96" s="34"/>
      <c r="G96" s="27"/>
      <c r="H96" s="132"/>
      <c r="I96" s="148"/>
    </row>
    <row r="97" spans="1:9" ht="15.75">
      <c r="A97" s="26" t="s">
        <v>174</v>
      </c>
      <c r="B97" s="17">
        <v>902</v>
      </c>
      <c r="C97" s="21" t="s">
        <v>171</v>
      </c>
      <c r="D97" s="21" t="s">
        <v>193</v>
      </c>
      <c r="E97" s="21" t="s">
        <v>175</v>
      </c>
      <c r="F97" s="21"/>
      <c r="G97" s="27">
        <f>G98+G121</f>
        <v>12340.3</v>
      </c>
      <c r="H97" s="205"/>
    </row>
    <row r="98" spans="1:9" ht="31.5">
      <c r="A98" s="26" t="s">
        <v>238</v>
      </c>
      <c r="B98" s="17">
        <v>902</v>
      </c>
      <c r="C98" s="21" t="s">
        <v>171</v>
      </c>
      <c r="D98" s="21" t="s">
        <v>193</v>
      </c>
      <c r="E98" s="21" t="s">
        <v>239</v>
      </c>
      <c r="F98" s="21"/>
      <c r="G98" s="27">
        <f>G104+G107+G113+G116</f>
        <v>3600.8999999999996</v>
      </c>
      <c r="H98" s="205"/>
    </row>
    <row r="99" spans="1:9" ht="47.25" hidden="1">
      <c r="A99" s="26" t="s">
        <v>240</v>
      </c>
      <c r="B99" s="17">
        <v>902</v>
      </c>
      <c r="C99" s="21" t="s">
        <v>171</v>
      </c>
      <c r="D99" s="21" t="s">
        <v>193</v>
      </c>
      <c r="E99" s="21" t="s">
        <v>241</v>
      </c>
      <c r="F99" s="25"/>
      <c r="G99" s="27">
        <f t="shared" ref="G99" si="2">G100+G102</f>
        <v>0</v>
      </c>
      <c r="H99" s="205"/>
    </row>
    <row r="100" spans="1:9" ht="94.5" hidden="1">
      <c r="A100" s="26" t="s">
        <v>180</v>
      </c>
      <c r="B100" s="17">
        <v>902</v>
      </c>
      <c r="C100" s="21" t="s">
        <v>171</v>
      </c>
      <c r="D100" s="21" t="s">
        <v>193</v>
      </c>
      <c r="E100" s="21" t="s">
        <v>241</v>
      </c>
      <c r="F100" s="21" t="s">
        <v>181</v>
      </c>
      <c r="G100" s="27">
        <f>G101</f>
        <v>0</v>
      </c>
      <c r="H100" s="205"/>
    </row>
    <row r="101" spans="1:9" ht="31.5" hidden="1">
      <c r="A101" s="26" t="s">
        <v>182</v>
      </c>
      <c r="B101" s="17">
        <v>902</v>
      </c>
      <c r="C101" s="21" t="s">
        <v>171</v>
      </c>
      <c r="D101" s="21" t="s">
        <v>193</v>
      </c>
      <c r="E101" s="21" t="s">
        <v>241</v>
      </c>
      <c r="F101" s="21" t="s">
        <v>183</v>
      </c>
      <c r="G101" s="27">
        <v>0</v>
      </c>
      <c r="H101" s="205"/>
    </row>
    <row r="102" spans="1:9" ht="31.5" hidden="1">
      <c r="A102" s="26" t="s">
        <v>184</v>
      </c>
      <c r="B102" s="17">
        <v>902</v>
      </c>
      <c r="C102" s="21" t="s">
        <v>171</v>
      </c>
      <c r="D102" s="21" t="s">
        <v>193</v>
      </c>
      <c r="E102" s="21" t="s">
        <v>241</v>
      </c>
      <c r="F102" s="21" t="s">
        <v>185</v>
      </c>
      <c r="G102" s="27">
        <f t="shared" ref="G102" si="3">G103</f>
        <v>0</v>
      </c>
      <c r="H102" s="205"/>
    </row>
    <row r="103" spans="1:9" ht="47.25" hidden="1">
      <c r="A103" s="26" t="s">
        <v>186</v>
      </c>
      <c r="B103" s="17">
        <v>902</v>
      </c>
      <c r="C103" s="21" t="s">
        <v>171</v>
      </c>
      <c r="D103" s="21" t="s">
        <v>193</v>
      </c>
      <c r="E103" s="21" t="s">
        <v>241</v>
      </c>
      <c r="F103" s="21" t="s">
        <v>187</v>
      </c>
      <c r="G103" s="27">
        <v>0</v>
      </c>
      <c r="H103" s="205"/>
    </row>
    <row r="104" spans="1:9" ht="47.25">
      <c r="A104" s="33" t="s">
        <v>242</v>
      </c>
      <c r="B104" s="17">
        <v>902</v>
      </c>
      <c r="C104" s="21" t="s">
        <v>171</v>
      </c>
      <c r="D104" s="21" t="s">
        <v>193</v>
      </c>
      <c r="E104" s="21" t="s">
        <v>243</v>
      </c>
      <c r="F104" s="21"/>
      <c r="G104" s="27">
        <f>G105</f>
        <v>701.8</v>
      </c>
      <c r="H104" s="205"/>
    </row>
    <row r="105" spans="1:9" ht="94.5">
      <c r="A105" s="26" t="s">
        <v>180</v>
      </c>
      <c r="B105" s="17">
        <v>902</v>
      </c>
      <c r="C105" s="21" t="s">
        <v>171</v>
      </c>
      <c r="D105" s="21" t="s">
        <v>193</v>
      </c>
      <c r="E105" s="21" t="s">
        <v>243</v>
      </c>
      <c r="F105" s="21" t="s">
        <v>181</v>
      </c>
      <c r="G105" s="27">
        <f>G106</f>
        <v>701.8</v>
      </c>
      <c r="H105" s="205"/>
    </row>
    <row r="106" spans="1:9" ht="31.5">
      <c r="A106" s="26" t="s">
        <v>182</v>
      </c>
      <c r="B106" s="17">
        <v>902</v>
      </c>
      <c r="C106" s="21" t="s">
        <v>171</v>
      </c>
      <c r="D106" s="21" t="s">
        <v>193</v>
      </c>
      <c r="E106" s="21" t="s">
        <v>243</v>
      </c>
      <c r="F106" s="21" t="s">
        <v>183</v>
      </c>
      <c r="G106" s="27">
        <v>701.8</v>
      </c>
      <c r="H106" s="205"/>
      <c r="I106" s="139"/>
    </row>
    <row r="107" spans="1:9" ht="47.25">
      <c r="A107" s="35" t="s">
        <v>244</v>
      </c>
      <c r="B107" s="17">
        <v>902</v>
      </c>
      <c r="C107" s="21" t="s">
        <v>171</v>
      </c>
      <c r="D107" s="21" t="s">
        <v>193</v>
      </c>
      <c r="E107" s="21" t="s">
        <v>245</v>
      </c>
      <c r="F107" s="21"/>
      <c r="G107" s="27">
        <f>G108</f>
        <v>40</v>
      </c>
      <c r="H107" s="205"/>
    </row>
    <row r="108" spans="1:9" ht="31.5">
      <c r="A108" s="26" t="s">
        <v>184</v>
      </c>
      <c r="B108" s="17">
        <v>902</v>
      </c>
      <c r="C108" s="21" t="s">
        <v>171</v>
      </c>
      <c r="D108" s="21" t="s">
        <v>193</v>
      </c>
      <c r="E108" s="21" t="s">
        <v>245</v>
      </c>
      <c r="F108" s="21" t="s">
        <v>185</v>
      </c>
      <c r="G108" s="27">
        <f>G109</f>
        <v>40</v>
      </c>
      <c r="H108" s="205"/>
    </row>
    <row r="109" spans="1:9" ht="47.25">
      <c r="A109" s="26" t="s">
        <v>186</v>
      </c>
      <c r="B109" s="17">
        <v>902</v>
      </c>
      <c r="C109" s="21" t="s">
        <v>171</v>
      </c>
      <c r="D109" s="21" t="s">
        <v>193</v>
      </c>
      <c r="E109" s="21" t="s">
        <v>245</v>
      </c>
      <c r="F109" s="21" t="s">
        <v>187</v>
      </c>
      <c r="G109" s="27">
        <f>36+4</f>
        <v>40</v>
      </c>
      <c r="H109" s="205"/>
      <c r="I109" s="139"/>
    </row>
    <row r="110" spans="1:9" ht="31.5" hidden="1">
      <c r="A110" s="33" t="s">
        <v>246</v>
      </c>
      <c r="B110" s="17">
        <v>902</v>
      </c>
      <c r="C110" s="21" t="s">
        <v>171</v>
      </c>
      <c r="D110" s="21" t="s">
        <v>193</v>
      </c>
      <c r="E110" s="21" t="s">
        <v>245</v>
      </c>
      <c r="F110" s="21"/>
      <c r="G110" s="27">
        <f t="shared" ref="G110:G111" si="4">G111</f>
        <v>0</v>
      </c>
      <c r="H110" s="205"/>
    </row>
    <row r="111" spans="1:9" ht="31.5" hidden="1">
      <c r="A111" s="26" t="s">
        <v>184</v>
      </c>
      <c r="B111" s="17">
        <v>902</v>
      </c>
      <c r="C111" s="21" t="s">
        <v>171</v>
      </c>
      <c r="D111" s="21" t="s">
        <v>193</v>
      </c>
      <c r="E111" s="21" t="s">
        <v>245</v>
      </c>
      <c r="F111" s="21" t="s">
        <v>185</v>
      </c>
      <c r="G111" s="27">
        <f t="shared" si="4"/>
        <v>0</v>
      </c>
      <c r="H111" s="205"/>
    </row>
    <row r="112" spans="1:9" ht="47.25" hidden="1">
      <c r="A112" s="26" t="s">
        <v>186</v>
      </c>
      <c r="B112" s="17">
        <v>902</v>
      </c>
      <c r="C112" s="21" t="s">
        <v>171</v>
      </c>
      <c r="D112" s="21" t="s">
        <v>193</v>
      </c>
      <c r="E112" s="21" t="s">
        <v>245</v>
      </c>
      <c r="F112" s="21" t="s">
        <v>187</v>
      </c>
      <c r="G112" s="27"/>
      <c r="H112" s="205"/>
    </row>
    <row r="113" spans="1:9" ht="63">
      <c r="A113" s="33" t="s">
        <v>247</v>
      </c>
      <c r="B113" s="17">
        <v>902</v>
      </c>
      <c r="C113" s="21" t="s">
        <v>171</v>
      </c>
      <c r="D113" s="21" t="s">
        <v>193</v>
      </c>
      <c r="E113" s="21" t="s">
        <v>248</v>
      </c>
      <c r="F113" s="21"/>
      <c r="G113" s="27">
        <f>G114</f>
        <v>1752.9</v>
      </c>
      <c r="H113" s="205"/>
    </row>
    <row r="114" spans="1:9" ht="94.5">
      <c r="A114" s="26" t="s">
        <v>180</v>
      </c>
      <c r="B114" s="17">
        <v>902</v>
      </c>
      <c r="C114" s="21" t="s">
        <v>171</v>
      </c>
      <c r="D114" s="21" t="s">
        <v>193</v>
      </c>
      <c r="E114" s="21" t="s">
        <v>248</v>
      </c>
      <c r="F114" s="21" t="s">
        <v>181</v>
      </c>
      <c r="G114" s="27">
        <f>G115</f>
        <v>1752.9</v>
      </c>
      <c r="H114" s="205"/>
    </row>
    <row r="115" spans="1:9" ht="31.5">
      <c r="A115" s="26" t="s">
        <v>182</v>
      </c>
      <c r="B115" s="17">
        <v>902</v>
      </c>
      <c r="C115" s="21" t="s">
        <v>171</v>
      </c>
      <c r="D115" s="21" t="s">
        <v>193</v>
      </c>
      <c r="E115" s="21" t="s">
        <v>248</v>
      </c>
      <c r="F115" s="21" t="s">
        <v>183</v>
      </c>
      <c r="G115" s="27">
        <v>1752.9</v>
      </c>
      <c r="H115" s="205"/>
    </row>
    <row r="116" spans="1:9" ht="47.25">
      <c r="A116" s="33" t="s">
        <v>249</v>
      </c>
      <c r="B116" s="17">
        <v>902</v>
      </c>
      <c r="C116" s="21" t="s">
        <v>171</v>
      </c>
      <c r="D116" s="21" t="s">
        <v>193</v>
      </c>
      <c r="E116" s="21" t="s">
        <v>250</v>
      </c>
      <c r="F116" s="21"/>
      <c r="G116" s="27">
        <f>G117+G119</f>
        <v>1106.1999999999998</v>
      </c>
      <c r="H116" s="205"/>
    </row>
    <row r="117" spans="1:9" ht="94.5">
      <c r="A117" s="26" t="s">
        <v>180</v>
      </c>
      <c r="B117" s="17">
        <v>902</v>
      </c>
      <c r="C117" s="21" t="s">
        <v>171</v>
      </c>
      <c r="D117" s="21" t="s">
        <v>193</v>
      </c>
      <c r="E117" s="21" t="s">
        <v>250</v>
      </c>
      <c r="F117" s="21" t="s">
        <v>181</v>
      </c>
      <c r="G117" s="27">
        <f>G118</f>
        <v>1073.0999999999999</v>
      </c>
      <c r="H117" s="205"/>
    </row>
    <row r="118" spans="1:9" ht="31.5">
      <c r="A118" s="26" t="s">
        <v>182</v>
      </c>
      <c r="B118" s="17">
        <v>902</v>
      </c>
      <c r="C118" s="21" t="s">
        <v>171</v>
      </c>
      <c r="D118" s="21" t="s">
        <v>193</v>
      </c>
      <c r="E118" s="21" t="s">
        <v>250</v>
      </c>
      <c r="F118" s="21" t="s">
        <v>183</v>
      </c>
      <c r="G118" s="27">
        <f>1537-463.9</f>
        <v>1073.0999999999999</v>
      </c>
      <c r="H118" s="205"/>
      <c r="I118" s="139"/>
    </row>
    <row r="119" spans="1:9" ht="47.25">
      <c r="A119" s="26" t="s">
        <v>251</v>
      </c>
      <c r="B119" s="17">
        <v>902</v>
      </c>
      <c r="C119" s="21" t="s">
        <v>171</v>
      </c>
      <c r="D119" s="21" t="s">
        <v>193</v>
      </c>
      <c r="E119" s="21" t="s">
        <v>250</v>
      </c>
      <c r="F119" s="21" t="s">
        <v>185</v>
      </c>
      <c r="G119" s="27">
        <f>G120</f>
        <v>33.1</v>
      </c>
      <c r="H119" s="205"/>
    </row>
    <row r="120" spans="1:9" ht="47.25">
      <c r="A120" s="26" t="s">
        <v>186</v>
      </c>
      <c r="B120" s="17">
        <v>902</v>
      </c>
      <c r="C120" s="21" t="s">
        <v>171</v>
      </c>
      <c r="D120" s="21" t="s">
        <v>193</v>
      </c>
      <c r="E120" s="21" t="s">
        <v>250</v>
      </c>
      <c r="F120" s="21" t="s">
        <v>187</v>
      </c>
      <c r="G120" s="27">
        <v>33.1</v>
      </c>
      <c r="H120" s="205"/>
    </row>
    <row r="121" spans="1:9" ht="15.75">
      <c r="A121" s="26" t="s">
        <v>194</v>
      </c>
      <c r="B121" s="17">
        <v>902</v>
      </c>
      <c r="C121" s="21" t="s">
        <v>171</v>
      </c>
      <c r="D121" s="21" t="s">
        <v>193</v>
      </c>
      <c r="E121" s="21" t="s">
        <v>195</v>
      </c>
      <c r="F121" s="21"/>
      <c r="G121" s="27">
        <f>G134+G139+G144</f>
        <v>8739.4</v>
      </c>
      <c r="H121" s="205"/>
    </row>
    <row r="122" spans="1:9" ht="15.75" hidden="1">
      <c r="A122" s="26" t="s">
        <v>252</v>
      </c>
      <c r="B122" s="17">
        <v>902</v>
      </c>
      <c r="C122" s="21" t="s">
        <v>171</v>
      </c>
      <c r="D122" s="21" t="s">
        <v>193</v>
      </c>
      <c r="E122" s="21" t="s">
        <v>253</v>
      </c>
      <c r="F122" s="21"/>
      <c r="G122" s="27">
        <f t="shared" ref="G122:G123" si="5">G123</f>
        <v>0</v>
      </c>
      <c r="H122" s="205"/>
    </row>
    <row r="123" spans="1:9" ht="33" hidden="1" customHeight="1">
      <c r="A123" s="26" t="s">
        <v>251</v>
      </c>
      <c r="B123" s="17">
        <v>902</v>
      </c>
      <c r="C123" s="21" t="s">
        <v>171</v>
      </c>
      <c r="D123" s="21" t="s">
        <v>193</v>
      </c>
      <c r="E123" s="21" t="s">
        <v>253</v>
      </c>
      <c r="F123" s="21" t="s">
        <v>185</v>
      </c>
      <c r="G123" s="27">
        <f t="shared" si="5"/>
        <v>0</v>
      </c>
      <c r="H123" s="205"/>
    </row>
    <row r="124" spans="1:9" ht="47.25" hidden="1">
      <c r="A124" s="26" t="s">
        <v>186</v>
      </c>
      <c r="B124" s="17">
        <v>902</v>
      </c>
      <c r="C124" s="21" t="s">
        <v>171</v>
      </c>
      <c r="D124" s="21" t="s">
        <v>193</v>
      </c>
      <c r="E124" s="21" t="s">
        <v>253</v>
      </c>
      <c r="F124" s="21" t="s">
        <v>187</v>
      </c>
      <c r="G124" s="27">
        <v>0</v>
      </c>
      <c r="H124" s="205"/>
    </row>
    <row r="125" spans="1:9" ht="15.75" hidden="1">
      <c r="A125" s="26" t="s">
        <v>254</v>
      </c>
      <c r="B125" s="17">
        <v>902</v>
      </c>
      <c r="C125" s="21" t="s">
        <v>171</v>
      </c>
      <c r="D125" s="21" t="s">
        <v>193</v>
      </c>
      <c r="E125" s="21" t="s">
        <v>255</v>
      </c>
      <c r="F125" s="25"/>
      <c r="G125" s="27">
        <f t="shared" ref="G125:G126" si="6">G126</f>
        <v>0</v>
      </c>
      <c r="H125" s="205"/>
    </row>
    <row r="126" spans="1:9" ht="47.25" hidden="1">
      <c r="A126" s="26" t="s">
        <v>251</v>
      </c>
      <c r="B126" s="17">
        <v>902</v>
      </c>
      <c r="C126" s="21" t="s">
        <v>171</v>
      </c>
      <c r="D126" s="21" t="s">
        <v>193</v>
      </c>
      <c r="E126" s="21" t="s">
        <v>255</v>
      </c>
      <c r="F126" s="21" t="s">
        <v>185</v>
      </c>
      <c r="G126" s="27">
        <f t="shared" si="6"/>
        <v>0</v>
      </c>
      <c r="H126" s="205"/>
    </row>
    <row r="127" spans="1:9" ht="47.25" hidden="1">
      <c r="A127" s="26" t="s">
        <v>186</v>
      </c>
      <c r="B127" s="17">
        <v>902</v>
      </c>
      <c r="C127" s="21" t="s">
        <v>171</v>
      </c>
      <c r="D127" s="21" t="s">
        <v>193</v>
      </c>
      <c r="E127" s="21" t="s">
        <v>255</v>
      </c>
      <c r="F127" s="21" t="s">
        <v>187</v>
      </c>
      <c r="G127" s="27">
        <v>0</v>
      </c>
      <c r="H127" s="205"/>
    </row>
    <row r="128" spans="1:9" ht="31.5" hidden="1">
      <c r="A128" s="26" t="s">
        <v>256</v>
      </c>
      <c r="B128" s="17">
        <v>902</v>
      </c>
      <c r="C128" s="21" t="s">
        <v>171</v>
      </c>
      <c r="D128" s="21" t="s">
        <v>193</v>
      </c>
      <c r="E128" s="21" t="s">
        <v>257</v>
      </c>
      <c r="F128" s="21"/>
      <c r="G128" s="27">
        <f t="shared" ref="G128:G129" si="7">G129</f>
        <v>0</v>
      </c>
      <c r="H128" s="205"/>
    </row>
    <row r="129" spans="1:9" ht="47.25" hidden="1">
      <c r="A129" s="26" t="s">
        <v>251</v>
      </c>
      <c r="B129" s="17">
        <v>902</v>
      </c>
      <c r="C129" s="21" t="s">
        <v>171</v>
      </c>
      <c r="D129" s="21" t="s">
        <v>193</v>
      </c>
      <c r="E129" s="21" t="s">
        <v>257</v>
      </c>
      <c r="F129" s="21" t="s">
        <v>185</v>
      </c>
      <c r="G129" s="27">
        <f t="shared" si="7"/>
        <v>0</v>
      </c>
      <c r="H129" s="205"/>
    </row>
    <row r="130" spans="1:9" ht="47.25" hidden="1">
      <c r="A130" s="26" t="s">
        <v>186</v>
      </c>
      <c r="B130" s="17">
        <v>902</v>
      </c>
      <c r="C130" s="21" t="s">
        <v>171</v>
      </c>
      <c r="D130" s="21" t="s">
        <v>193</v>
      </c>
      <c r="E130" s="21" t="s">
        <v>257</v>
      </c>
      <c r="F130" s="21" t="s">
        <v>187</v>
      </c>
      <c r="G130" s="27">
        <v>0</v>
      </c>
      <c r="H130" s="205"/>
    </row>
    <row r="131" spans="1:9" ht="15.75" hidden="1">
      <c r="A131" s="26" t="s">
        <v>232</v>
      </c>
      <c r="B131" s="17">
        <v>902</v>
      </c>
      <c r="C131" s="21" t="s">
        <v>171</v>
      </c>
      <c r="D131" s="21" t="s">
        <v>193</v>
      </c>
      <c r="E131" s="21" t="s">
        <v>258</v>
      </c>
      <c r="F131" s="21"/>
      <c r="G131" s="27">
        <f t="shared" ref="G131:G132" si="8">G132</f>
        <v>0</v>
      </c>
      <c r="H131" s="205"/>
    </row>
    <row r="132" spans="1:9" ht="47.25" hidden="1">
      <c r="A132" s="26" t="s">
        <v>251</v>
      </c>
      <c r="B132" s="17">
        <v>902</v>
      </c>
      <c r="C132" s="21" t="s">
        <v>171</v>
      </c>
      <c r="D132" s="21" t="s">
        <v>193</v>
      </c>
      <c r="E132" s="21" t="s">
        <v>258</v>
      </c>
      <c r="F132" s="21" t="s">
        <v>185</v>
      </c>
      <c r="G132" s="27">
        <f t="shared" si="8"/>
        <v>0</v>
      </c>
      <c r="H132" s="205"/>
    </row>
    <row r="133" spans="1:9" ht="47.25" hidden="1">
      <c r="A133" s="26" t="s">
        <v>186</v>
      </c>
      <c r="B133" s="17">
        <v>902</v>
      </c>
      <c r="C133" s="21" t="s">
        <v>171</v>
      </c>
      <c r="D133" s="21" t="s">
        <v>193</v>
      </c>
      <c r="E133" s="21" t="s">
        <v>258</v>
      </c>
      <c r="F133" s="21" t="s">
        <v>187</v>
      </c>
      <c r="G133" s="27">
        <v>0</v>
      </c>
      <c r="H133" s="205"/>
    </row>
    <row r="134" spans="1:9" ht="31.5">
      <c r="A134" s="26" t="s">
        <v>259</v>
      </c>
      <c r="B134" s="17">
        <v>902</v>
      </c>
      <c r="C134" s="21" t="s">
        <v>171</v>
      </c>
      <c r="D134" s="21" t="s">
        <v>193</v>
      </c>
      <c r="E134" s="21" t="s">
        <v>260</v>
      </c>
      <c r="F134" s="21"/>
      <c r="G134" s="27">
        <f>G135+G137</f>
        <v>6126.7</v>
      </c>
      <c r="H134" s="205"/>
    </row>
    <row r="135" spans="1:9" ht="94.5">
      <c r="A135" s="26" t="s">
        <v>180</v>
      </c>
      <c r="B135" s="17">
        <v>902</v>
      </c>
      <c r="C135" s="21" t="s">
        <v>171</v>
      </c>
      <c r="D135" s="21" t="s">
        <v>193</v>
      </c>
      <c r="E135" s="21" t="s">
        <v>260</v>
      </c>
      <c r="F135" s="21" t="s">
        <v>181</v>
      </c>
      <c r="G135" s="27">
        <f>G136</f>
        <v>4952</v>
      </c>
      <c r="H135" s="205"/>
    </row>
    <row r="136" spans="1:9" ht="31.5">
      <c r="A136" s="26" t="s">
        <v>261</v>
      </c>
      <c r="B136" s="17">
        <v>902</v>
      </c>
      <c r="C136" s="21" t="s">
        <v>171</v>
      </c>
      <c r="D136" s="21" t="s">
        <v>193</v>
      </c>
      <c r="E136" s="21" t="s">
        <v>260</v>
      </c>
      <c r="F136" s="21" t="s">
        <v>262</v>
      </c>
      <c r="G136" s="28">
        <f>5174.7-222.7</f>
        <v>4952</v>
      </c>
      <c r="H136" s="205"/>
    </row>
    <row r="137" spans="1:9" ht="47.25">
      <c r="A137" s="26" t="s">
        <v>251</v>
      </c>
      <c r="B137" s="17">
        <v>902</v>
      </c>
      <c r="C137" s="21" t="s">
        <v>171</v>
      </c>
      <c r="D137" s="21" t="s">
        <v>193</v>
      </c>
      <c r="E137" s="21" t="s">
        <v>260</v>
      </c>
      <c r="F137" s="21" t="s">
        <v>185</v>
      </c>
      <c r="G137" s="27">
        <f>G138</f>
        <v>1174.7</v>
      </c>
      <c r="H137" s="205"/>
    </row>
    <row r="138" spans="1:9" ht="47.25">
      <c r="A138" s="26" t="s">
        <v>186</v>
      </c>
      <c r="B138" s="17">
        <v>902</v>
      </c>
      <c r="C138" s="21" t="s">
        <v>171</v>
      </c>
      <c r="D138" s="21" t="s">
        <v>193</v>
      </c>
      <c r="E138" s="21" t="s">
        <v>260</v>
      </c>
      <c r="F138" s="21" t="s">
        <v>187</v>
      </c>
      <c r="G138" s="28">
        <f>724.7+450</f>
        <v>1174.7</v>
      </c>
      <c r="H138" s="205"/>
      <c r="I138" s="139"/>
    </row>
    <row r="139" spans="1:9" ht="47.25">
      <c r="A139" s="26" t="s">
        <v>263</v>
      </c>
      <c r="B139" s="17">
        <v>902</v>
      </c>
      <c r="C139" s="21" t="s">
        <v>171</v>
      </c>
      <c r="D139" s="21" t="s">
        <v>193</v>
      </c>
      <c r="E139" s="21" t="s">
        <v>264</v>
      </c>
      <c r="F139" s="21"/>
      <c r="G139" s="27">
        <f>G140+G142</f>
        <v>2520.4</v>
      </c>
      <c r="H139" s="205"/>
    </row>
    <row r="140" spans="1:9" ht="94.5">
      <c r="A140" s="26" t="s">
        <v>180</v>
      </c>
      <c r="B140" s="17">
        <v>902</v>
      </c>
      <c r="C140" s="21" t="s">
        <v>171</v>
      </c>
      <c r="D140" s="21" t="s">
        <v>193</v>
      </c>
      <c r="E140" s="21" t="s">
        <v>264</v>
      </c>
      <c r="F140" s="21" t="s">
        <v>181</v>
      </c>
      <c r="G140" s="27">
        <f>G141</f>
        <v>1895</v>
      </c>
      <c r="H140" s="205"/>
    </row>
    <row r="141" spans="1:9" ht="31.5">
      <c r="A141" s="26" t="s">
        <v>182</v>
      </c>
      <c r="B141" s="17">
        <v>902</v>
      </c>
      <c r="C141" s="21" t="s">
        <v>171</v>
      </c>
      <c r="D141" s="21" t="s">
        <v>193</v>
      </c>
      <c r="E141" s="21" t="s">
        <v>264</v>
      </c>
      <c r="F141" s="21" t="s">
        <v>183</v>
      </c>
      <c r="G141" s="28">
        <f>1952.2-57.2</f>
        <v>1895</v>
      </c>
      <c r="H141" s="205"/>
      <c r="I141" s="139"/>
    </row>
    <row r="142" spans="1:9" ht="47.25">
      <c r="A142" s="26" t="s">
        <v>251</v>
      </c>
      <c r="B142" s="17">
        <v>902</v>
      </c>
      <c r="C142" s="21" t="s">
        <v>171</v>
      </c>
      <c r="D142" s="21" t="s">
        <v>193</v>
      </c>
      <c r="E142" s="21" t="s">
        <v>264</v>
      </c>
      <c r="F142" s="21" t="s">
        <v>185</v>
      </c>
      <c r="G142" s="27">
        <f>G143</f>
        <v>625.4</v>
      </c>
      <c r="H142" s="205"/>
    </row>
    <row r="143" spans="1:9" ht="47.25">
      <c r="A143" s="26" t="s">
        <v>186</v>
      </c>
      <c r="B143" s="17">
        <v>902</v>
      </c>
      <c r="C143" s="21" t="s">
        <v>171</v>
      </c>
      <c r="D143" s="21" t="s">
        <v>193</v>
      </c>
      <c r="E143" s="21" t="s">
        <v>264</v>
      </c>
      <c r="F143" s="21" t="s">
        <v>187</v>
      </c>
      <c r="G143" s="27">
        <f>821.9-196.5</f>
        <v>625.4</v>
      </c>
      <c r="H143" s="205"/>
    </row>
    <row r="144" spans="1:9" ht="15.75">
      <c r="A144" s="47" t="s">
        <v>196</v>
      </c>
      <c r="B144" s="17">
        <v>902</v>
      </c>
      <c r="C144" s="21" t="s">
        <v>171</v>
      </c>
      <c r="D144" s="21" t="s">
        <v>193</v>
      </c>
      <c r="E144" s="21" t="s">
        <v>197</v>
      </c>
      <c r="F144" s="21"/>
      <c r="G144" s="27">
        <f>G145</f>
        <v>92.3</v>
      </c>
      <c r="H144" s="205"/>
    </row>
    <row r="145" spans="1:8" ht="15.75">
      <c r="A145" s="26" t="s">
        <v>188</v>
      </c>
      <c r="B145" s="17">
        <v>902</v>
      </c>
      <c r="C145" s="21" t="s">
        <v>171</v>
      </c>
      <c r="D145" s="21" t="s">
        <v>193</v>
      </c>
      <c r="E145" s="21" t="s">
        <v>197</v>
      </c>
      <c r="F145" s="21" t="s">
        <v>198</v>
      </c>
      <c r="G145" s="27">
        <f>G146</f>
        <v>92.3</v>
      </c>
      <c r="H145" s="205"/>
    </row>
    <row r="146" spans="1:8" ht="15.75">
      <c r="A146" s="26" t="s">
        <v>199</v>
      </c>
      <c r="B146" s="17">
        <v>902</v>
      </c>
      <c r="C146" s="21" t="s">
        <v>171</v>
      </c>
      <c r="D146" s="21" t="s">
        <v>193</v>
      </c>
      <c r="E146" s="21" t="s">
        <v>197</v>
      </c>
      <c r="F146" s="21" t="s">
        <v>200</v>
      </c>
      <c r="G146" s="27">
        <v>92.3</v>
      </c>
      <c r="H146" s="130"/>
    </row>
    <row r="147" spans="1:8" ht="15.75" hidden="1">
      <c r="A147" s="24" t="s">
        <v>265</v>
      </c>
      <c r="B147" s="20">
        <v>902</v>
      </c>
      <c r="C147" s="25" t="s">
        <v>266</v>
      </c>
      <c r="D147" s="25"/>
      <c r="E147" s="25"/>
      <c r="F147" s="25"/>
      <c r="G147" s="22">
        <f t="shared" ref="G147" si="9">G148+G154</f>
        <v>0</v>
      </c>
      <c r="H147" s="205"/>
    </row>
    <row r="148" spans="1:8" ht="31.5" hidden="1">
      <c r="A148" s="24" t="s">
        <v>267</v>
      </c>
      <c r="B148" s="20">
        <v>902</v>
      </c>
      <c r="C148" s="25" t="s">
        <v>266</v>
      </c>
      <c r="D148" s="25" t="s">
        <v>268</v>
      </c>
      <c r="E148" s="25"/>
      <c r="F148" s="25"/>
      <c r="G148" s="22">
        <f t="shared" ref="G148:G152" si="10">G149</f>
        <v>0</v>
      </c>
      <c r="H148" s="205"/>
    </row>
    <row r="149" spans="1:8" ht="15.75" hidden="1">
      <c r="A149" s="26" t="s">
        <v>174</v>
      </c>
      <c r="B149" s="17">
        <v>902</v>
      </c>
      <c r="C149" s="21" t="s">
        <v>266</v>
      </c>
      <c r="D149" s="21" t="s">
        <v>268</v>
      </c>
      <c r="E149" s="21" t="s">
        <v>175</v>
      </c>
      <c r="F149" s="21"/>
      <c r="G149" s="27">
        <f t="shared" si="10"/>
        <v>0</v>
      </c>
      <c r="H149" s="205"/>
    </row>
    <row r="150" spans="1:8" ht="31.5" hidden="1">
      <c r="A150" s="26" t="s">
        <v>238</v>
      </c>
      <c r="B150" s="17">
        <v>902</v>
      </c>
      <c r="C150" s="21" t="s">
        <v>266</v>
      </c>
      <c r="D150" s="21" t="s">
        <v>268</v>
      </c>
      <c r="E150" s="21" t="s">
        <v>239</v>
      </c>
      <c r="F150" s="21"/>
      <c r="G150" s="27">
        <f t="shared" si="10"/>
        <v>0</v>
      </c>
      <c r="H150" s="205"/>
    </row>
    <row r="151" spans="1:8" ht="47.25" hidden="1">
      <c r="A151" s="26" t="s">
        <v>269</v>
      </c>
      <c r="B151" s="17">
        <v>902</v>
      </c>
      <c r="C151" s="21" t="s">
        <v>266</v>
      </c>
      <c r="D151" s="21" t="s">
        <v>268</v>
      </c>
      <c r="E151" s="21" t="s">
        <v>270</v>
      </c>
      <c r="F151" s="21"/>
      <c r="G151" s="27">
        <f t="shared" si="10"/>
        <v>0</v>
      </c>
      <c r="H151" s="205"/>
    </row>
    <row r="152" spans="1:8" ht="94.5" hidden="1">
      <c r="A152" s="26" t="s">
        <v>180</v>
      </c>
      <c r="B152" s="17">
        <v>902</v>
      </c>
      <c r="C152" s="21" t="s">
        <v>266</v>
      </c>
      <c r="D152" s="21" t="s">
        <v>268</v>
      </c>
      <c r="E152" s="21" t="s">
        <v>270</v>
      </c>
      <c r="F152" s="21" t="s">
        <v>181</v>
      </c>
      <c r="G152" s="27">
        <f t="shared" si="10"/>
        <v>0</v>
      </c>
      <c r="H152" s="205"/>
    </row>
    <row r="153" spans="1:8" ht="31.5" hidden="1">
      <c r="A153" s="26" t="s">
        <v>182</v>
      </c>
      <c r="B153" s="17">
        <v>902</v>
      </c>
      <c r="C153" s="21" t="s">
        <v>266</v>
      </c>
      <c r="D153" s="21" t="s">
        <v>268</v>
      </c>
      <c r="E153" s="21" t="s">
        <v>270</v>
      </c>
      <c r="F153" s="21" t="s">
        <v>183</v>
      </c>
      <c r="G153" s="28"/>
      <c r="H153" s="205"/>
    </row>
    <row r="154" spans="1:8" ht="31.5" hidden="1">
      <c r="A154" s="24" t="s">
        <v>271</v>
      </c>
      <c r="B154" s="20">
        <v>902</v>
      </c>
      <c r="C154" s="25" t="s">
        <v>266</v>
      </c>
      <c r="D154" s="25" t="s">
        <v>272</v>
      </c>
      <c r="E154" s="25"/>
      <c r="F154" s="25"/>
      <c r="G154" s="27">
        <f t="shared" ref="G154:G157" si="11">G155</f>
        <v>0</v>
      </c>
      <c r="H154" s="205"/>
    </row>
    <row r="155" spans="1:8" ht="15.75" hidden="1">
      <c r="A155" s="26" t="s">
        <v>174</v>
      </c>
      <c r="B155" s="17">
        <v>902</v>
      </c>
      <c r="C155" s="21" t="s">
        <v>266</v>
      </c>
      <c r="D155" s="21" t="s">
        <v>272</v>
      </c>
      <c r="E155" s="21" t="s">
        <v>175</v>
      </c>
      <c r="F155" s="21"/>
      <c r="G155" s="27">
        <f t="shared" si="11"/>
        <v>0</v>
      </c>
      <c r="H155" s="205"/>
    </row>
    <row r="156" spans="1:8" ht="31.5" hidden="1">
      <c r="A156" s="26" t="s">
        <v>273</v>
      </c>
      <c r="B156" s="17">
        <v>902</v>
      </c>
      <c r="C156" s="21" t="s">
        <v>266</v>
      </c>
      <c r="D156" s="21" t="s">
        <v>272</v>
      </c>
      <c r="E156" s="21" t="s">
        <v>274</v>
      </c>
      <c r="F156" s="21"/>
      <c r="G156" s="27">
        <f t="shared" si="11"/>
        <v>0</v>
      </c>
      <c r="H156" s="205"/>
    </row>
    <row r="157" spans="1:8" ht="47.25" hidden="1">
      <c r="A157" s="26" t="s">
        <v>251</v>
      </c>
      <c r="B157" s="17">
        <v>902</v>
      </c>
      <c r="C157" s="21" t="s">
        <v>266</v>
      </c>
      <c r="D157" s="21" t="s">
        <v>272</v>
      </c>
      <c r="E157" s="21" t="s">
        <v>274</v>
      </c>
      <c r="F157" s="21" t="s">
        <v>185</v>
      </c>
      <c r="G157" s="27">
        <f t="shared" si="11"/>
        <v>0</v>
      </c>
      <c r="H157" s="205"/>
    </row>
    <row r="158" spans="1:8" ht="47.25" hidden="1">
      <c r="A158" s="26" t="s">
        <v>186</v>
      </c>
      <c r="B158" s="17">
        <v>902</v>
      </c>
      <c r="C158" s="21" t="s">
        <v>266</v>
      </c>
      <c r="D158" s="21" t="s">
        <v>272</v>
      </c>
      <c r="E158" s="21" t="s">
        <v>274</v>
      </c>
      <c r="F158" s="21" t="s">
        <v>187</v>
      </c>
      <c r="G158" s="27">
        <v>0</v>
      </c>
      <c r="H158" s="205"/>
    </row>
    <row r="159" spans="1:8" ht="31.5">
      <c r="A159" s="24" t="s">
        <v>275</v>
      </c>
      <c r="B159" s="20">
        <v>902</v>
      </c>
      <c r="C159" s="25" t="s">
        <v>268</v>
      </c>
      <c r="D159" s="25"/>
      <c r="E159" s="25"/>
      <c r="F159" s="25"/>
      <c r="G159" s="22">
        <f>G160</f>
        <v>7159.4000000000005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c r="D160" s="25" t="s">
        <v>272</v>
      </c>
      <c r="E160" s="21"/>
      <c r="F160" s="21"/>
      <c r="G160" s="22">
        <f>G161</f>
        <v>7159.4000000000005</v>
      </c>
      <c r="H160" s="205"/>
    </row>
    <row r="161" spans="1:9" ht="15.75">
      <c r="A161" s="26" t="s">
        <v>174</v>
      </c>
      <c r="B161" s="17">
        <v>902</v>
      </c>
      <c r="C161" s="21" t="s">
        <v>268</v>
      </c>
      <c r="D161" s="21" t="s">
        <v>272</v>
      </c>
      <c r="E161" s="21" t="s">
        <v>175</v>
      </c>
      <c r="F161" s="21"/>
      <c r="G161" s="27">
        <f>G162</f>
        <v>7159.4000000000005</v>
      </c>
      <c r="H161" s="205"/>
    </row>
    <row r="162" spans="1:9" ht="15.75">
      <c r="A162" s="26" t="s">
        <v>194</v>
      </c>
      <c r="B162" s="17">
        <v>902</v>
      </c>
      <c r="C162" s="21" t="s">
        <v>268</v>
      </c>
      <c r="D162" s="21" t="s">
        <v>272</v>
      </c>
      <c r="E162" s="21" t="s">
        <v>195</v>
      </c>
      <c r="F162" s="21"/>
      <c r="G162" s="27">
        <f>G163+G169+G174</f>
        <v>7159.4000000000005</v>
      </c>
      <c r="H162" s="205"/>
    </row>
    <row r="163" spans="1:9" ht="47.25">
      <c r="A163" s="26" t="s">
        <v>277</v>
      </c>
      <c r="B163" s="17">
        <v>902</v>
      </c>
      <c r="C163" s="21" t="s">
        <v>268</v>
      </c>
      <c r="D163" s="21" t="s">
        <v>272</v>
      </c>
      <c r="E163" s="21" t="s">
        <v>278</v>
      </c>
      <c r="F163" s="21"/>
      <c r="G163" s="27">
        <f>G164</f>
        <v>2064.1</v>
      </c>
      <c r="H163" s="205"/>
    </row>
    <row r="164" spans="1:9" ht="47.25">
      <c r="A164" s="26" t="s">
        <v>251</v>
      </c>
      <c r="B164" s="17">
        <v>902</v>
      </c>
      <c r="C164" s="21" t="s">
        <v>268</v>
      </c>
      <c r="D164" s="21" t="s">
        <v>272</v>
      </c>
      <c r="E164" s="21" t="s">
        <v>278</v>
      </c>
      <c r="F164" s="21" t="s">
        <v>185</v>
      </c>
      <c r="G164" s="27">
        <f>G165</f>
        <v>2064.1</v>
      </c>
      <c r="H164" s="205"/>
    </row>
    <row r="165" spans="1:9" ht="47.25">
      <c r="A165" s="26" t="s">
        <v>186</v>
      </c>
      <c r="B165" s="17">
        <v>902</v>
      </c>
      <c r="C165" s="21" t="s">
        <v>268</v>
      </c>
      <c r="D165" s="21" t="s">
        <v>272</v>
      </c>
      <c r="E165" s="21" t="s">
        <v>278</v>
      </c>
      <c r="F165" s="21" t="s">
        <v>187</v>
      </c>
      <c r="G165" s="186">
        <f>1908.4+354-98.3-100</f>
        <v>2064.1</v>
      </c>
      <c r="H165" s="130" t="s">
        <v>822</v>
      </c>
      <c r="I165" s="149"/>
    </row>
    <row r="166" spans="1:9" ht="15.75" hidden="1">
      <c r="A166" s="26" t="s">
        <v>279</v>
      </c>
      <c r="B166" s="17">
        <v>902</v>
      </c>
      <c r="C166" s="21" t="s">
        <v>268</v>
      </c>
      <c r="D166" s="21" t="s">
        <v>272</v>
      </c>
      <c r="E166" s="21" t="s">
        <v>280</v>
      </c>
      <c r="F166" s="21"/>
      <c r="G166" s="27">
        <f>G167</f>
        <v>0</v>
      </c>
      <c r="H166" s="205"/>
    </row>
    <row r="167" spans="1:9" ht="47.25" hidden="1">
      <c r="A167" s="26" t="s">
        <v>251</v>
      </c>
      <c r="B167" s="17">
        <v>902</v>
      </c>
      <c r="C167" s="21" t="s">
        <v>268</v>
      </c>
      <c r="D167" s="21" t="s">
        <v>272</v>
      </c>
      <c r="E167" s="21" t="s">
        <v>280</v>
      </c>
      <c r="F167" s="21" t="s">
        <v>185</v>
      </c>
      <c r="G167" s="27">
        <f>G168</f>
        <v>0</v>
      </c>
      <c r="H167" s="205"/>
    </row>
    <row r="168" spans="1:9" ht="47.25" hidden="1">
      <c r="A168" s="26" t="s">
        <v>186</v>
      </c>
      <c r="B168" s="17">
        <v>902</v>
      </c>
      <c r="C168" s="21" t="s">
        <v>268</v>
      </c>
      <c r="D168" s="21" t="s">
        <v>272</v>
      </c>
      <c r="E168" s="21" t="s">
        <v>280</v>
      </c>
      <c r="F168" s="21" t="s">
        <v>187</v>
      </c>
      <c r="G168" s="27">
        <v>0</v>
      </c>
      <c r="H168" s="205"/>
    </row>
    <row r="169" spans="1:9" ht="31.5">
      <c r="A169" s="26" t="s">
        <v>281</v>
      </c>
      <c r="B169" s="17">
        <v>902</v>
      </c>
      <c r="C169" s="21" t="s">
        <v>268</v>
      </c>
      <c r="D169" s="21" t="s">
        <v>272</v>
      </c>
      <c r="E169" s="21" t="s">
        <v>282</v>
      </c>
      <c r="F169" s="21"/>
      <c r="G169" s="27">
        <f>G170+G172</f>
        <v>4997</v>
      </c>
      <c r="H169" s="205"/>
    </row>
    <row r="170" spans="1:9" ht="94.5">
      <c r="A170" s="26" t="s">
        <v>180</v>
      </c>
      <c r="B170" s="17">
        <v>902</v>
      </c>
      <c r="C170" s="21" t="s">
        <v>268</v>
      </c>
      <c r="D170" s="21" t="s">
        <v>272</v>
      </c>
      <c r="E170" s="21" t="s">
        <v>282</v>
      </c>
      <c r="F170" s="21" t="s">
        <v>181</v>
      </c>
      <c r="G170" s="27">
        <f>G171</f>
        <v>4692.3</v>
      </c>
      <c r="H170" s="205"/>
    </row>
    <row r="171" spans="1:9" ht="31.5">
      <c r="A171" s="26" t="s">
        <v>261</v>
      </c>
      <c r="B171" s="17">
        <v>902</v>
      </c>
      <c r="C171" s="21" t="s">
        <v>268</v>
      </c>
      <c r="D171" s="21" t="s">
        <v>272</v>
      </c>
      <c r="E171" s="21" t="s">
        <v>282</v>
      </c>
      <c r="F171" s="21" t="s">
        <v>262</v>
      </c>
      <c r="G171" s="28">
        <f>4586.3+106</f>
        <v>4692.3</v>
      </c>
      <c r="H171" s="205"/>
    </row>
    <row r="172" spans="1:9" ht="47.25">
      <c r="A172" s="26" t="s">
        <v>251</v>
      </c>
      <c r="B172" s="17">
        <v>902</v>
      </c>
      <c r="C172" s="21" t="s">
        <v>268</v>
      </c>
      <c r="D172" s="21" t="s">
        <v>272</v>
      </c>
      <c r="E172" s="21" t="s">
        <v>282</v>
      </c>
      <c r="F172" s="21" t="s">
        <v>185</v>
      </c>
      <c r="G172" s="27">
        <f>G173</f>
        <v>304.7</v>
      </c>
      <c r="H172" s="205"/>
    </row>
    <row r="173" spans="1:9" ht="47.25">
      <c r="A173" s="26" t="s">
        <v>186</v>
      </c>
      <c r="B173" s="17">
        <v>902</v>
      </c>
      <c r="C173" s="21" t="s">
        <v>268</v>
      </c>
      <c r="D173" s="21" t="s">
        <v>272</v>
      </c>
      <c r="E173" s="21" t="s">
        <v>282</v>
      </c>
      <c r="F173" s="21" t="s">
        <v>187</v>
      </c>
      <c r="G173" s="183">
        <f>204.7+100</f>
        <v>304.7</v>
      </c>
      <c r="H173" s="184" t="s">
        <v>823</v>
      </c>
    </row>
    <row r="174" spans="1:9" ht="15.75">
      <c r="A174" s="26" t="s">
        <v>283</v>
      </c>
      <c r="B174" s="17">
        <v>902</v>
      </c>
      <c r="C174" s="21" t="s">
        <v>268</v>
      </c>
      <c r="D174" s="21" t="s">
        <v>272</v>
      </c>
      <c r="E174" s="21" t="s">
        <v>284</v>
      </c>
      <c r="F174" s="21"/>
      <c r="G174" s="28">
        <f t="shared" ref="G174:G175" si="12">G175</f>
        <v>98.3</v>
      </c>
      <c r="H174" s="205"/>
    </row>
    <row r="175" spans="1:9" ht="47.25">
      <c r="A175" s="26" t="s">
        <v>251</v>
      </c>
      <c r="B175" s="17">
        <v>902</v>
      </c>
      <c r="C175" s="21" t="s">
        <v>268</v>
      </c>
      <c r="D175" s="21" t="s">
        <v>272</v>
      </c>
      <c r="E175" s="21" t="s">
        <v>284</v>
      </c>
      <c r="F175" s="21" t="s">
        <v>185</v>
      </c>
      <c r="G175" s="28">
        <f t="shared" si="12"/>
        <v>98.3</v>
      </c>
      <c r="H175" s="205"/>
    </row>
    <row r="176" spans="1:9" ht="47.25">
      <c r="A176" s="26" t="s">
        <v>186</v>
      </c>
      <c r="B176" s="17">
        <v>902</v>
      </c>
      <c r="C176" s="21" t="s">
        <v>268</v>
      </c>
      <c r="D176" s="21" t="s">
        <v>272</v>
      </c>
      <c r="E176" s="21" t="s">
        <v>284</v>
      </c>
      <c r="F176" s="21" t="s">
        <v>187</v>
      </c>
      <c r="G176" s="28">
        <v>98.3</v>
      </c>
      <c r="H176" s="130"/>
      <c r="I176" s="148"/>
    </row>
    <row r="177" spans="1:9" ht="15.75">
      <c r="A177" s="24" t="s">
        <v>285</v>
      </c>
      <c r="B177" s="20">
        <v>902</v>
      </c>
      <c r="C177" s="25" t="s">
        <v>203</v>
      </c>
      <c r="D177" s="25"/>
      <c r="E177" s="25"/>
      <c r="F177" s="21"/>
      <c r="G177" s="22">
        <f t="shared" ref="G177" si="13">G184+G178</f>
        <v>1821.3999999999999</v>
      </c>
      <c r="H177" s="205"/>
    </row>
    <row r="178" spans="1:9" ht="15.75">
      <c r="A178" s="24" t="s">
        <v>286</v>
      </c>
      <c r="B178" s="20">
        <v>902</v>
      </c>
      <c r="C178" s="25" t="s">
        <v>203</v>
      </c>
      <c r="D178" s="25" t="s">
        <v>287</v>
      </c>
      <c r="E178" s="25"/>
      <c r="F178" s="21"/>
      <c r="G178" s="22">
        <f>G179</f>
        <v>450</v>
      </c>
      <c r="H178" s="205"/>
    </row>
    <row r="179" spans="1:9" ht="15.75">
      <c r="A179" s="26" t="s">
        <v>174</v>
      </c>
      <c r="B179" s="17">
        <v>902</v>
      </c>
      <c r="C179" s="21" t="s">
        <v>203</v>
      </c>
      <c r="D179" s="21" t="s">
        <v>287</v>
      </c>
      <c r="E179" s="21" t="s">
        <v>175</v>
      </c>
      <c r="F179" s="21"/>
      <c r="G179" s="27">
        <f t="shared" ref="G179:G181" si="14">G180</f>
        <v>450</v>
      </c>
      <c r="H179" s="205"/>
    </row>
    <row r="180" spans="1:9" ht="31.5">
      <c r="A180" s="26" t="s">
        <v>238</v>
      </c>
      <c r="B180" s="17">
        <v>902</v>
      </c>
      <c r="C180" s="21" t="s">
        <v>203</v>
      </c>
      <c r="D180" s="21" t="s">
        <v>287</v>
      </c>
      <c r="E180" s="21" t="s">
        <v>239</v>
      </c>
      <c r="F180" s="21"/>
      <c r="G180" s="27">
        <f>G181</f>
        <v>450</v>
      </c>
      <c r="H180" s="205"/>
    </row>
    <row r="181" spans="1:9" ht="31.5">
      <c r="A181" s="26" t="s">
        <v>288</v>
      </c>
      <c r="B181" s="17">
        <v>902</v>
      </c>
      <c r="C181" s="21" t="s">
        <v>203</v>
      </c>
      <c r="D181" s="21" t="s">
        <v>287</v>
      </c>
      <c r="E181" s="21" t="s">
        <v>289</v>
      </c>
      <c r="F181" s="21"/>
      <c r="G181" s="27">
        <f t="shared" si="14"/>
        <v>450</v>
      </c>
      <c r="H181" s="205"/>
    </row>
    <row r="182" spans="1:9" ht="15.75">
      <c r="A182" s="26" t="s">
        <v>188</v>
      </c>
      <c r="B182" s="17">
        <v>902</v>
      </c>
      <c r="C182" s="21" t="s">
        <v>203</v>
      </c>
      <c r="D182" s="21" t="s">
        <v>287</v>
      </c>
      <c r="E182" s="21" t="s">
        <v>289</v>
      </c>
      <c r="F182" s="21" t="s">
        <v>198</v>
      </c>
      <c r="G182" s="27">
        <f>G183</f>
        <v>450</v>
      </c>
      <c r="H182" s="205"/>
    </row>
    <row r="183" spans="1:9" ht="63">
      <c r="A183" s="26" t="s">
        <v>237</v>
      </c>
      <c r="B183" s="17">
        <v>902</v>
      </c>
      <c r="C183" s="21" t="s">
        <v>203</v>
      </c>
      <c r="D183" s="21" t="s">
        <v>287</v>
      </c>
      <c r="E183" s="21" t="s">
        <v>289</v>
      </c>
      <c r="F183" s="21" t="s">
        <v>213</v>
      </c>
      <c r="G183" s="185">
        <f>310+140</f>
        <v>450</v>
      </c>
      <c r="H183" s="184" t="s">
        <v>821</v>
      </c>
      <c r="I183" s="139"/>
    </row>
    <row r="184" spans="1:9" ht="31.5">
      <c r="A184" s="24" t="s">
        <v>290</v>
      </c>
      <c r="B184" s="20">
        <v>902</v>
      </c>
      <c r="C184" s="25" t="s">
        <v>203</v>
      </c>
      <c r="D184" s="25" t="s">
        <v>291</v>
      </c>
      <c r="E184" s="25"/>
      <c r="F184" s="25"/>
      <c r="G184" s="22">
        <f>G185</f>
        <v>1371.3999999999999</v>
      </c>
      <c r="H184" s="205"/>
    </row>
    <row r="185" spans="1:9" ht="15.75">
      <c r="A185" s="26" t="s">
        <v>174</v>
      </c>
      <c r="B185" s="17">
        <v>902</v>
      </c>
      <c r="C185" s="21" t="s">
        <v>203</v>
      </c>
      <c r="D185" s="21" t="s">
        <v>291</v>
      </c>
      <c r="E185" s="21" t="s">
        <v>175</v>
      </c>
      <c r="F185" s="25"/>
      <c r="G185" s="27">
        <f>G186</f>
        <v>1371.3999999999999</v>
      </c>
      <c r="H185" s="205"/>
    </row>
    <row r="186" spans="1:9" ht="31.5">
      <c r="A186" s="26" t="s">
        <v>238</v>
      </c>
      <c r="B186" s="17">
        <v>902</v>
      </c>
      <c r="C186" s="21" t="s">
        <v>203</v>
      </c>
      <c r="D186" s="21" t="s">
        <v>291</v>
      </c>
      <c r="E186" s="21" t="s">
        <v>239</v>
      </c>
      <c r="F186" s="25"/>
      <c r="G186" s="27">
        <f>G190+G187</f>
        <v>1371.3999999999999</v>
      </c>
      <c r="H186" s="205"/>
    </row>
    <row r="187" spans="1:9" ht="31.5">
      <c r="A187" s="26" t="s">
        <v>292</v>
      </c>
      <c r="B187" s="17">
        <v>902</v>
      </c>
      <c r="C187" s="21" t="s">
        <v>203</v>
      </c>
      <c r="D187" s="21" t="s">
        <v>291</v>
      </c>
      <c r="E187" s="21" t="s">
        <v>293</v>
      </c>
      <c r="F187" s="25"/>
      <c r="G187" s="27">
        <f t="shared" ref="G187:G188" si="15">G188</f>
        <v>90</v>
      </c>
      <c r="H187" s="205"/>
    </row>
    <row r="188" spans="1:9" ht="15.75">
      <c r="A188" s="26" t="s">
        <v>188</v>
      </c>
      <c r="B188" s="17">
        <v>902</v>
      </c>
      <c r="C188" s="21" t="s">
        <v>203</v>
      </c>
      <c r="D188" s="21" t="s">
        <v>291</v>
      </c>
      <c r="E188" s="21" t="s">
        <v>293</v>
      </c>
      <c r="F188" s="21" t="s">
        <v>198</v>
      </c>
      <c r="G188" s="27">
        <f t="shared" si="15"/>
        <v>90</v>
      </c>
      <c r="H188" s="205"/>
    </row>
    <row r="189" spans="1:9" ht="63">
      <c r="A189" s="26" t="s">
        <v>237</v>
      </c>
      <c r="B189" s="17">
        <v>902</v>
      </c>
      <c r="C189" s="21" t="s">
        <v>203</v>
      </c>
      <c r="D189" s="21" t="s">
        <v>291</v>
      </c>
      <c r="E189" s="21" t="s">
        <v>293</v>
      </c>
      <c r="F189" s="21" t="s">
        <v>213</v>
      </c>
      <c r="G189" s="189">
        <v>90</v>
      </c>
      <c r="H189" s="184" t="s">
        <v>831</v>
      </c>
    </row>
    <row r="190" spans="1:9" ht="63">
      <c r="A190" s="33" t="s">
        <v>294</v>
      </c>
      <c r="B190" s="17">
        <v>902</v>
      </c>
      <c r="C190" s="21" t="s">
        <v>203</v>
      </c>
      <c r="D190" s="21" t="s">
        <v>291</v>
      </c>
      <c r="E190" s="21" t="s">
        <v>295</v>
      </c>
      <c r="F190" s="21"/>
      <c r="G190" s="27">
        <f>G191+G193</f>
        <v>1281.3999999999999</v>
      </c>
      <c r="H190" s="205"/>
    </row>
    <row r="191" spans="1:9" ht="94.5">
      <c r="A191" s="26" t="s">
        <v>180</v>
      </c>
      <c r="B191" s="17">
        <v>902</v>
      </c>
      <c r="C191" s="21" t="s">
        <v>203</v>
      </c>
      <c r="D191" s="21" t="s">
        <v>291</v>
      </c>
      <c r="E191" s="21" t="s">
        <v>295</v>
      </c>
      <c r="F191" s="21" t="s">
        <v>181</v>
      </c>
      <c r="G191" s="27">
        <f>G192</f>
        <v>1116.3999999999999</v>
      </c>
      <c r="H191" s="205"/>
    </row>
    <row r="192" spans="1:9" ht="31.5">
      <c r="A192" s="26" t="s">
        <v>182</v>
      </c>
      <c r="B192" s="17">
        <v>902</v>
      </c>
      <c r="C192" s="21" t="s">
        <v>203</v>
      </c>
      <c r="D192" s="21" t="s">
        <v>291</v>
      </c>
      <c r="E192" s="21" t="s">
        <v>295</v>
      </c>
      <c r="F192" s="21" t="s">
        <v>183</v>
      </c>
      <c r="G192" s="27">
        <f>1302-123.4-62.2</f>
        <v>1116.3999999999999</v>
      </c>
      <c r="H192" s="205"/>
      <c r="I192" s="139"/>
    </row>
    <row r="193" spans="1:8" ht="31.5">
      <c r="A193" s="26" t="s">
        <v>184</v>
      </c>
      <c r="B193" s="17">
        <v>902</v>
      </c>
      <c r="C193" s="21" t="s">
        <v>203</v>
      </c>
      <c r="D193" s="21" t="s">
        <v>291</v>
      </c>
      <c r="E193" s="21" t="s">
        <v>295</v>
      </c>
      <c r="F193" s="21" t="s">
        <v>185</v>
      </c>
      <c r="G193" s="27">
        <f>G194</f>
        <v>165</v>
      </c>
      <c r="H193" s="205"/>
    </row>
    <row r="194" spans="1:8" ht="47.25">
      <c r="A194" s="26" t="s">
        <v>186</v>
      </c>
      <c r="B194" s="17">
        <v>902</v>
      </c>
      <c r="C194" s="21" t="s">
        <v>203</v>
      </c>
      <c r="D194" s="21" t="s">
        <v>291</v>
      </c>
      <c r="E194" s="21" t="s">
        <v>295</v>
      </c>
      <c r="F194" s="21" t="s">
        <v>187</v>
      </c>
      <c r="G194" s="27">
        <f>102.8+62.2</f>
        <v>165</v>
      </c>
      <c r="H194" s="205"/>
    </row>
    <row r="195" spans="1:8" ht="16.5" customHeight="1">
      <c r="A195" s="24" t="s">
        <v>296</v>
      </c>
      <c r="B195" s="20">
        <v>902</v>
      </c>
      <c r="C195" s="25" t="s">
        <v>297</v>
      </c>
      <c r="D195" s="25"/>
      <c r="E195" s="25"/>
      <c r="F195" s="25"/>
      <c r="G195" s="22">
        <f>G196+G202+G212</f>
        <v>12224.9</v>
      </c>
      <c r="H195" s="205"/>
    </row>
    <row r="196" spans="1:8" ht="15.75">
      <c r="A196" s="24" t="s">
        <v>298</v>
      </c>
      <c r="B196" s="20">
        <v>902</v>
      </c>
      <c r="C196" s="25" t="s">
        <v>297</v>
      </c>
      <c r="D196" s="25" t="s">
        <v>171</v>
      </c>
      <c r="E196" s="25"/>
      <c r="F196" s="25"/>
      <c r="G196" s="22">
        <f>G197</f>
        <v>9066.4</v>
      </c>
      <c r="H196" s="205"/>
    </row>
    <row r="197" spans="1:8" ht="15.75">
      <c r="A197" s="26" t="s">
        <v>174</v>
      </c>
      <c r="B197" s="17">
        <v>902</v>
      </c>
      <c r="C197" s="21" t="s">
        <v>297</v>
      </c>
      <c r="D197" s="21" t="s">
        <v>171</v>
      </c>
      <c r="E197" s="21" t="s">
        <v>175</v>
      </c>
      <c r="F197" s="21"/>
      <c r="G197" s="27">
        <f t="shared" ref="G197:G199" si="16">G198</f>
        <v>9066.4</v>
      </c>
      <c r="H197" s="205"/>
    </row>
    <row r="198" spans="1:8" ht="15.75">
      <c r="A198" s="26" t="s">
        <v>194</v>
      </c>
      <c r="B198" s="17">
        <v>902</v>
      </c>
      <c r="C198" s="21" t="s">
        <v>297</v>
      </c>
      <c r="D198" s="21" t="s">
        <v>171</v>
      </c>
      <c r="E198" s="21" t="s">
        <v>195</v>
      </c>
      <c r="F198" s="21"/>
      <c r="G198" s="27">
        <f>G199</f>
        <v>9066.4</v>
      </c>
      <c r="H198" s="205"/>
    </row>
    <row r="199" spans="1:8" ht="15.75">
      <c r="A199" s="26" t="s">
        <v>299</v>
      </c>
      <c r="B199" s="17">
        <v>902</v>
      </c>
      <c r="C199" s="21" t="s">
        <v>297</v>
      </c>
      <c r="D199" s="21" t="s">
        <v>171</v>
      </c>
      <c r="E199" s="21" t="s">
        <v>300</v>
      </c>
      <c r="F199" s="21"/>
      <c r="G199" s="27">
        <f t="shared" si="16"/>
        <v>9066.4</v>
      </c>
      <c r="H199" s="205"/>
    </row>
    <row r="200" spans="1:8" ht="31.5">
      <c r="A200" s="26" t="s">
        <v>301</v>
      </c>
      <c r="B200" s="17">
        <v>902</v>
      </c>
      <c r="C200" s="21" t="s">
        <v>297</v>
      </c>
      <c r="D200" s="21" t="s">
        <v>171</v>
      </c>
      <c r="E200" s="21" t="s">
        <v>300</v>
      </c>
      <c r="F200" s="21" t="s">
        <v>302</v>
      </c>
      <c r="G200" s="27">
        <f>G201</f>
        <v>9066.4</v>
      </c>
      <c r="H200" s="205"/>
    </row>
    <row r="201" spans="1:8" ht="31.5">
      <c r="A201" s="26" t="s">
        <v>303</v>
      </c>
      <c r="B201" s="17">
        <v>902</v>
      </c>
      <c r="C201" s="21" t="s">
        <v>297</v>
      </c>
      <c r="D201" s="21" t="s">
        <v>171</v>
      </c>
      <c r="E201" s="21" t="s">
        <v>300</v>
      </c>
      <c r="F201" s="21" t="s">
        <v>304</v>
      </c>
      <c r="G201" s="28">
        <v>9066.4</v>
      </c>
      <c r="H201" s="205"/>
    </row>
    <row r="202" spans="1:8" ht="15.75">
      <c r="A202" s="24" t="s">
        <v>305</v>
      </c>
      <c r="B202" s="20">
        <v>902</v>
      </c>
      <c r="C202" s="25" t="s">
        <v>297</v>
      </c>
      <c r="D202" s="25" t="s">
        <v>268</v>
      </c>
      <c r="E202" s="21"/>
      <c r="F202" s="21"/>
      <c r="G202" s="22">
        <f>G203+G207</f>
        <v>10</v>
      </c>
      <c r="H202" s="205"/>
    </row>
    <row r="203" spans="1:8" ht="78.75">
      <c r="A203" s="26" t="s">
        <v>306</v>
      </c>
      <c r="B203" s="17">
        <v>902</v>
      </c>
      <c r="C203" s="21" t="s">
        <v>297</v>
      </c>
      <c r="D203" s="21" t="s">
        <v>268</v>
      </c>
      <c r="E203" s="21" t="s">
        <v>307</v>
      </c>
      <c r="F203" s="21"/>
      <c r="G203" s="27">
        <f>G204</f>
        <v>10</v>
      </c>
      <c r="H203" s="205"/>
    </row>
    <row r="204" spans="1:8" ht="31.5">
      <c r="A204" s="26" t="s">
        <v>210</v>
      </c>
      <c r="B204" s="17">
        <v>902</v>
      </c>
      <c r="C204" s="21" t="s">
        <v>297</v>
      </c>
      <c r="D204" s="21" t="s">
        <v>268</v>
      </c>
      <c r="E204" s="21" t="s">
        <v>308</v>
      </c>
      <c r="F204" s="21"/>
      <c r="G204" s="27">
        <f>G205</f>
        <v>10</v>
      </c>
      <c r="H204" s="205"/>
    </row>
    <row r="205" spans="1:8" ht="31.5">
      <c r="A205" s="26" t="s">
        <v>301</v>
      </c>
      <c r="B205" s="17">
        <v>902</v>
      </c>
      <c r="C205" s="21" t="s">
        <v>297</v>
      </c>
      <c r="D205" s="21" t="s">
        <v>268</v>
      </c>
      <c r="E205" s="21" t="s">
        <v>308</v>
      </c>
      <c r="F205" s="21" t="s">
        <v>302</v>
      </c>
      <c r="G205" s="27">
        <f>G206</f>
        <v>10</v>
      </c>
      <c r="H205" s="205"/>
    </row>
    <row r="206" spans="1:8" ht="31.5">
      <c r="A206" s="26" t="s">
        <v>303</v>
      </c>
      <c r="B206" s="17">
        <v>902</v>
      </c>
      <c r="C206" s="21" t="s">
        <v>297</v>
      </c>
      <c r="D206" s="21" t="s">
        <v>268</v>
      </c>
      <c r="E206" s="21" t="s">
        <v>308</v>
      </c>
      <c r="F206" s="21" t="s">
        <v>304</v>
      </c>
      <c r="G206" s="27">
        <v>10</v>
      </c>
      <c r="H206" s="205"/>
    </row>
    <row r="207" spans="1:8" ht="15.75" hidden="1">
      <c r="A207" s="26" t="s">
        <v>174</v>
      </c>
      <c r="B207" s="17">
        <v>902</v>
      </c>
      <c r="C207" s="21" t="s">
        <v>297</v>
      </c>
      <c r="D207" s="21" t="s">
        <v>268</v>
      </c>
      <c r="E207" s="21" t="s">
        <v>175</v>
      </c>
      <c r="F207" s="21"/>
      <c r="G207" s="27">
        <f>G208</f>
        <v>0</v>
      </c>
      <c r="H207" s="205"/>
    </row>
    <row r="208" spans="1:8" ht="31.5" hidden="1">
      <c r="A208" s="26" t="s">
        <v>238</v>
      </c>
      <c r="B208" s="17">
        <v>902</v>
      </c>
      <c r="C208" s="21" t="s">
        <v>297</v>
      </c>
      <c r="D208" s="21" t="s">
        <v>268</v>
      </c>
      <c r="E208" s="21" t="s">
        <v>239</v>
      </c>
      <c r="F208" s="21"/>
      <c r="G208" s="27">
        <f>G209</f>
        <v>0</v>
      </c>
      <c r="H208" s="205"/>
    </row>
    <row r="209" spans="1:12" ht="47.25" hidden="1">
      <c r="A209" s="33" t="s">
        <v>309</v>
      </c>
      <c r="B209" s="17">
        <v>902</v>
      </c>
      <c r="C209" s="21" t="s">
        <v>297</v>
      </c>
      <c r="D209" s="21" t="s">
        <v>268</v>
      </c>
      <c r="E209" s="21" t="s">
        <v>310</v>
      </c>
      <c r="F209" s="21"/>
      <c r="G209" s="27">
        <f>G210</f>
        <v>0</v>
      </c>
      <c r="H209" s="205"/>
    </row>
    <row r="210" spans="1:12" ht="31.5" hidden="1">
      <c r="A210" s="26" t="s">
        <v>301</v>
      </c>
      <c r="B210" s="17">
        <v>902</v>
      </c>
      <c r="C210" s="21" t="s">
        <v>297</v>
      </c>
      <c r="D210" s="21" t="s">
        <v>268</v>
      </c>
      <c r="E210" s="21" t="s">
        <v>310</v>
      </c>
      <c r="F210" s="21" t="s">
        <v>302</v>
      </c>
      <c r="G210" s="27">
        <f>G211</f>
        <v>0</v>
      </c>
      <c r="H210" s="205"/>
    </row>
    <row r="211" spans="1:12" ht="31.5" hidden="1">
      <c r="A211" s="26" t="s">
        <v>303</v>
      </c>
      <c r="B211" s="17">
        <v>902</v>
      </c>
      <c r="C211" s="21" t="s">
        <v>297</v>
      </c>
      <c r="D211" s="21" t="s">
        <v>268</v>
      </c>
      <c r="E211" s="21" t="s">
        <v>310</v>
      </c>
      <c r="F211" s="21" t="s">
        <v>304</v>
      </c>
      <c r="G211" s="27">
        <f>6250-6250</f>
        <v>0</v>
      </c>
      <c r="H211" s="130"/>
      <c r="I211" s="139"/>
    </row>
    <row r="212" spans="1:12" ht="31.5">
      <c r="A212" s="24" t="s">
        <v>311</v>
      </c>
      <c r="B212" s="20">
        <v>902</v>
      </c>
      <c r="C212" s="25" t="s">
        <v>297</v>
      </c>
      <c r="D212" s="25" t="s">
        <v>173</v>
      </c>
      <c r="E212" s="25"/>
      <c r="F212" s="25"/>
      <c r="G212" s="22">
        <f>G213</f>
        <v>3148.5000000000005</v>
      </c>
      <c r="H212" s="205"/>
    </row>
    <row r="213" spans="1:12" ht="15.75">
      <c r="A213" s="26" t="s">
        <v>174</v>
      </c>
      <c r="B213" s="17">
        <v>902</v>
      </c>
      <c r="C213" s="21" t="s">
        <v>297</v>
      </c>
      <c r="D213" s="21" t="s">
        <v>173</v>
      </c>
      <c r="E213" s="21" t="s">
        <v>175</v>
      </c>
      <c r="F213" s="25"/>
      <c r="G213" s="27">
        <f>G214</f>
        <v>3148.5000000000005</v>
      </c>
      <c r="H213" s="205"/>
    </row>
    <row r="214" spans="1:12" ht="31.5">
      <c r="A214" s="26" t="s">
        <v>238</v>
      </c>
      <c r="B214" s="17">
        <v>902</v>
      </c>
      <c r="C214" s="21" t="s">
        <v>297</v>
      </c>
      <c r="D214" s="21" t="s">
        <v>173</v>
      </c>
      <c r="E214" s="21" t="s">
        <v>239</v>
      </c>
      <c r="F214" s="21"/>
      <c r="G214" s="27">
        <f>G215</f>
        <v>3148.5000000000005</v>
      </c>
      <c r="H214" s="205"/>
    </row>
    <row r="215" spans="1:12" ht="47.25">
      <c r="A215" s="33" t="s">
        <v>312</v>
      </c>
      <c r="B215" s="17">
        <v>902</v>
      </c>
      <c r="C215" s="21" t="s">
        <v>297</v>
      </c>
      <c r="D215" s="21" t="s">
        <v>173</v>
      </c>
      <c r="E215" s="21" t="s">
        <v>313</v>
      </c>
      <c r="F215" s="21"/>
      <c r="G215" s="27">
        <f>G216+G218</f>
        <v>3148.5000000000005</v>
      </c>
      <c r="H215" s="205"/>
    </row>
    <row r="216" spans="1:12" ht="94.5">
      <c r="A216" s="26" t="s">
        <v>180</v>
      </c>
      <c r="B216" s="17">
        <v>902</v>
      </c>
      <c r="C216" s="21" t="s">
        <v>297</v>
      </c>
      <c r="D216" s="21" t="s">
        <v>173</v>
      </c>
      <c r="E216" s="21" t="s">
        <v>313</v>
      </c>
      <c r="F216" s="21" t="s">
        <v>181</v>
      </c>
      <c r="G216" s="27">
        <f>G217</f>
        <v>2884.1000000000004</v>
      </c>
      <c r="H216" s="205"/>
    </row>
    <row r="217" spans="1:12" ht="31.5">
      <c r="A217" s="26" t="s">
        <v>182</v>
      </c>
      <c r="B217" s="17">
        <v>902</v>
      </c>
      <c r="C217" s="21" t="s">
        <v>297</v>
      </c>
      <c r="D217" s="21" t="s">
        <v>173</v>
      </c>
      <c r="E217" s="21" t="s">
        <v>313</v>
      </c>
      <c r="F217" s="21" t="s">
        <v>183</v>
      </c>
      <c r="G217" s="28">
        <f>2826.8+14.8+42.5</f>
        <v>2884.1000000000004</v>
      </c>
      <c r="H217" s="130"/>
    </row>
    <row r="218" spans="1:12" ht="31.5">
      <c r="A218" s="26" t="s">
        <v>184</v>
      </c>
      <c r="B218" s="17">
        <v>902</v>
      </c>
      <c r="C218" s="21" t="s">
        <v>297</v>
      </c>
      <c r="D218" s="21" t="s">
        <v>173</v>
      </c>
      <c r="E218" s="21" t="s">
        <v>313</v>
      </c>
      <c r="F218" s="21" t="s">
        <v>185</v>
      </c>
      <c r="G218" s="27">
        <f>G219</f>
        <v>264.39999999999998</v>
      </c>
      <c r="H218" s="205"/>
    </row>
    <row r="219" spans="1:12" ht="47.25">
      <c r="A219" s="26" t="s">
        <v>186</v>
      </c>
      <c r="B219" s="17">
        <v>902</v>
      </c>
      <c r="C219" s="21" t="s">
        <v>297</v>
      </c>
      <c r="D219" s="21" t="s">
        <v>173</v>
      </c>
      <c r="E219" s="21" t="s">
        <v>313</v>
      </c>
      <c r="F219" s="21" t="s">
        <v>187</v>
      </c>
      <c r="G219" s="28">
        <f>433.9-112.2-14.8-42.5</f>
        <v>264.39999999999998</v>
      </c>
      <c r="H219" s="130"/>
      <c r="I219" s="139"/>
    </row>
    <row r="220" spans="1:12" ht="47.25">
      <c r="A220" s="20" t="s">
        <v>314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5"/>
      <c r="L220" s="140"/>
    </row>
    <row r="221" spans="1:12" ht="15.75" hidden="1">
      <c r="A221" s="24" t="s">
        <v>170</v>
      </c>
      <c r="B221" s="20">
        <v>903</v>
      </c>
      <c r="C221" s="25" t="s">
        <v>171</v>
      </c>
      <c r="D221" s="25"/>
      <c r="E221" s="25"/>
      <c r="F221" s="25"/>
      <c r="G221" s="22">
        <f t="shared" ref="G221:G226" si="17">G222</f>
        <v>0</v>
      </c>
      <c r="H221" s="205"/>
    </row>
    <row r="222" spans="1:12" ht="15.75" hidden="1">
      <c r="A222" s="36" t="s">
        <v>192</v>
      </c>
      <c r="B222" s="20">
        <v>903</v>
      </c>
      <c r="C222" s="25" t="s">
        <v>171</v>
      </c>
      <c r="D222" s="25" t="s">
        <v>193</v>
      </c>
      <c r="E222" s="25"/>
      <c r="F222" s="25"/>
      <c r="G222" s="22">
        <f t="shared" si="17"/>
        <v>0</v>
      </c>
      <c r="H222" s="205"/>
    </row>
    <row r="223" spans="1:12" ht="15.75" hidden="1">
      <c r="A223" s="33" t="s">
        <v>174</v>
      </c>
      <c r="B223" s="17">
        <v>903</v>
      </c>
      <c r="C223" s="21" t="s">
        <v>171</v>
      </c>
      <c r="D223" s="21" t="s">
        <v>193</v>
      </c>
      <c r="E223" s="21" t="s">
        <v>175</v>
      </c>
      <c r="F223" s="21"/>
      <c r="G223" s="27">
        <f t="shared" si="17"/>
        <v>0</v>
      </c>
      <c r="H223" s="205"/>
    </row>
    <row r="224" spans="1:12" ht="15.75" hidden="1">
      <c r="A224" s="33" t="s">
        <v>194</v>
      </c>
      <c r="B224" s="17">
        <v>903</v>
      </c>
      <c r="C224" s="21" t="s">
        <v>171</v>
      </c>
      <c r="D224" s="21" t="s">
        <v>193</v>
      </c>
      <c r="E224" s="21" t="s">
        <v>195</v>
      </c>
      <c r="F224" s="21"/>
      <c r="G224" s="27">
        <f t="shared" si="17"/>
        <v>0</v>
      </c>
      <c r="H224" s="205"/>
    </row>
    <row r="225" spans="1:8" ht="15.75" hidden="1">
      <c r="A225" s="26" t="s">
        <v>232</v>
      </c>
      <c r="B225" s="17">
        <v>903</v>
      </c>
      <c r="C225" s="21" t="s">
        <v>171</v>
      </c>
      <c r="D225" s="21" t="s">
        <v>193</v>
      </c>
      <c r="E225" s="21" t="s">
        <v>315</v>
      </c>
      <c r="F225" s="21"/>
      <c r="G225" s="27">
        <f t="shared" si="17"/>
        <v>0</v>
      </c>
      <c r="H225" s="205"/>
    </row>
    <row r="226" spans="1:8" ht="31.5" hidden="1">
      <c r="A226" s="26" t="s">
        <v>184</v>
      </c>
      <c r="B226" s="17">
        <v>903</v>
      </c>
      <c r="C226" s="21" t="s">
        <v>171</v>
      </c>
      <c r="D226" s="21" t="s">
        <v>193</v>
      </c>
      <c r="E226" s="21" t="s">
        <v>315</v>
      </c>
      <c r="F226" s="21" t="s">
        <v>185</v>
      </c>
      <c r="G226" s="27">
        <f t="shared" si="17"/>
        <v>0</v>
      </c>
      <c r="H226" s="205"/>
    </row>
    <row r="227" spans="1:8" ht="47.25" hidden="1">
      <c r="A227" s="26" t="s">
        <v>186</v>
      </c>
      <c r="B227" s="17">
        <v>903</v>
      </c>
      <c r="C227" s="21" t="s">
        <v>171</v>
      </c>
      <c r="D227" s="21" t="s">
        <v>193</v>
      </c>
      <c r="E227" s="21" t="s">
        <v>315</v>
      </c>
      <c r="F227" s="21" t="s">
        <v>187</v>
      </c>
      <c r="G227" s="27"/>
      <c r="H227" s="205"/>
    </row>
    <row r="228" spans="1:8" ht="15.75">
      <c r="A228" s="24" t="s">
        <v>170</v>
      </c>
      <c r="B228" s="20">
        <v>903</v>
      </c>
      <c r="C228" s="25" t="s">
        <v>171</v>
      </c>
      <c r="D228" s="21"/>
      <c r="E228" s="21"/>
      <c r="F228" s="21"/>
      <c r="G228" s="27">
        <f>G229</f>
        <v>88.7</v>
      </c>
      <c r="H228" s="205"/>
    </row>
    <row r="229" spans="1:8" ht="15.75">
      <c r="A229" s="24" t="s">
        <v>192</v>
      </c>
      <c r="B229" s="20">
        <v>903</v>
      </c>
      <c r="C229" s="25" t="s">
        <v>171</v>
      </c>
      <c r="D229" s="25" t="s">
        <v>193</v>
      </c>
      <c r="E229" s="21"/>
      <c r="F229" s="21"/>
      <c r="G229" s="27">
        <f>G230</f>
        <v>88.7</v>
      </c>
      <c r="H229" s="205"/>
    </row>
    <row r="230" spans="1:8" ht="15.75">
      <c r="A230" s="26" t="s">
        <v>174</v>
      </c>
      <c r="B230" s="17">
        <v>903</v>
      </c>
      <c r="C230" s="21" t="s">
        <v>171</v>
      </c>
      <c r="D230" s="21" t="s">
        <v>193</v>
      </c>
      <c r="E230" s="21" t="s">
        <v>175</v>
      </c>
      <c r="F230" s="21"/>
      <c r="G230" s="27">
        <f>G231</f>
        <v>88.7</v>
      </c>
      <c r="H230" s="205"/>
    </row>
    <row r="231" spans="1:8" ht="31.5">
      <c r="A231" s="26" t="s">
        <v>238</v>
      </c>
      <c r="B231" s="17">
        <v>903</v>
      </c>
      <c r="C231" s="21" t="s">
        <v>171</v>
      </c>
      <c r="D231" s="21" t="s">
        <v>193</v>
      </c>
      <c r="E231" s="21" t="s">
        <v>239</v>
      </c>
      <c r="F231" s="21"/>
      <c r="G231" s="27">
        <f>G232</f>
        <v>88.7</v>
      </c>
      <c r="H231" s="205"/>
    </row>
    <row r="232" spans="1:8" ht="47.25">
      <c r="A232" s="37" t="s">
        <v>839</v>
      </c>
      <c r="B232" s="17">
        <v>903</v>
      </c>
      <c r="C232" s="21" t="s">
        <v>171</v>
      </c>
      <c r="D232" s="21" t="s">
        <v>193</v>
      </c>
      <c r="E232" s="21" t="s">
        <v>838</v>
      </c>
      <c r="F232" s="25"/>
      <c r="G232" s="27">
        <f t="shared" ref="G232:G233" si="18">G233</f>
        <v>88.7</v>
      </c>
      <c r="H232" s="205"/>
    </row>
    <row r="233" spans="1:8" ht="31.5">
      <c r="A233" s="26" t="s">
        <v>184</v>
      </c>
      <c r="B233" s="17">
        <v>903</v>
      </c>
      <c r="C233" s="21" t="s">
        <v>171</v>
      </c>
      <c r="D233" s="21" t="s">
        <v>193</v>
      </c>
      <c r="E233" s="21" t="s">
        <v>838</v>
      </c>
      <c r="F233" s="21" t="s">
        <v>185</v>
      </c>
      <c r="G233" s="27">
        <f t="shared" si="18"/>
        <v>88.7</v>
      </c>
      <c r="H233" s="205"/>
    </row>
    <row r="234" spans="1:8" ht="53.25" customHeight="1">
      <c r="A234" s="26" t="s">
        <v>186</v>
      </c>
      <c r="B234" s="17">
        <v>903</v>
      </c>
      <c r="C234" s="21" t="s">
        <v>171</v>
      </c>
      <c r="D234" s="21" t="s">
        <v>193</v>
      </c>
      <c r="E234" s="21" t="s">
        <v>838</v>
      </c>
      <c r="F234" s="21" t="s">
        <v>187</v>
      </c>
      <c r="G234" s="189">
        <v>88.7</v>
      </c>
      <c r="H234" s="184" t="s">
        <v>833</v>
      </c>
    </row>
    <row r="235" spans="1:8" ht="15.75">
      <c r="A235" s="24" t="s">
        <v>316</v>
      </c>
      <c r="B235" s="20">
        <v>903</v>
      </c>
      <c r="C235" s="25" t="s">
        <v>317</v>
      </c>
      <c r="D235" s="21"/>
      <c r="E235" s="21"/>
      <c r="F235" s="21"/>
      <c r="G235" s="22">
        <f t="shared" ref="G235" si="19">G236+G271</f>
        <v>17482.699999999997</v>
      </c>
      <c r="H235" s="205"/>
    </row>
    <row r="236" spans="1:8" ht="15.75">
      <c r="A236" s="24" t="s">
        <v>318</v>
      </c>
      <c r="B236" s="20">
        <v>903</v>
      </c>
      <c r="C236" s="25" t="s">
        <v>317</v>
      </c>
      <c r="D236" s="25" t="s">
        <v>268</v>
      </c>
      <c r="E236" s="25"/>
      <c r="F236" s="25"/>
      <c r="G236" s="22">
        <f>G237+G260</f>
        <v>17482.699999999997</v>
      </c>
      <c r="H236" s="205"/>
    </row>
    <row r="237" spans="1:8" ht="47.25">
      <c r="A237" s="26" t="s">
        <v>319</v>
      </c>
      <c r="B237" s="17">
        <v>903</v>
      </c>
      <c r="C237" s="21" t="s">
        <v>317</v>
      </c>
      <c r="D237" s="21" t="s">
        <v>268</v>
      </c>
      <c r="E237" s="21" t="s">
        <v>320</v>
      </c>
      <c r="F237" s="21"/>
      <c r="G237" s="27">
        <f>G238</f>
        <v>16445.599999999999</v>
      </c>
      <c r="H237" s="205"/>
    </row>
    <row r="238" spans="1:8" ht="63">
      <c r="A238" s="26" t="s">
        <v>321</v>
      </c>
      <c r="B238" s="17">
        <v>903</v>
      </c>
      <c r="C238" s="21" t="s">
        <v>317</v>
      </c>
      <c r="D238" s="21" t="s">
        <v>268</v>
      </c>
      <c r="E238" s="21" t="s">
        <v>322</v>
      </c>
      <c r="F238" s="21"/>
      <c r="G238" s="27">
        <f>G239+G251</f>
        <v>16445.599999999999</v>
      </c>
      <c r="H238" s="205"/>
    </row>
    <row r="239" spans="1:8" ht="47.25">
      <c r="A239" s="26" t="s">
        <v>323</v>
      </c>
      <c r="B239" s="17">
        <v>903</v>
      </c>
      <c r="C239" s="21" t="s">
        <v>317</v>
      </c>
      <c r="D239" s="21" t="s">
        <v>268</v>
      </c>
      <c r="E239" s="21" t="s">
        <v>324</v>
      </c>
      <c r="F239" s="21"/>
      <c r="G239" s="27">
        <f>G240</f>
        <v>16395.599999999999</v>
      </c>
      <c r="H239" s="205"/>
    </row>
    <row r="240" spans="1:8" ht="47.25">
      <c r="A240" s="26" t="s">
        <v>325</v>
      </c>
      <c r="B240" s="17">
        <v>903</v>
      </c>
      <c r="C240" s="21" t="s">
        <v>317</v>
      </c>
      <c r="D240" s="21" t="s">
        <v>268</v>
      </c>
      <c r="E240" s="21" t="s">
        <v>324</v>
      </c>
      <c r="F240" s="21" t="s">
        <v>326</v>
      </c>
      <c r="G240" s="27">
        <f>G241</f>
        <v>16395.599999999999</v>
      </c>
      <c r="H240" s="205"/>
    </row>
    <row r="241" spans="1:9" ht="15.75">
      <c r="A241" s="26" t="s">
        <v>327</v>
      </c>
      <c r="B241" s="17">
        <v>903</v>
      </c>
      <c r="C241" s="21" t="s">
        <v>317</v>
      </c>
      <c r="D241" s="21" t="s">
        <v>268</v>
      </c>
      <c r="E241" s="21" t="s">
        <v>324</v>
      </c>
      <c r="F241" s="21" t="s">
        <v>328</v>
      </c>
      <c r="G241" s="28">
        <f>15572+756.3+67.3</f>
        <v>16395.599999999999</v>
      </c>
      <c r="H241" s="130"/>
      <c r="I241" s="149"/>
    </row>
    <row r="242" spans="1:9" ht="47.25" hidden="1">
      <c r="A242" s="26" t="s">
        <v>329</v>
      </c>
      <c r="B242" s="17">
        <v>903</v>
      </c>
      <c r="C242" s="21" t="s">
        <v>317</v>
      </c>
      <c r="D242" s="21" t="s">
        <v>268</v>
      </c>
      <c r="E242" s="21" t="s">
        <v>330</v>
      </c>
      <c r="F242" s="21"/>
      <c r="G242" s="27">
        <f t="shared" ref="G242:G243" si="20">G243</f>
        <v>0</v>
      </c>
      <c r="H242" s="205"/>
    </row>
    <row r="243" spans="1:9" ht="47.25" hidden="1">
      <c r="A243" s="26" t="s">
        <v>325</v>
      </c>
      <c r="B243" s="17">
        <v>903</v>
      </c>
      <c r="C243" s="21" t="s">
        <v>317</v>
      </c>
      <c r="D243" s="21" t="s">
        <v>268</v>
      </c>
      <c r="E243" s="21" t="s">
        <v>330</v>
      </c>
      <c r="F243" s="21" t="s">
        <v>326</v>
      </c>
      <c r="G243" s="27">
        <f t="shared" si="20"/>
        <v>0</v>
      </c>
      <c r="H243" s="205"/>
    </row>
    <row r="244" spans="1:9" ht="15.75" hidden="1">
      <c r="A244" s="26" t="s">
        <v>327</v>
      </c>
      <c r="B244" s="17">
        <v>903</v>
      </c>
      <c r="C244" s="21" t="s">
        <v>317</v>
      </c>
      <c r="D244" s="21" t="s">
        <v>268</v>
      </c>
      <c r="E244" s="21" t="s">
        <v>330</v>
      </c>
      <c r="F244" s="21" t="s">
        <v>328</v>
      </c>
      <c r="G244" s="27">
        <v>0</v>
      </c>
      <c r="H244" s="205"/>
    </row>
    <row r="245" spans="1:9" ht="47.25" hidden="1">
      <c r="A245" s="26" t="s">
        <v>331</v>
      </c>
      <c r="B245" s="17">
        <v>903</v>
      </c>
      <c r="C245" s="21" t="s">
        <v>317</v>
      </c>
      <c r="D245" s="21" t="s">
        <v>268</v>
      </c>
      <c r="E245" s="21" t="s">
        <v>332</v>
      </c>
      <c r="F245" s="21"/>
      <c r="G245" s="27">
        <f t="shared" ref="G245:G246" si="21">G246</f>
        <v>0</v>
      </c>
      <c r="H245" s="205"/>
    </row>
    <row r="246" spans="1:9" ht="47.25" hidden="1">
      <c r="A246" s="26" t="s">
        <v>325</v>
      </c>
      <c r="B246" s="17">
        <v>903</v>
      </c>
      <c r="C246" s="21" t="s">
        <v>317</v>
      </c>
      <c r="D246" s="21" t="s">
        <v>268</v>
      </c>
      <c r="E246" s="21" t="s">
        <v>332</v>
      </c>
      <c r="F246" s="21" t="s">
        <v>326</v>
      </c>
      <c r="G246" s="27">
        <f t="shared" si="21"/>
        <v>0</v>
      </c>
      <c r="H246" s="205"/>
    </row>
    <row r="247" spans="1:9" ht="15.75" hidden="1">
      <c r="A247" s="26" t="s">
        <v>327</v>
      </c>
      <c r="B247" s="17">
        <v>903</v>
      </c>
      <c r="C247" s="21" t="s">
        <v>317</v>
      </c>
      <c r="D247" s="21" t="s">
        <v>268</v>
      </c>
      <c r="E247" s="21" t="s">
        <v>332</v>
      </c>
      <c r="F247" s="21" t="s">
        <v>328</v>
      </c>
      <c r="G247" s="27">
        <v>0</v>
      </c>
      <c r="H247" s="205"/>
    </row>
    <row r="248" spans="1:9" ht="31.5" hidden="1">
      <c r="A248" s="26" t="s">
        <v>333</v>
      </c>
      <c r="B248" s="17">
        <v>903</v>
      </c>
      <c r="C248" s="21" t="s">
        <v>317</v>
      </c>
      <c r="D248" s="21" t="s">
        <v>268</v>
      </c>
      <c r="E248" s="21" t="s">
        <v>334</v>
      </c>
      <c r="F248" s="21"/>
      <c r="G248" s="27">
        <f t="shared" ref="G248:G249" si="22">G249</f>
        <v>0</v>
      </c>
      <c r="H248" s="205"/>
    </row>
    <row r="249" spans="1:9" ht="47.25" hidden="1">
      <c r="A249" s="26" t="s">
        <v>325</v>
      </c>
      <c r="B249" s="17">
        <v>903</v>
      </c>
      <c r="C249" s="21" t="s">
        <v>317</v>
      </c>
      <c r="D249" s="21" t="s">
        <v>268</v>
      </c>
      <c r="E249" s="21" t="s">
        <v>334</v>
      </c>
      <c r="F249" s="21" t="s">
        <v>326</v>
      </c>
      <c r="G249" s="27">
        <f t="shared" si="22"/>
        <v>0</v>
      </c>
      <c r="H249" s="205"/>
    </row>
    <row r="250" spans="1:9" ht="15.75" hidden="1">
      <c r="A250" s="26" t="s">
        <v>327</v>
      </c>
      <c r="B250" s="17">
        <v>903</v>
      </c>
      <c r="C250" s="21" t="s">
        <v>317</v>
      </c>
      <c r="D250" s="21" t="s">
        <v>268</v>
      </c>
      <c r="E250" s="21" t="s">
        <v>334</v>
      </c>
      <c r="F250" s="21" t="s">
        <v>328</v>
      </c>
      <c r="G250" s="27">
        <v>0</v>
      </c>
      <c r="H250" s="205"/>
    </row>
    <row r="251" spans="1:9" ht="47.25">
      <c r="A251" s="26" t="s">
        <v>335</v>
      </c>
      <c r="B251" s="17">
        <v>903</v>
      </c>
      <c r="C251" s="21" t="s">
        <v>317</v>
      </c>
      <c r="D251" s="21" t="s">
        <v>268</v>
      </c>
      <c r="E251" s="21" t="s">
        <v>336</v>
      </c>
      <c r="F251" s="21"/>
      <c r="G251" s="27">
        <f>G252</f>
        <v>50</v>
      </c>
      <c r="H251" s="205"/>
    </row>
    <row r="252" spans="1:9" ht="47.25">
      <c r="A252" s="26" t="s">
        <v>325</v>
      </c>
      <c r="B252" s="17">
        <v>903</v>
      </c>
      <c r="C252" s="21" t="s">
        <v>317</v>
      </c>
      <c r="D252" s="21" t="s">
        <v>268</v>
      </c>
      <c r="E252" s="21" t="s">
        <v>336</v>
      </c>
      <c r="F252" s="21" t="s">
        <v>326</v>
      </c>
      <c r="G252" s="27">
        <f t="shared" ref="G252" si="23">G253</f>
        <v>50</v>
      </c>
      <c r="H252" s="205"/>
    </row>
    <row r="253" spans="1:9" ht="15.75">
      <c r="A253" s="26" t="s">
        <v>327</v>
      </c>
      <c r="B253" s="17">
        <v>903</v>
      </c>
      <c r="C253" s="21" t="s">
        <v>317</v>
      </c>
      <c r="D253" s="21" t="s">
        <v>268</v>
      </c>
      <c r="E253" s="21" t="s">
        <v>336</v>
      </c>
      <c r="F253" s="21" t="s">
        <v>328</v>
      </c>
      <c r="G253" s="27">
        <v>50</v>
      </c>
      <c r="H253" s="205"/>
    </row>
    <row r="254" spans="1:9" ht="31.5" hidden="1">
      <c r="A254" s="26" t="s">
        <v>337</v>
      </c>
      <c r="B254" s="17">
        <v>903</v>
      </c>
      <c r="C254" s="21" t="s">
        <v>317</v>
      </c>
      <c r="D254" s="21" t="s">
        <v>268</v>
      </c>
      <c r="E254" s="21" t="s">
        <v>338</v>
      </c>
      <c r="F254" s="21"/>
      <c r="G254" s="27">
        <f t="shared" ref="G254:G255" si="24">G255</f>
        <v>0</v>
      </c>
      <c r="H254" s="205"/>
    </row>
    <row r="255" spans="1:9" ht="47.25" hidden="1">
      <c r="A255" s="26" t="s">
        <v>325</v>
      </c>
      <c r="B255" s="17">
        <v>903</v>
      </c>
      <c r="C255" s="21" t="s">
        <v>317</v>
      </c>
      <c r="D255" s="21" t="s">
        <v>268</v>
      </c>
      <c r="E255" s="21" t="s">
        <v>339</v>
      </c>
      <c r="F255" s="21" t="s">
        <v>326</v>
      </c>
      <c r="G255" s="27">
        <f t="shared" si="24"/>
        <v>0</v>
      </c>
      <c r="H255" s="205"/>
    </row>
    <row r="256" spans="1:9" ht="15.75" hidden="1">
      <c r="A256" s="26" t="s">
        <v>327</v>
      </c>
      <c r="B256" s="17">
        <v>903</v>
      </c>
      <c r="C256" s="21" t="s">
        <v>317</v>
      </c>
      <c r="D256" s="21" t="s">
        <v>268</v>
      </c>
      <c r="E256" s="21" t="s">
        <v>339</v>
      </c>
      <c r="F256" s="21" t="s">
        <v>328</v>
      </c>
      <c r="G256" s="27">
        <v>0</v>
      </c>
      <c r="H256" s="205"/>
    </row>
    <row r="257" spans="1:9" ht="47.25" hidden="1">
      <c r="A257" s="37" t="s">
        <v>340</v>
      </c>
      <c r="B257" s="17">
        <v>903</v>
      </c>
      <c r="C257" s="21" t="s">
        <v>317</v>
      </c>
      <c r="D257" s="21" t="s">
        <v>268</v>
      </c>
      <c r="E257" s="21" t="s">
        <v>341</v>
      </c>
      <c r="F257" s="21"/>
      <c r="G257" s="27">
        <f t="shared" ref="G257:G258" si="25">G258</f>
        <v>0</v>
      </c>
      <c r="H257" s="205"/>
    </row>
    <row r="258" spans="1:9" ht="47.25" hidden="1">
      <c r="A258" s="26" t="s">
        <v>325</v>
      </c>
      <c r="B258" s="17">
        <v>903</v>
      </c>
      <c r="C258" s="21" t="s">
        <v>317</v>
      </c>
      <c r="D258" s="21" t="s">
        <v>268</v>
      </c>
      <c r="E258" s="21" t="s">
        <v>341</v>
      </c>
      <c r="F258" s="21" t="s">
        <v>326</v>
      </c>
      <c r="G258" s="27">
        <f t="shared" si="25"/>
        <v>0</v>
      </c>
      <c r="H258" s="205"/>
    </row>
    <row r="259" spans="1:9" ht="15.75" hidden="1">
      <c r="A259" s="26" t="s">
        <v>327</v>
      </c>
      <c r="B259" s="17">
        <v>903</v>
      </c>
      <c r="C259" s="21" t="s">
        <v>317</v>
      </c>
      <c r="D259" s="21" t="s">
        <v>268</v>
      </c>
      <c r="E259" s="21" t="s">
        <v>341</v>
      </c>
      <c r="F259" s="21" t="s">
        <v>328</v>
      </c>
      <c r="G259" s="27">
        <v>0</v>
      </c>
      <c r="H259" s="205"/>
    </row>
    <row r="260" spans="1:9" ht="15.75">
      <c r="A260" s="26" t="s">
        <v>174</v>
      </c>
      <c r="B260" s="17">
        <v>903</v>
      </c>
      <c r="C260" s="21" t="s">
        <v>317</v>
      </c>
      <c r="D260" s="21" t="s">
        <v>268</v>
      </c>
      <c r="E260" s="21" t="s">
        <v>175</v>
      </c>
      <c r="F260" s="21"/>
      <c r="G260" s="27">
        <f t="shared" ref="G260" si="26">G261</f>
        <v>1037.1000000000001</v>
      </c>
      <c r="H260" s="205"/>
    </row>
    <row r="261" spans="1:9" ht="31.5">
      <c r="A261" s="26" t="s">
        <v>238</v>
      </c>
      <c r="B261" s="17">
        <v>903</v>
      </c>
      <c r="C261" s="21" t="s">
        <v>317</v>
      </c>
      <c r="D261" s="21" t="s">
        <v>268</v>
      </c>
      <c r="E261" s="21" t="s">
        <v>239</v>
      </c>
      <c r="F261" s="21"/>
      <c r="G261" s="27">
        <f>G262+G265+G268</f>
        <v>1037.1000000000001</v>
      </c>
      <c r="H261" s="205"/>
    </row>
    <row r="262" spans="1:9" ht="63">
      <c r="A262" s="33" t="s">
        <v>342</v>
      </c>
      <c r="B262" s="17">
        <v>903</v>
      </c>
      <c r="C262" s="21" t="s">
        <v>317</v>
      </c>
      <c r="D262" s="21" t="s">
        <v>268</v>
      </c>
      <c r="E262" s="21" t="s">
        <v>343</v>
      </c>
      <c r="F262" s="21"/>
      <c r="G262" s="27">
        <f>G263</f>
        <v>126.69999999999999</v>
      </c>
      <c r="H262" s="205"/>
    </row>
    <row r="263" spans="1:9" ht="47.25">
      <c r="A263" s="26" t="s">
        <v>325</v>
      </c>
      <c r="B263" s="17">
        <v>903</v>
      </c>
      <c r="C263" s="21" t="s">
        <v>317</v>
      </c>
      <c r="D263" s="21" t="s">
        <v>268</v>
      </c>
      <c r="E263" s="21" t="s">
        <v>343</v>
      </c>
      <c r="F263" s="21" t="s">
        <v>326</v>
      </c>
      <c r="G263" s="27">
        <f>G264</f>
        <v>126.69999999999999</v>
      </c>
      <c r="H263" s="205"/>
    </row>
    <row r="264" spans="1:9" ht="15.75">
      <c r="A264" s="26" t="s">
        <v>327</v>
      </c>
      <c r="B264" s="17">
        <v>903</v>
      </c>
      <c r="C264" s="21" t="s">
        <v>317</v>
      </c>
      <c r="D264" s="21" t="s">
        <v>268</v>
      </c>
      <c r="E264" s="21" t="s">
        <v>343</v>
      </c>
      <c r="F264" s="21" t="s">
        <v>328</v>
      </c>
      <c r="G264" s="27">
        <f>162.6-35.9</f>
        <v>126.69999999999999</v>
      </c>
      <c r="H264" s="205"/>
      <c r="I264" s="139"/>
    </row>
    <row r="265" spans="1:9" ht="78.75">
      <c r="A265" s="33" t="s">
        <v>344</v>
      </c>
      <c r="B265" s="17">
        <v>903</v>
      </c>
      <c r="C265" s="21" t="s">
        <v>317</v>
      </c>
      <c r="D265" s="21" t="s">
        <v>268</v>
      </c>
      <c r="E265" s="21" t="s">
        <v>345</v>
      </c>
      <c r="F265" s="21"/>
      <c r="G265" s="27">
        <f>G266</f>
        <v>310.70000000000005</v>
      </c>
      <c r="H265" s="205"/>
    </row>
    <row r="266" spans="1:9" ht="47.25">
      <c r="A266" s="26" t="s">
        <v>325</v>
      </c>
      <c r="B266" s="17">
        <v>903</v>
      </c>
      <c r="C266" s="21" t="s">
        <v>317</v>
      </c>
      <c r="D266" s="21" t="s">
        <v>268</v>
      </c>
      <c r="E266" s="21" t="s">
        <v>345</v>
      </c>
      <c r="F266" s="21" t="s">
        <v>326</v>
      </c>
      <c r="G266" s="27">
        <f>G267</f>
        <v>310.70000000000005</v>
      </c>
      <c r="H266" s="205"/>
    </row>
    <row r="267" spans="1:9" ht="15.75">
      <c r="A267" s="26" t="s">
        <v>327</v>
      </c>
      <c r="B267" s="17">
        <v>903</v>
      </c>
      <c r="C267" s="21" t="s">
        <v>317</v>
      </c>
      <c r="D267" s="21" t="s">
        <v>268</v>
      </c>
      <c r="E267" s="21" t="s">
        <v>345</v>
      </c>
      <c r="F267" s="21" t="s">
        <v>328</v>
      </c>
      <c r="G267" s="27">
        <f>393.3-82.6</f>
        <v>310.70000000000005</v>
      </c>
      <c r="H267" s="205"/>
      <c r="I267" s="139"/>
    </row>
    <row r="268" spans="1:9" ht="110.25">
      <c r="A268" s="33" t="s">
        <v>346</v>
      </c>
      <c r="B268" s="17">
        <v>903</v>
      </c>
      <c r="C268" s="21" t="s">
        <v>317</v>
      </c>
      <c r="D268" s="21" t="s">
        <v>268</v>
      </c>
      <c r="E268" s="21" t="s">
        <v>347</v>
      </c>
      <c r="F268" s="21"/>
      <c r="G268" s="27">
        <f>G269</f>
        <v>599.70000000000005</v>
      </c>
      <c r="H268" s="205"/>
    </row>
    <row r="269" spans="1:9" ht="47.25">
      <c r="A269" s="26" t="s">
        <v>325</v>
      </c>
      <c r="B269" s="17">
        <v>903</v>
      </c>
      <c r="C269" s="21" t="s">
        <v>317</v>
      </c>
      <c r="D269" s="21" t="s">
        <v>268</v>
      </c>
      <c r="E269" s="21" t="s">
        <v>347</v>
      </c>
      <c r="F269" s="21" t="s">
        <v>326</v>
      </c>
      <c r="G269" s="27">
        <f>G270</f>
        <v>599.70000000000005</v>
      </c>
      <c r="H269" s="205"/>
    </row>
    <row r="270" spans="1:9" ht="15.75">
      <c r="A270" s="26" t="s">
        <v>327</v>
      </c>
      <c r="B270" s="17">
        <v>903</v>
      </c>
      <c r="C270" s="21" t="s">
        <v>317</v>
      </c>
      <c r="D270" s="21" t="s">
        <v>268</v>
      </c>
      <c r="E270" s="21" t="s">
        <v>347</v>
      </c>
      <c r="F270" s="21" t="s">
        <v>328</v>
      </c>
      <c r="G270" s="27">
        <f>600-0.3</f>
        <v>599.70000000000005</v>
      </c>
      <c r="H270" s="205"/>
      <c r="I270" s="139"/>
    </row>
    <row r="271" spans="1:9" ht="15.75" hidden="1">
      <c r="A271" s="24" t="s">
        <v>348</v>
      </c>
      <c r="B271" s="20">
        <v>903</v>
      </c>
      <c r="C271" s="25" t="s">
        <v>317</v>
      </c>
      <c r="D271" s="25" t="s">
        <v>272</v>
      </c>
      <c r="E271" s="25"/>
      <c r="F271" s="25"/>
      <c r="G271" s="27">
        <f t="shared" ref="G271:G275" si="27">G272</f>
        <v>0</v>
      </c>
      <c r="H271" s="205"/>
    </row>
    <row r="272" spans="1:9" ht="15.75" hidden="1">
      <c r="A272" s="26" t="s">
        <v>174</v>
      </c>
      <c r="B272" s="17">
        <v>903</v>
      </c>
      <c r="C272" s="21" t="s">
        <v>317</v>
      </c>
      <c r="D272" s="21" t="s">
        <v>272</v>
      </c>
      <c r="E272" s="21" t="s">
        <v>175</v>
      </c>
      <c r="F272" s="21"/>
      <c r="G272" s="27">
        <f t="shared" si="27"/>
        <v>0</v>
      </c>
      <c r="H272" s="205"/>
    </row>
    <row r="273" spans="1:12" ht="31.5" hidden="1">
      <c r="A273" s="26" t="s">
        <v>238</v>
      </c>
      <c r="B273" s="17">
        <v>903</v>
      </c>
      <c r="C273" s="21" t="s">
        <v>317</v>
      </c>
      <c r="D273" s="21" t="s">
        <v>272</v>
      </c>
      <c r="E273" s="21" t="s">
        <v>239</v>
      </c>
      <c r="F273" s="21"/>
      <c r="G273" s="27">
        <f t="shared" si="27"/>
        <v>0</v>
      </c>
      <c r="H273" s="205"/>
    </row>
    <row r="274" spans="1:12" ht="31.5" hidden="1">
      <c r="A274" s="38" t="s">
        <v>349</v>
      </c>
      <c r="B274" s="39">
        <v>903</v>
      </c>
      <c r="C274" s="21" t="s">
        <v>317</v>
      </c>
      <c r="D274" s="21" t="s">
        <v>272</v>
      </c>
      <c r="E274" s="21" t="s">
        <v>350</v>
      </c>
      <c r="F274" s="21"/>
      <c r="G274" s="27">
        <f t="shared" si="27"/>
        <v>0</v>
      </c>
      <c r="H274" s="205"/>
    </row>
    <row r="275" spans="1:12" ht="15.75" hidden="1">
      <c r="A275" s="26" t="s">
        <v>188</v>
      </c>
      <c r="B275" s="17">
        <v>903</v>
      </c>
      <c r="C275" s="21" t="s">
        <v>317</v>
      </c>
      <c r="D275" s="21" t="s">
        <v>272</v>
      </c>
      <c r="E275" s="21" t="s">
        <v>350</v>
      </c>
      <c r="F275" s="21" t="s">
        <v>198</v>
      </c>
      <c r="G275" s="27">
        <f t="shared" si="27"/>
        <v>0</v>
      </c>
      <c r="H275" s="205"/>
    </row>
    <row r="276" spans="1:12" ht="63" hidden="1">
      <c r="A276" s="26" t="s">
        <v>237</v>
      </c>
      <c r="B276" s="17">
        <v>903</v>
      </c>
      <c r="C276" s="21" t="s">
        <v>317</v>
      </c>
      <c r="D276" s="21" t="s">
        <v>272</v>
      </c>
      <c r="E276" s="21" t="s">
        <v>350</v>
      </c>
      <c r="F276" s="21" t="s">
        <v>213</v>
      </c>
      <c r="G276" s="27"/>
      <c r="H276" s="205"/>
    </row>
    <row r="277" spans="1:12" ht="15.75">
      <c r="A277" s="24" t="s">
        <v>351</v>
      </c>
      <c r="B277" s="20">
        <v>903</v>
      </c>
      <c r="C277" s="25" t="s">
        <v>352</v>
      </c>
      <c r="D277" s="25"/>
      <c r="E277" s="25"/>
      <c r="F277" s="25"/>
      <c r="G277" s="22">
        <f>G278+G358</f>
        <v>61699.8</v>
      </c>
      <c r="H277" s="205"/>
    </row>
    <row r="278" spans="1:12" ht="15.75">
      <c r="A278" s="24" t="s">
        <v>353</v>
      </c>
      <c r="B278" s="20">
        <v>903</v>
      </c>
      <c r="C278" s="25" t="s">
        <v>352</v>
      </c>
      <c r="D278" s="25" t="s">
        <v>171</v>
      </c>
      <c r="E278" s="25"/>
      <c r="F278" s="25"/>
      <c r="G278" s="22">
        <f>G279+G337+G333</f>
        <v>44421.000000000007</v>
      </c>
      <c r="H278" s="205"/>
    </row>
    <row r="279" spans="1:12" ht="47.25">
      <c r="A279" s="26" t="s">
        <v>319</v>
      </c>
      <c r="B279" s="17">
        <v>903</v>
      </c>
      <c r="C279" s="21" t="s">
        <v>352</v>
      </c>
      <c r="D279" s="21" t="s">
        <v>171</v>
      </c>
      <c r="E279" s="21" t="s">
        <v>320</v>
      </c>
      <c r="F279" s="21"/>
      <c r="G279" s="27">
        <f>G280+G306</f>
        <v>42083.100000000006</v>
      </c>
      <c r="H279" s="205"/>
    </row>
    <row r="280" spans="1:12" ht="63">
      <c r="A280" s="26" t="s">
        <v>354</v>
      </c>
      <c r="B280" s="17">
        <v>903</v>
      </c>
      <c r="C280" s="21" t="s">
        <v>352</v>
      </c>
      <c r="D280" s="21" t="s">
        <v>171</v>
      </c>
      <c r="E280" s="21" t="s">
        <v>355</v>
      </c>
      <c r="F280" s="21"/>
      <c r="G280" s="27">
        <f>G281+G299+G284+G287+G290+G293+G296</f>
        <v>25422.5</v>
      </c>
      <c r="H280" s="205"/>
    </row>
    <row r="281" spans="1:12" ht="52.5" customHeight="1">
      <c r="A281" s="26" t="s">
        <v>356</v>
      </c>
      <c r="B281" s="17">
        <v>903</v>
      </c>
      <c r="C281" s="21" t="s">
        <v>352</v>
      </c>
      <c r="D281" s="21" t="s">
        <v>171</v>
      </c>
      <c r="E281" s="21" t="s">
        <v>357</v>
      </c>
      <c r="F281" s="21"/>
      <c r="G281" s="27">
        <f>G282</f>
        <v>23654.800000000003</v>
      </c>
      <c r="H281" s="205"/>
    </row>
    <row r="282" spans="1:12" ht="47.25">
      <c r="A282" s="26" t="s">
        <v>325</v>
      </c>
      <c r="B282" s="17">
        <v>903</v>
      </c>
      <c r="C282" s="21" t="s">
        <v>352</v>
      </c>
      <c r="D282" s="21" t="s">
        <v>171</v>
      </c>
      <c r="E282" s="21" t="s">
        <v>357</v>
      </c>
      <c r="F282" s="21" t="s">
        <v>326</v>
      </c>
      <c r="G282" s="27">
        <f t="shared" ref="G282" si="28">G283</f>
        <v>23654.800000000003</v>
      </c>
      <c r="H282" s="205"/>
    </row>
    <row r="283" spans="1:12" ht="15.75">
      <c r="A283" s="26" t="s">
        <v>327</v>
      </c>
      <c r="B283" s="17">
        <v>903</v>
      </c>
      <c r="C283" s="21" t="s">
        <v>352</v>
      </c>
      <c r="D283" s="21" t="s">
        <v>171</v>
      </c>
      <c r="E283" s="21" t="s">
        <v>357</v>
      </c>
      <c r="F283" s="21" t="s">
        <v>328</v>
      </c>
      <c r="G283" s="28">
        <f>25081.9+2671.4-3136.8-961.7</f>
        <v>23654.800000000003</v>
      </c>
      <c r="H283" s="130"/>
      <c r="I283" s="149"/>
    </row>
    <row r="284" spans="1:12" ht="47.25">
      <c r="A284" s="26" t="s">
        <v>800</v>
      </c>
      <c r="B284" s="17">
        <v>903</v>
      </c>
      <c r="C284" s="21" t="s">
        <v>352</v>
      </c>
      <c r="D284" s="21" t="s">
        <v>171</v>
      </c>
      <c r="E284" s="21" t="s">
        <v>358</v>
      </c>
      <c r="F284" s="21"/>
      <c r="G284" s="27">
        <f t="shared" ref="G284:G285" si="29">G285</f>
        <v>96.1</v>
      </c>
      <c r="H284" s="205"/>
      <c r="L284" s="141"/>
    </row>
    <row r="285" spans="1:12" ht="47.25">
      <c r="A285" s="26" t="s">
        <v>325</v>
      </c>
      <c r="B285" s="17">
        <v>903</v>
      </c>
      <c r="C285" s="21" t="s">
        <v>352</v>
      </c>
      <c r="D285" s="21" t="s">
        <v>171</v>
      </c>
      <c r="E285" s="21" t="s">
        <v>358</v>
      </c>
      <c r="F285" s="21" t="s">
        <v>326</v>
      </c>
      <c r="G285" s="27">
        <f t="shared" si="29"/>
        <v>96.1</v>
      </c>
      <c r="H285" s="205"/>
    </row>
    <row r="286" spans="1:12" ht="15.75">
      <c r="A286" s="26" t="s">
        <v>327</v>
      </c>
      <c r="B286" s="17">
        <v>903</v>
      </c>
      <c r="C286" s="21" t="s">
        <v>352</v>
      </c>
      <c r="D286" s="21" t="s">
        <v>171</v>
      </c>
      <c r="E286" s="21" t="s">
        <v>358</v>
      </c>
      <c r="F286" s="21" t="s">
        <v>328</v>
      </c>
      <c r="G286" s="27">
        <v>96.1</v>
      </c>
      <c r="H286" s="130"/>
    </row>
    <row r="287" spans="1:12" ht="47.25">
      <c r="A287" s="26" t="s">
        <v>331</v>
      </c>
      <c r="B287" s="17">
        <v>903</v>
      </c>
      <c r="C287" s="21" t="s">
        <v>352</v>
      </c>
      <c r="D287" s="21" t="s">
        <v>171</v>
      </c>
      <c r="E287" s="21" t="s">
        <v>359</v>
      </c>
      <c r="F287" s="21"/>
      <c r="G287" s="27">
        <f t="shared" ref="G287" si="30">G288</f>
        <v>142.1</v>
      </c>
      <c r="H287" s="205"/>
    </row>
    <row r="288" spans="1:12" ht="47.25">
      <c r="A288" s="26" t="s">
        <v>325</v>
      </c>
      <c r="B288" s="17">
        <v>903</v>
      </c>
      <c r="C288" s="21" t="s">
        <v>352</v>
      </c>
      <c r="D288" s="21" t="s">
        <v>171</v>
      </c>
      <c r="E288" s="21" t="s">
        <v>359</v>
      </c>
      <c r="F288" s="21" t="s">
        <v>326</v>
      </c>
      <c r="G288" s="27">
        <f>G289</f>
        <v>142.1</v>
      </c>
      <c r="H288" s="205"/>
    </row>
    <row r="289" spans="1:10" ht="15.75">
      <c r="A289" s="26" t="s">
        <v>327</v>
      </c>
      <c r="B289" s="17">
        <v>903</v>
      </c>
      <c r="C289" s="21" t="s">
        <v>352</v>
      </c>
      <c r="D289" s="21" t="s">
        <v>171</v>
      </c>
      <c r="E289" s="21" t="s">
        <v>359</v>
      </c>
      <c r="F289" s="21" t="s">
        <v>328</v>
      </c>
      <c r="G289" s="27">
        <v>142.1</v>
      </c>
      <c r="H289" s="205"/>
      <c r="I289" s="139"/>
    </row>
    <row r="290" spans="1:10" ht="15.75">
      <c r="A290" s="26" t="s">
        <v>360</v>
      </c>
      <c r="B290" s="17">
        <v>903</v>
      </c>
      <c r="C290" s="21" t="s">
        <v>352</v>
      </c>
      <c r="D290" s="21" t="s">
        <v>171</v>
      </c>
      <c r="E290" s="21" t="s">
        <v>361</v>
      </c>
      <c r="F290" s="21"/>
      <c r="G290" s="27">
        <f>G291</f>
        <v>1529.5</v>
      </c>
      <c r="H290" s="205"/>
    </row>
    <row r="291" spans="1:10" ht="47.25">
      <c r="A291" s="26" t="s">
        <v>325</v>
      </c>
      <c r="B291" s="17">
        <v>903</v>
      </c>
      <c r="C291" s="21" t="s">
        <v>352</v>
      </c>
      <c r="D291" s="21" t="s">
        <v>171</v>
      </c>
      <c r="E291" s="21" t="s">
        <v>361</v>
      </c>
      <c r="F291" s="21" t="s">
        <v>326</v>
      </c>
      <c r="G291" s="27">
        <f t="shared" ref="G291" si="31">G292</f>
        <v>1529.5</v>
      </c>
      <c r="H291" s="205"/>
    </row>
    <row r="292" spans="1:10" ht="15.75">
      <c r="A292" s="26" t="s">
        <v>327</v>
      </c>
      <c r="B292" s="17">
        <v>903</v>
      </c>
      <c r="C292" s="21" t="s">
        <v>352</v>
      </c>
      <c r="D292" s="21" t="s">
        <v>171</v>
      </c>
      <c r="E292" s="21" t="s">
        <v>361</v>
      </c>
      <c r="F292" s="21" t="s">
        <v>328</v>
      </c>
      <c r="G292" s="27">
        <f>411.9+1117.6</f>
        <v>1529.5</v>
      </c>
      <c r="H292" s="130"/>
      <c r="I292" s="149"/>
      <c r="J292" s="133"/>
    </row>
    <row r="293" spans="1:10" ht="31.5" hidden="1">
      <c r="A293" s="26" t="s">
        <v>337</v>
      </c>
      <c r="B293" s="17">
        <v>903</v>
      </c>
      <c r="C293" s="21" t="s">
        <v>352</v>
      </c>
      <c r="D293" s="21" t="s">
        <v>171</v>
      </c>
      <c r="E293" s="21" t="s">
        <v>338</v>
      </c>
      <c r="F293" s="21"/>
      <c r="G293" s="27">
        <f t="shared" ref="G293:G294" si="32">G294</f>
        <v>0</v>
      </c>
      <c r="H293" s="205"/>
    </row>
    <row r="294" spans="1:10" ht="47.25" hidden="1">
      <c r="A294" s="26" t="s">
        <v>325</v>
      </c>
      <c r="B294" s="17">
        <v>903</v>
      </c>
      <c r="C294" s="21" t="s">
        <v>352</v>
      </c>
      <c r="D294" s="21" t="s">
        <v>171</v>
      </c>
      <c r="E294" s="21" t="s">
        <v>338</v>
      </c>
      <c r="F294" s="21" t="s">
        <v>326</v>
      </c>
      <c r="G294" s="27">
        <f t="shared" si="32"/>
        <v>0</v>
      </c>
      <c r="H294" s="205"/>
    </row>
    <row r="295" spans="1:10" ht="15.75" hidden="1">
      <c r="A295" s="26" t="s">
        <v>327</v>
      </c>
      <c r="B295" s="17">
        <v>903</v>
      </c>
      <c r="C295" s="21" t="s">
        <v>352</v>
      </c>
      <c r="D295" s="21" t="s">
        <v>171</v>
      </c>
      <c r="E295" s="21" t="s">
        <v>338</v>
      </c>
      <c r="F295" s="21" t="s">
        <v>328</v>
      </c>
      <c r="G295" s="27">
        <v>0</v>
      </c>
      <c r="H295" s="205"/>
    </row>
    <row r="296" spans="1:10" ht="47.25" hidden="1">
      <c r="A296" s="37" t="s">
        <v>340</v>
      </c>
      <c r="B296" s="17">
        <v>903</v>
      </c>
      <c r="C296" s="21" t="s">
        <v>352</v>
      </c>
      <c r="D296" s="21" t="s">
        <v>171</v>
      </c>
      <c r="E296" s="21" t="s">
        <v>362</v>
      </c>
      <c r="F296" s="21"/>
      <c r="G296" s="27">
        <f t="shared" ref="G296:G297" si="33">G297</f>
        <v>0</v>
      </c>
      <c r="H296" s="205"/>
    </row>
    <row r="297" spans="1:10" ht="47.25" hidden="1">
      <c r="A297" s="26" t="s">
        <v>325</v>
      </c>
      <c r="B297" s="17">
        <v>903</v>
      </c>
      <c r="C297" s="21" t="s">
        <v>352</v>
      </c>
      <c r="D297" s="21" t="s">
        <v>171</v>
      </c>
      <c r="E297" s="21" t="s">
        <v>362</v>
      </c>
      <c r="F297" s="21" t="s">
        <v>326</v>
      </c>
      <c r="G297" s="27">
        <f t="shared" si="33"/>
        <v>0</v>
      </c>
      <c r="H297" s="205"/>
    </row>
    <row r="298" spans="1:10" ht="15.75" hidden="1">
      <c r="A298" s="26" t="s">
        <v>327</v>
      </c>
      <c r="B298" s="17">
        <v>903</v>
      </c>
      <c r="C298" s="21" t="s">
        <v>352</v>
      </c>
      <c r="D298" s="21" t="s">
        <v>171</v>
      </c>
      <c r="E298" s="21" t="s">
        <v>362</v>
      </c>
      <c r="F298" s="21" t="s">
        <v>328</v>
      </c>
      <c r="G298" s="27">
        <v>0</v>
      </c>
      <c r="H298" s="205"/>
    </row>
    <row r="299" spans="1:10" ht="47.25" hidden="1" customHeight="1">
      <c r="A299" s="26" t="s">
        <v>363</v>
      </c>
      <c r="B299" s="17">
        <v>903</v>
      </c>
      <c r="C299" s="21" t="s">
        <v>352</v>
      </c>
      <c r="D299" s="21" t="s">
        <v>171</v>
      </c>
      <c r="E299" s="21" t="s">
        <v>364</v>
      </c>
      <c r="F299" s="21"/>
      <c r="G299" s="27">
        <f t="shared" ref="G299" si="34">G300+G302+G304</f>
        <v>0</v>
      </c>
      <c r="H299" s="205"/>
    </row>
    <row r="300" spans="1:10" ht="94.5" hidden="1">
      <c r="A300" s="26" t="s">
        <v>180</v>
      </c>
      <c r="B300" s="17">
        <v>903</v>
      </c>
      <c r="C300" s="21" t="s">
        <v>352</v>
      </c>
      <c r="D300" s="21" t="s">
        <v>171</v>
      </c>
      <c r="E300" s="21" t="s">
        <v>364</v>
      </c>
      <c r="F300" s="21" t="s">
        <v>181</v>
      </c>
      <c r="G300" s="27">
        <f t="shared" ref="G300" si="35">G301</f>
        <v>0</v>
      </c>
      <c r="H300" s="205"/>
    </row>
    <row r="301" spans="1:10" ht="31.5" hidden="1">
      <c r="A301" s="26" t="s">
        <v>261</v>
      </c>
      <c r="B301" s="17">
        <v>903</v>
      </c>
      <c r="C301" s="21" t="s">
        <v>352</v>
      </c>
      <c r="D301" s="21" t="s">
        <v>171</v>
      </c>
      <c r="E301" s="21" t="s">
        <v>364</v>
      </c>
      <c r="F301" s="21" t="s">
        <v>262</v>
      </c>
      <c r="G301" s="28">
        <v>0</v>
      </c>
      <c r="H301" s="205"/>
    </row>
    <row r="302" spans="1:10" ht="31.5" hidden="1">
      <c r="A302" s="26" t="s">
        <v>184</v>
      </c>
      <c r="B302" s="17">
        <v>903</v>
      </c>
      <c r="C302" s="21" t="s">
        <v>352</v>
      </c>
      <c r="D302" s="21" t="s">
        <v>171</v>
      </c>
      <c r="E302" s="21" t="s">
        <v>364</v>
      </c>
      <c r="F302" s="21" t="s">
        <v>185</v>
      </c>
      <c r="G302" s="27">
        <f t="shared" ref="G302" si="36">G303</f>
        <v>0</v>
      </c>
      <c r="H302" s="205"/>
    </row>
    <row r="303" spans="1:10" ht="47.25" hidden="1">
      <c r="A303" s="26" t="s">
        <v>186</v>
      </c>
      <c r="B303" s="17">
        <v>903</v>
      </c>
      <c r="C303" s="21" t="s">
        <v>352</v>
      </c>
      <c r="D303" s="21" t="s">
        <v>171</v>
      </c>
      <c r="E303" s="21" t="s">
        <v>364</v>
      </c>
      <c r="F303" s="21" t="s">
        <v>187</v>
      </c>
      <c r="G303" s="28">
        <v>0</v>
      </c>
      <c r="H303" s="205"/>
    </row>
    <row r="304" spans="1:10" ht="15.75" hidden="1">
      <c r="A304" s="26" t="s">
        <v>188</v>
      </c>
      <c r="B304" s="17">
        <v>903</v>
      </c>
      <c r="C304" s="21" t="s">
        <v>352</v>
      </c>
      <c r="D304" s="21" t="s">
        <v>171</v>
      </c>
      <c r="E304" s="21" t="s">
        <v>364</v>
      </c>
      <c r="F304" s="21" t="s">
        <v>198</v>
      </c>
      <c r="G304" s="27">
        <f t="shared" ref="G304" si="37">G305</f>
        <v>0</v>
      </c>
      <c r="H304" s="205"/>
    </row>
    <row r="305" spans="1:9" ht="15.75" hidden="1">
      <c r="A305" s="26" t="s">
        <v>190</v>
      </c>
      <c r="B305" s="17">
        <v>903</v>
      </c>
      <c r="C305" s="21" t="s">
        <v>352</v>
      </c>
      <c r="D305" s="21" t="s">
        <v>171</v>
      </c>
      <c r="E305" s="21" t="s">
        <v>364</v>
      </c>
      <c r="F305" s="21" t="s">
        <v>191</v>
      </c>
      <c r="G305" s="27">
        <v>0</v>
      </c>
      <c r="H305" s="205"/>
    </row>
    <row r="306" spans="1:9" ht="47.25">
      <c r="A306" s="26" t="s">
        <v>365</v>
      </c>
      <c r="B306" s="17">
        <v>903</v>
      </c>
      <c r="C306" s="21" t="s">
        <v>352</v>
      </c>
      <c r="D306" s="21" t="s">
        <v>171</v>
      </c>
      <c r="E306" s="21" t="s">
        <v>366</v>
      </c>
      <c r="F306" s="21"/>
      <c r="G306" s="27">
        <f>G307+G330+G318+G321+G324+G327+G310+G315</f>
        <v>16660.600000000002</v>
      </c>
      <c r="H306" s="205"/>
    </row>
    <row r="307" spans="1:9" ht="51" customHeight="1">
      <c r="A307" s="26" t="s">
        <v>356</v>
      </c>
      <c r="B307" s="17">
        <v>903</v>
      </c>
      <c r="C307" s="21" t="s">
        <v>352</v>
      </c>
      <c r="D307" s="21" t="s">
        <v>171</v>
      </c>
      <c r="E307" s="21" t="s">
        <v>367</v>
      </c>
      <c r="F307" s="21"/>
      <c r="G307" s="27">
        <f>G308</f>
        <v>16655.2</v>
      </c>
      <c r="H307" s="205"/>
    </row>
    <row r="308" spans="1:9" ht="47.25">
      <c r="A308" s="26" t="s">
        <v>325</v>
      </c>
      <c r="B308" s="17">
        <v>903</v>
      </c>
      <c r="C308" s="21" t="s">
        <v>352</v>
      </c>
      <c r="D308" s="21" t="s">
        <v>171</v>
      </c>
      <c r="E308" s="21" t="s">
        <v>367</v>
      </c>
      <c r="F308" s="21" t="s">
        <v>326</v>
      </c>
      <c r="G308" s="27">
        <f t="shared" ref="G308" si="38">G309</f>
        <v>16655.2</v>
      </c>
      <c r="H308" s="205"/>
    </row>
    <row r="309" spans="1:9" ht="15.75">
      <c r="A309" s="26" t="s">
        <v>327</v>
      </c>
      <c r="B309" s="17">
        <v>903</v>
      </c>
      <c r="C309" s="21" t="s">
        <v>352</v>
      </c>
      <c r="D309" s="21" t="s">
        <v>171</v>
      </c>
      <c r="E309" s="21" t="s">
        <v>367</v>
      </c>
      <c r="F309" s="21" t="s">
        <v>328</v>
      </c>
      <c r="G309" s="28">
        <f>18073+419.6-1705.8+78.4-210</f>
        <v>16655.2</v>
      </c>
      <c r="H309" s="130"/>
      <c r="I309" s="149"/>
    </row>
    <row r="310" spans="1:9" ht="38.25" customHeight="1">
      <c r="A310" s="26" t="s">
        <v>368</v>
      </c>
      <c r="B310" s="17">
        <v>903</v>
      </c>
      <c r="C310" s="21" t="s">
        <v>352</v>
      </c>
      <c r="D310" s="21" t="s">
        <v>171</v>
      </c>
      <c r="E310" s="21" t="s">
        <v>369</v>
      </c>
      <c r="F310" s="21"/>
      <c r="G310" s="28">
        <f t="shared" ref="G310" si="39">G311+G313</f>
        <v>5</v>
      </c>
      <c r="H310" s="205"/>
    </row>
    <row r="311" spans="1:9" ht="31.5" hidden="1">
      <c r="A311" s="26" t="s">
        <v>184</v>
      </c>
      <c r="B311" s="17">
        <v>903</v>
      </c>
      <c r="C311" s="21" t="s">
        <v>352</v>
      </c>
      <c r="D311" s="21" t="s">
        <v>171</v>
      </c>
      <c r="E311" s="21" t="s">
        <v>369</v>
      </c>
      <c r="F311" s="21" t="s">
        <v>185</v>
      </c>
      <c r="G311" s="28">
        <f t="shared" ref="G311" si="40">G312</f>
        <v>0</v>
      </c>
      <c r="H311" s="205"/>
    </row>
    <row r="312" spans="1:9" ht="47.25" hidden="1">
      <c r="A312" s="26" t="s">
        <v>186</v>
      </c>
      <c r="B312" s="17">
        <v>903</v>
      </c>
      <c r="C312" s="21" t="s">
        <v>352</v>
      </c>
      <c r="D312" s="21" t="s">
        <v>171</v>
      </c>
      <c r="E312" s="21" t="s">
        <v>369</v>
      </c>
      <c r="F312" s="21" t="s">
        <v>187</v>
      </c>
      <c r="G312" s="28">
        <v>0</v>
      </c>
      <c r="H312" s="205"/>
    </row>
    <row r="313" spans="1:9" ht="47.25">
      <c r="A313" s="26" t="s">
        <v>325</v>
      </c>
      <c r="B313" s="17">
        <v>903</v>
      </c>
      <c r="C313" s="21" t="s">
        <v>352</v>
      </c>
      <c r="D313" s="21" t="s">
        <v>171</v>
      </c>
      <c r="E313" s="21" t="s">
        <v>369</v>
      </c>
      <c r="F313" s="21" t="s">
        <v>326</v>
      </c>
      <c r="G313" s="28">
        <f>G314</f>
        <v>5</v>
      </c>
      <c r="H313" s="205"/>
    </row>
    <row r="314" spans="1:9" ht="15.75">
      <c r="A314" s="26" t="s">
        <v>327</v>
      </c>
      <c r="B314" s="17">
        <v>903</v>
      </c>
      <c r="C314" s="21" t="s">
        <v>352</v>
      </c>
      <c r="D314" s="21" t="s">
        <v>171</v>
      </c>
      <c r="E314" s="21" t="s">
        <v>369</v>
      </c>
      <c r="F314" s="21" t="s">
        <v>328</v>
      </c>
      <c r="G314" s="28">
        <v>5</v>
      </c>
      <c r="H314" s="205"/>
    </row>
    <row r="315" spans="1:9" ht="15.75">
      <c r="A315" s="26" t="s">
        <v>767</v>
      </c>
      <c r="B315" s="17">
        <v>903</v>
      </c>
      <c r="C315" s="21" t="s">
        <v>352</v>
      </c>
      <c r="D315" s="21" t="s">
        <v>171</v>
      </c>
      <c r="E315" s="21" t="s">
        <v>768</v>
      </c>
      <c r="F315" s="21"/>
      <c r="G315" s="28">
        <f>G316</f>
        <v>0.4</v>
      </c>
      <c r="H315" s="205"/>
    </row>
    <row r="316" spans="1:9" ht="47.25">
      <c r="A316" s="26" t="s">
        <v>325</v>
      </c>
      <c r="B316" s="17">
        <v>903</v>
      </c>
      <c r="C316" s="21" t="s">
        <v>352</v>
      </c>
      <c r="D316" s="21" t="s">
        <v>171</v>
      </c>
      <c r="E316" s="21" t="s">
        <v>768</v>
      </c>
      <c r="F316" s="21" t="s">
        <v>326</v>
      </c>
      <c r="G316" s="28">
        <f>G317</f>
        <v>0.4</v>
      </c>
      <c r="H316" s="205"/>
    </row>
    <row r="317" spans="1:9" ht="15.75">
      <c r="A317" s="26" t="s">
        <v>327</v>
      </c>
      <c r="B317" s="17">
        <v>903</v>
      </c>
      <c r="C317" s="21" t="s">
        <v>352</v>
      </c>
      <c r="D317" s="21" t="s">
        <v>171</v>
      </c>
      <c r="E317" s="21" t="s">
        <v>768</v>
      </c>
      <c r="F317" s="21" t="s">
        <v>328</v>
      </c>
      <c r="G317" s="28">
        <v>0.4</v>
      </c>
      <c r="H317" s="130"/>
    </row>
    <row r="318" spans="1:9" ht="47.25" hidden="1">
      <c r="A318" s="26" t="s">
        <v>329</v>
      </c>
      <c r="B318" s="17">
        <v>903</v>
      </c>
      <c r="C318" s="21" t="s">
        <v>352</v>
      </c>
      <c r="D318" s="21" t="s">
        <v>171</v>
      </c>
      <c r="E318" s="21" t="s">
        <v>370</v>
      </c>
      <c r="F318" s="21"/>
      <c r="G318" s="27">
        <f t="shared" ref="G318:G319" si="41">G319</f>
        <v>0</v>
      </c>
      <c r="H318" s="205"/>
    </row>
    <row r="319" spans="1:9" ht="47.25" hidden="1">
      <c r="A319" s="26" t="s">
        <v>325</v>
      </c>
      <c r="B319" s="17">
        <v>903</v>
      </c>
      <c r="C319" s="21" t="s">
        <v>352</v>
      </c>
      <c r="D319" s="21" t="s">
        <v>171</v>
      </c>
      <c r="E319" s="21" t="s">
        <v>370</v>
      </c>
      <c r="F319" s="21" t="s">
        <v>326</v>
      </c>
      <c r="G319" s="27">
        <f t="shared" si="41"/>
        <v>0</v>
      </c>
      <c r="H319" s="205"/>
    </row>
    <row r="320" spans="1:9" ht="15.75" hidden="1">
      <c r="A320" s="26" t="s">
        <v>327</v>
      </c>
      <c r="B320" s="17">
        <v>903</v>
      </c>
      <c r="C320" s="21" t="s">
        <v>352</v>
      </c>
      <c r="D320" s="21" t="s">
        <v>171</v>
      </c>
      <c r="E320" s="21" t="s">
        <v>370</v>
      </c>
      <c r="F320" s="21" t="s">
        <v>328</v>
      </c>
      <c r="G320" s="27">
        <v>0</v>
      </c>
      <c r="H320" s="205"/>
    </row>
    <row r="321" spans="1:8" ht="47.25" hidden="1">
      <c r="A321" s="26" t="s">
        <v>331</v>
      </c>
      <c r="B321" s="17">
        <v>903</v>
      </c>
      <c r="C321" s="21" t="s">
        <v>352</v>
      </c>
      <c r="D321" s="21" t="s">
        <v>171</v>
      </c>
      <c r="E321" s="21" t="s">
        <v>371</v>
      </c>
      <c r="F321" s="21"/>
      <c r="G321" s="27">
        <f t="shared" ref="G321:G322" si="42">G322</f>
        <v>0</v>
      </c>
      <c r="H321" s="205"/>
    </row>
    <row r="322" spans="1:8" ht="47.25" hidden="1">
      <c r="A322" s="26" t="s">
        <v>325</v>
      </c>
      <c r="B322" s="17">
        <v>903</v>
      </c>
      <c r="C322" s="21" t="s">
        <v>352</v>
      </c>
      <c r="D322" s="21" t="s">
        <v>171</v>
      </c>
      <c r="E322" s="21" t="s">
        <v>371</v>
      </c>
      <c r="F322" s="21" t="s">
        <v>326</v>
      </c>
      <c r="G322" s="27">
        <f t="shared" si="42"/>
        <v>0</v>
      </c>
      <c r="H322" s="205"/>
    </row>
    <row r="323" spans="1:8" ht="15.75" hidden="1">
      <c r="A323" s="26" t="s">
        <v>327</v>
      </c>
      <c r="B323" s="17">
        <v>903</v>
      </c>
      <c r="C323" s="21" t="s">
        <v>352</v>
      </c>
      <c r="D323" s="21" t="s">
        <v>171</v>
      </c>
      <c r="E323" s="21" t="s">
        <v>371</v>
      </c>
      <c r="F323" s="21" t="s">
        <v>328</v>
      </c>
      <c r="G323" s="27">
        <v>0</v>
      </c>
      <c r="H323" s="205"/>
    </row>
    <row r="324" spans="1:8" ht="31.5" hidden="1">
      <c r="A324" s="26" t="s">
        <v>333</v>
      </c>
      <c r="B324" s="17">
        <v>903</v>
      </c>
      <c r="C324" s="21" t="s">
        <v>352</v>
      </c>
      <c r="D324" s="21" t="s">
        <v>171</v>
      </c>
      <c r="E324" s="21" t="s">
        <v>372</v>
      </c>
      <c r="F324" s="21"/>
      <c r="G324" s="27">
        <f t="shared" ref="G324:G325" si="43">G325</f>
        <v>0</v>
      </c>
      <c r="H324" s="205"/>
    </row>
    <row r="325" spans="1:8" ht="47.25" hidden="1">
      <c r="A325" s="26" t="s">
        <v>325</v>
      </c>
      <c r="B325" s="17">
        <v>903</v>
      </c>
      <c r="C325" s="21" t="s">
        <v>352</v>
      </c>
      <c r="D325" s="21" t="s">
        <v>171</v>
      </c>
      <c r="E325" s="21" t="s">
        <v>372</v>
      </c>
      <c r="F325" s="21" t="s">
        <v>326</v>
      </c>
      <c r="G325" s="27">
        <f t="shared" si="43"/>
        <v>0</v>
      </c>
      <c r="H325" s="205"/>
    </row>
    <row r="326" spans="1:8" ht="15.75" hidden="1">
      <c r="A326" s="26" t="s">
        <v>327</v>
      </c>
      <c r="B326" s="17">
        <v>903</v>
      </c>
      <c r="C326" s="21" t="s">
        <v>352</v>
      </c>
      <c r="D326" s="21" t="s">
        <v>171</v>
      </c>
      <c r="E326" s="21" t="s">
        <v>372</v>
      </c>
      <c r="F326" s="21" t="s">
        <v>328</v>
      </c>
      <c r="G326" s="27">
        <v>0</v>
      </c>
      <c r="H326" s="205"/>
    </row>
    <row r="327" spans="1:8" ht="31.5" hidden="1">
      <c r="A327" s="26" t="s">
        <v>337</v>
      </c>
      <c r="B327" s="17">
        <v>903</v>
      </c>
      <c r="C327" s="21" t="s">
        <v>352</v>
      </c>
      <c r="D327" s="21" t="s">
        <v>171</v>
      </c>
      <c r="E327" s="21" t="s">
        <v>373</v>
      </c>
      <c r="F327" s="21"/>
      <c r="G327" s="27">
        <f t="shared" ref="G327:G328" si="44">G328</f>
        <v>0</v>
      </c>
      <c r="H327" s="205"/>
    </row>
    <row r="328" spans="1:8" ht="47.25" hidden="1">
      <c r="A328" s="26" t="s">
        <v>325</v>
      </c>
      <c r="B328" s="17">
        <v>903</v>
      </c>
      <c r="C328" s="21" t="s">
        <v>352</v>
      </c>
      <c r="D328" s="21" t="s">
        <v>171</v>
      </c>
      <c r="E328" s="21" t="s">
        <v>373</v>
      </c>
      <c r="F328" s="21" t="s">
        <v>326</v>
      </c>
      <c r="G328" s="27">
        <f t="shared" si="44"/>
        <v>0</v>
      </c>
      <c r="H328" s="205"/>
    </row>
    <row r="329" spans="1:8" ht="15.75" hidden="1">
      <c r="A329" s="26" t="s">
        <v>327</v>
      </c>
      <c r="B329" s="17">
        <v>903</v>
      </c>
      <c r="C329" s="21" t="s">
        <v>352</v>
      </c>
      <c r="D329" s="21" t="s">
        <v>171</v>
      </c>
      <c r="E329" s="21" t="s">
        <v>373</v>
      </c>
      <c r="F329" s="21" t="s">
        <v>328</v>
      </c>
      <c r="G329" s="27">
        <v>0</v>
      </c>
      <c r="H329" s="205"/>
    </row>
    <row r="330" spans="1:8" ht="47.25" hidden="1">
      <c r="A330" s="37" t="s">
        <v>374</v>
      </c>
      <c r="B330" s="17">
        <v>903</v>
      </c>
      <c r="C330" s="21" t="s">
        <v>352</v>
      </c>
      <c r="D330" s="21" t="s">
        <v>171</v>
      </c>
      <c r="E330" s="21" t="s">
        <v>375</v>
      </c>
      <c r="F330" s="21"/>
      <c r="G330" s="27">
        <f t="shared" ref="G330:G331" si="45">G331</f>
        <v>0</v>
      </c>
      <c r="H330" s="205"/>
    </row>
    <row r="331" spans="1:8" ht="47.25" hidden="1">
      <c r="A331" s="26" t="s">
        <v>325</v>
      </c>
      <c r="B331" s="17">
        <v>903</v>
      </c>
      <c r="C331" s="21" t="s">
        <v>352</v>
      </c>
      <c r="D331" s="21" t="s">
        <v>171</v>
      </c>
      <c r="E331" s="21" t="s">
        <v>375</v>
      </c>
      <c r="F331" s="21" t="s">
        <v>326</v>
      </c>
      <c r="G331" s="27">
        <f t="shared" si="45"/>
        <v>0</v>
      </c>
      <c r="H331" s="205"/>
    </row>
    <row r="332" spans="1:8" ht="15.75" hidden="1">
      <c r="A332" s="26" t="s">
        <v>327</v>
      </c>
      <c r="B332" s="17">
        <v>903</v>
      </c>
      <c r="C332" s="21" t="s">
        <v>352</v>
      </c>
      <c r="D332" s="21" t="s">
        <v>171</v>
      </c>
      <c r="E332" s="21" t="s">
        <v>375</v>
      </c>
      <c r="F332" s="21" t="s">
        <v>328</v>
      </c>
      <c r="G332" s="27">
        <v>0</v>
      </c>
      <c r="H332" s="205"/>
    </row>
    <row r="333" spans="1:8" ht="78.75">
      <c r="A333" s="31" t="s">
        <v>376</v>
      </c>
      <c r="B333" s="17">
        <v>903</v>
      </c>
      <c r="C333" s="21" t="s">
        <v>352</v>
      </c>
      <c r="D333" s="21" t="s">
        <v>171</v>
      </c>
      <c r="E333" s="42" t="s">
        <v>377</v>
      </c>
      <c r="F333" s="21"/>
      <c r="G333" s="27">
        <f>G334</f>
        <v>200</v>
      </c>
      <c r="H333" s="205"/>
    </row>
    <row r="334" spans="1:8" ht="47.25">
      <c r="A334" s="26" t="s">
        <v>378</v>
      </c>
      <c r="B334" s="17">
        <v>903</v>
      </c>
      <c r="C334" s="21" t="s">
        <v>352</v>
      </c>
      <c r="D334" s="21" t="s">
        <v>171</v>
      </c>
      <c r="E334" s="42" t="s">
        <v>379</v>
      </c>
      <c r="F334" s="21"/>
      <c r="G334" s="27">
        <f t="shared" ref="G334" si="46">G335</f>
        <v>200</v>
      </c>
      <c r="H334" s="205"/>
    </row>
    <row r="335" spans="1:8" ht="47.25">
      <c r="A335" s="26" t="s">
        <v>325</v>
      </c>
      <c r="B335" s="17">
        <v>903</v>
      </c>
      <c r="C335" s="21" t="s">
        <v>352</v>
      </c>
      <c r="D335" s="21" t="s">
        <v>171</v>
      </c>
      <c r="E335" s="42" t="s">
        <v>379</v>
      </c>
      <c r="F335" s="21" t="s">
        <v>326</v>
      </c>
      <c r="G335" s="27">
        <f>G336</f>
        <v>200</v>
      </c>
      <c r="H335" s="205"/>
    </row>
    <row r="336" spans="1:8" ht="15.75">
      <c r="A336" s="26" t="s">
        <v>327</v>
      </c>
      <c r="B336" s="17">
        <v>903</v>
      </c>
      <c r="C336" s="21" t="s">
        <v>352</v>
      </c>
      <c r="D336" s="21" t="s">
        <v>171</v>
      </c>
      <c r="E336" s="42" t="s">
        <v>379</v>
      </c>
      <c r="F336" s="21" t="s">
        <v>328</v>
      </c>
      <c r="G336" s="27">
        <v>200</v>
      </c>
      <c r="H336" s="205"/>
    </row>
    <row r="337" spans="1:9" ht="15.75">
      <c r="A337" s="26" t="s">
        <v>174</v>
      </c>
      <c r="B337" s="17">
        <v>903</v>
      </c>
      <c r="C337" s="21" t="s">
        <v>352</v>
      </c>
      <c r="D337" s="21" t="s">
        <v>171</v>
      </c>
      <c r="E337" s="21" t="s">
        <v>175</v>
      </c>
      <c r="F337" s="21"/>
      <c r="G337" s="27">
        <f>G338</f>
        <v>2137.9</v>
      </c>
      <c r="H337" s="205"/>
    </row>
    <row r="338" spans="1:9" ht="31.5">
      <c r="A338" s="26" t="s">
        <v>238</v>
      </c>
      <c r="B338" s="17">
        <v>903</v>
      </c>
      <c r="C338" s="21" t="s">
        <v>352</v>
      </c>
      <c r="D338" s="21" t="s">
        <v>171</v>
      </c>
      <c r="E338" s="21" t="s">
        <v>239</v>
      </c>
      <c r="F338" s="21"/>
      <c r="G338" s="27">
        <f>G339+G344+G349+G352+G355</f>
        <v>2137.9</v>
      </c>
      <c r="H338" s="205"/>
    </row>
    <row r="339" spans="1:9" ht="31.5" hidden="1">
      <c r="A339" s="38" t="s">
        <v>380</v>
      </c>
      <c r="B339" s="39">
        <v>903</v>
      </c>
      <c r="C339" s="21" t="s">
        <v>352</v>
      </c>
      <c r="D339" s="21" t="s">
        <v>171</v>
      </c>
      <c r="E339" s="21" t="s">
        <v>381</v>
      </c>
      <c r="F339" s="21"/>
      <c r="G339" s="27">
        <f t="shared" ref="G339" si="47">G340+G342</f>
        <v>0</v>
      </c>
      <c r="H339" s="205"/>
    </row>
    <row r="340" spans="1:9" ht="31.5" hidden="1">
      <c r="A340" s="26" t="s">
        <v>184</v>
      </c>
      <c r="B340" s="39">
        <v>903</v>
      </c>
      <c r="C340" s="21" t="s">
        <v>352</v>
      </c>
      <c r="D340" s="21" t="s">
        <v>171</v>
      </c>
      <c r="E340" s="21" t="s">
        <v>381</v>
      </c>
      <c r="F340" s="21" t="s">
        <v>185</v>
      </c>
      <c r="G340" s="27">
        <f t="shared" ref="G340" si="48">G341</f>
        <v>0</v>
      </c>
      <c r="H340" s="205"/>
    </row>
    <row r="341" spans="1:9" ht="47.25" hidden="1">
      <c r="A341" s="26" t="s">
        <v>186</v>
      </c>
      <c r="B341" s="17">
        <v>903</v>
      </c>
      <c r="C341" s="21" t="s">
        <v>352</v>
      </c>
      <c r="D341" s="21" t="s">
        <v>171</v>
      </c>
      <c r="E341" s="21" t="s">
        <v>381</v>
      </c>
      <c r="F341" s="21" t="s">
        <v>187</v>
      </c>
      <c r="G341" s="27">
        <f>1.4-1.4</f>
        <v>0</v>
      </c>
      <c r="H341" s="205"/>
      <c r="I341" s="139"/>
    </row>
    <row r="342" spans="1:9" ht="47.25" hidden="1">
      <c r="A342" s="26" t="s">
        <v>325</v>
      </c>
      <c r="B342" s="17">
        <v>903</v>
      </c>
      <c r="C342" s="21" t="s">
        <v>352</v>
      </c>
      <c r="D342" s="21" t="s">
        <v>171</v>
      </c>
      <c r="E342" s="21" t="s">
        <v>381</v>
      </c>
      <c r="F342" s="21" t="s">
        <v>326</v>
      </c>
      <c r="G342" s="27">
        <f t="shared" ref="G342" si="49">G343</f>
        <v>0</v>
      </c>
      <c r="H342" s="205"/>
    </row>
    <row r="343" spans="1:9" ht="15.75" hidden="1">
      <c r="A343" s="26" t="s">
        <v>327</v>
      </c>
      <c r="B343" s="17">
        <v>903</v>
      </c>
      <c r="C343" s="21" t="s">
        <v>352</v>
      </c>
      <c r="D343" s="21" t="s">
        <v>171</v>
      </c>
      <c r="E343" s="21" t="s">
        <v>381</v>
      </c>
      <c r="F343" s="21" t="s">
        <v>328</v>
      </c>
      <c r="G343" s="27">
        <f>2.9-2.9</f>
        <v>0</v>
      </c>
      <c r="H343" s="205"/>
      <c r="I343" s="139"/>
    </row>
    <row r="344" spans="1:9" ht="31.5">
      <c r="A344" s="26" t="s">
        <v>382</v>
      </c>
      <c r="B344" s="17">
        <v>903</v>
      </c>
      <c r="C344" s="21" t="s">
        <v>352</v>
      </c>
      <c r="D344" s="21" t="s">
        <v>171</v>
      </c>
      <c r="E344" s="21" t="s">
        <v>383</v>
      </c>
      <c r="F344" s="21"/>
      <c r="G344" s="27">
        <f>G345+G347</f>
        <v>177.3</v>
      </c>
      <c r="H344" s="205"/>
    </row>
    <row r="345" spans="1:9" ht="31.5" hidden="1">
      <c r="A345" s="26" t="s">
        <v>184</v>
      </c>
      <c r="B345" s="17">
        <v>903</v>
      </c>
      <c r="C345" s="21" t="s">
        <v>352</v>
      </c>
      <c r="D345" s="21" t="s">
        <v>171</v>
      </c>
      <c r="E345" s="21" t="s">
        <v>383</v>
      </c>
      <c r="F345" s="21" t="s">
        <v>185</v>
      </c>
      <c r="G345" s="27">
        <f t="shared" ref="G345" si="50">G346</f>
        <v>0</v>
      </c>
      <c r="H345" s="205"/>
    </row>
    <row r="346" spans="1:9" ht="47.25" hidden="1">
      <c r="A346" s="26" t="s">
        <v>186</v>
      </c>
      <c r="B346" s="17">
        <v>903</v>
      </c>
      <c r="C346" s="21" t="s">
        <v>352</v>
      </c>
      <c r="D346" s="21" t="s">
        <v>171</v>
      </c>
      <c r="E346" s="21" t="s">
        <v>383</v>
      </c>
      <c r="F346" s="40">
        <v>240</v>
      </c>
      <c r="G346" s="27">
        <v>0</v>
      </c>
      <c r="H346" s="205"/>
    </row>
    <row r="347" spans="1:9" ht="47.25">
      <c r="A347" s="26" t="s">
        <v>325</v>
      </c>
      <c r="B347" s="17">
        <v>903</v>
      </c>
      <c r="C347" s="21" t="s">
        <v>352</v>
      </c>
      <c r="D347" s="21" t="s">
        <v>171</v>
      </c>
      <c r="E347" s="21" t="s">
        <v>383</v>
      </c>
      <c r="F347" s="21" t="s">
        <v>326</v>
      </c>
      <c r="G347" s="27">
        <f t="shared" ref="G347" si="51">G348</f>
        <v>177.3</v>
      </c>
      <c r="H347" s="205"/>
    </row>
    <row r="348" spans="1:9" ht="15.75">
      <c r="A348" s="26" t="s">
        <v>327</v>
      </c>
      <c r="B348" s="17">
        <v>903</v>
      </c>
      <c r="C348" s="21" t="s">
        <v>352</v>
      </c>
      <c r="D348" s="21" t="s">
        <v>171</v>
      </c>
      <c r="E348" s="21" t="s">
        <v>383</v>
      </c>
      <c r="F348" s="21" t="s">
        <v>328</v>
      </c>
      <c r="G348" s="27">
        <f>274.5-97.2</f>
        <v>177.3</v>
      </c>
      <c r="H348" s="205"/>
      <c r="I348" s="139"/>
    </row>
    <row r="349" spans="1:9" ht="78.75">
      <c r="A349" s="26" t="s">
        <v>384</v>
      </c>
      <c r="B349" s="17">
        <v>903</v>
      </c>
      <c r="C349" s="21" t="s">
        <v>352</v>
      </c>
      <c r="D349" s="21" t="s">
        <v>171</v>
      </c>
      <c r="E349" s="21" t="s">
        <v>385</v>
      </c>
      <c r="F349" s="21"/>
      <c r="G349" s="27">
        <f t="shared" ref="G349" si="52">G350</f>
        <v>263.3</v>
      </c>
      <c r="H349" s="205"/>
    </row>
    <row r="350" spans="1:9" ht="47.25">
      <c r="A350" s="26" t="s">
        <v>325</v>
      </c>
      <c r="B350" s="17">
        <v>903</v>
      </c>
      <c r="C350" s="21" t="s">
        <v>352</v>
      </c>
      <c r="D350" s="21" t="s">
        <v>171</v>
      </c>
      <c r="E350" s="21" t="s">
        <v>385</v>
      </c>
      <c r="F350" s="21" t="s">
        <v>326</v>
      </c>
      <c r="G350" s="27">
        <f>G351</f>
        <v>263.3</v>
      </c>
      <c r="H350" s="205"/>
    </row>
    <row r="351" spans="1:9" ht="15.75">
      <c r="A351" s="26" t="s">
        <v>327</v>
      </c>
      <c r="B351" s="17">
        <v>903</v>
      </c>
      <c r="C351" s="21" t="s">
        <v>352</v>
      </c>
      <c r="D351" s="21" t="s">
        <v>171</v>
      </c>
      <c r="E351" s="21" t="s">
        <v>385</v>
      </c>
      <c r="F351" s="21" t="s">
        <v>328</v>
      </c>
      <c r="G351" s="27">
        <f>247.6+15.7</f>
        <v>263.3</v>
      </c>
      <c r="H351" s="205"/>
      <c r="I351" s="139"/>
    </row>
    <row r="352" spans="1:9" ht="110.25">
      <c r="A352" s="33" t="s">
        <v>346</v>
      </c>
      <c r="B352" s="17">
        <v>903</v>
      </c>
      <c r="C352" s="21" t="s">
        <v>352</v>
      </c>
      <c r="D352" s="21" t="s">
        <v>171</v>
      </c>
      <c r="E352" s="21" t="s">
        <v>347</v>
      </c>
      <c r="F352" s="21"/>
      <c r="G352" s="27">
        <f t="shared" ref="G352" si="53">G353</f>
        <v>1693.3000000000002</v>
      </c>
      <c r="H352" s="205"/>
    </row>
    <row r="353" spans="1:9" ht="47.25">
      <c r="A353" s="26" t="s">
        <v>325</v>
      </c>
      <c r="B353" s="17">
        <v>903</v>
      </c>
      <c r="C353" s="21" t="s">
        <v>352</v>
      </c>
      <c r="D353" s="21" t="s">
        <v>171</v>
      </c>
      <c r="E353" s="21" t="s">
        <v>347</v>
      </c>
      <c r="F353" s="21" t="s">
        <v>326</v>
      </c>
      <c r="G353" s="27">
        <f>G354</f>
        <v>1693.3000000000002</v>
      </c>
      <c r="H353" s="205"/>
    </row>
    <row r="354" spans="1:9" ht="15.75">
      <c r="A354" s="26" t="s">
        <v>327</v>
      </c>
      <c r="B354" s="17">
        <v>903</v>
      </c>
      <c r="C354" s="21" t="s">
        <v>352</v>
      </c>
      <c r="D354" s="21" t="s">
        <v>171</v>
      </c>
      <c r="E354" s="21" t="s">
        <v>347</v>
      </c>
      <c r="F354" s="21" t="s">
        <v>328</v>
      </c>
      <c r="G354" s="27">
        <f>1929.4-236.1</f>
        <v>1693.3000000000002</v>
      </c>
      <c r="H354" s="205"/>
    </row>
    <row r="355" spans="1:9" ht="15.75">
      <c r="A355" s="33" t="s">
        <v>769</v>
      </c>
      <c r="B355" s="17">
        <v>903</v>
      </c>
      <c r="C355" s="21" t="s">
        <v>352</v>
      </c>
      <c r="D355" s="21" t="s">
        <v>171</v>
      </c>
      <c r="E355" s="21" t="s">
        <v>770</v>
      </c>
      <c r="F355" s="21"/>
      <c r="G355" s="27">
        <f>G356</f>
        <v>4</v>
      </c>
      <c r="H355" s="205"/>
    </row>
    <row r="356" spans="1:9" ht="47.25">
      <c r="A356" s="26" t="s">
        <v>325</v>
      </c>
      <c r="B356" s="17">
        <v>903</v>
      </c>
      <c r="C356" s="21" t="s">
        <v>352</v>
      </c>
      <c r="D356" s="21" t="s">
        <v>171</v>
      </c>
      <c r="E356" s="21" t="s">
        <v>770</v>
      </c>
      <c r="F356" s="21" t="s">
        <v>326</v>
      </c>
      <c r="G356" s="27">
        <f>G357</f>
        <v>4</v>
      </c>
      <c r="H356" s="205"/>
    </row>
    <row r="357" spans="1:9" ht="15.75">
      <c r="A357" s="26" t="s">
        <v>327</v>
      </c>
      <c r="B357" s="17">
        <v>903</v>
      </c>
      <c r="C357" s="21" t="s">
        <v>352</v>
      </c>
      <c r="D357" s="21" t="s">
        <v>171</v>
      </c>
      <c r="E357" s="21" t="s">
        <v>770</v>
      </c>
      <c r="F357" s="21" t="s">
        <v>328</v>
      </c>
      <c r="G357" s="27">
        <v>4</v>
      </c>
      <c r="H357" s="130"/>
    </row>
    <row r="358" spans="1:9" ht="31.5">
      <c r="A358" s="24" t="s">
        <v>386</v>
      </c>
      <c r="B358" s="20">
        <v>903</v>
      </c>
      <c r="C358" s="25" t="s">
        <v>352</v>
      </c>
      <c r="D358" s="25" t="s">
        <v>203</v>
      </c>
      <c r="E358" s="25"/>
      <c r="F358" s="25"/>
      <c r="G358" s="22">
        <f>G359+G373+G369</f>
        <v>17278.8</v>
      </c>
      <c r="H358" s="205"/>
    </row>
    <row r="359" spans="1:9" ht="47.25">
      <c r="A359" s="26" t="s">
        <v>387</v>
      </c>
      <c r="B359" s="17">
        <v>903</v>
      </c>
      <c r="C359" s="21" t="s">
        <v>352</v>
      </c>
      <c r="D359" s="21" t="s">
        <v>203</v>
      </c>
      <c r="E359" s="21" t="s">
        <v>388</v>
      </c>
      <c r="F359" s="21"/>
      <c r="G359" s="27">
        <f>G360+G363+G366</f>
        <v>125</v>
      </c>
      <c r="H359" s="205"/>
      <c r="I359" s="139"/>
    </row>
    <row r="360" spans="1:9" ht="31.5" hidden="1">
      <c r="A360" s="26" t="s">
        <v>389</v>
      </c>
      <c r="B360" s="17">
        <v>903</v>
      </c>
      <c r="C360" s="21" t="s">
        <v>352</v>
      </c>
      <c r="D360" s="21" t="s">
        <v>203</v>
      </c>
      <c r="E360" s="21" t="s">
        <v>390</v>
      </c>
      <c r="F360" s="21"/>
      <c r="G360" s="27">
        <f>G361</f>
        <v>0</v>
      </c>
      <c r="H360" s="205"/>
    </row>
    <row r="361" spans="1:9" ht="31.5" hidden="1">
      <c r="A361" s="26" t="s">
        <v>184</v>
      </c>
      <c r="B361" s="17">
        <v>903</v>
      </c>
      <c r="C361" s="21" t="s">
        <v>352</v>
      </c>
      <c r="D361" s="21" t="s">
        <v>203</v>
      </c>
      <c r="E361" s="21" t="s">
        <v>390</v>
      </c>
      <c r="F361" s="21" t="s">
        <v>185</v>
      </c>
      <c r="G361" s="27">
        <f>G362</f>
        <v>0</v>
      </c>
      <c r="H361" s="205"/>
    </row>
    <row r="362" spans="1:9" ht="47.25" hidden="1">
      <c r="A362" s="26" t="s">
        <v>186</v>
      </c>
      <c r="B362" s="17">
        <v>903</v>
      </c>
      <c r="C362" s="21" t="s">
        <v>352</v>
      </c>
      <c r="D362" s="21" t="s">
        <v>203</v>
      </c>
      <c r="E362" s="21" t="s">
        <v>390</v>
      </c>
      <c r="F362" s="21" t="s">
        <v>187</v>
      </c>
      <c r="G362" s="27">
        <v>0</v>
      </c>
      <c r="H362" s="205"/>
    </row>
    <row r="363" spans="1:9" ht="31.5">
      <c r="A363" s="26" t="s">
        <v>391</v>
      </c>
      <c r="B363" s="17">
        <v>903</v>
      </c>
      <c r="C363" s="21" t="s">
        <v>352</v>
      </c>
      <c r="D363" s="21" t="s">
        <v>203</v>
      </c>
      <c r="E363" s="21" t="s">
        <v>392</v>
      </c>
      <c r="F363" s="21"/>
      <c r="G363" s="27">
        <f>G364</f>
        <v>20</v>
      </c>
      <c r="H363" s="205"/>
    </row>
    <row r="364" spans="1:9" ht="31.5">
      <c r="A364" s="26" t="s">
        <v>184</v>
      </c>
      <c r="B364" s="17">
        <v>903</v>
      </c>
      <c r="C364" s="21" t="s">
        <v>352</v>
      </c>
      <c r="D364" s="21" t="s">
        <v>203</v>
      </c>
      <c r="E364" s="21" t="s">
        <v>392</v>
      </c>
      <c r="F364" s="21" t="s">
        <v>185</v>
      </c>
      <c r="G364" s="27">
        <f>G365</f>
        <v>20</v>
      </c>
      <c r="H364" s="205"/>
    </row>
    <row r="365" spans="1:9" ht="47.25">
      <c r="A365" s="26" t="s">
        <v>186</v>
      </c>
      <c r="B365" s="17">
        <v>903</v>
      </c>
      <c r="C365" s="21" t="s">
        <v>352</v>
      </c>
      <c r="D365" s="21" t="s">
        <v>203</v>
      </c>
      <c r="E365" s="21" t="s">
        <v>392</v>
      </c>
      <c r="F365" s="21" t="s">
        <v>187</v>
      </c>
      <c r="G365" s="27">
        <v>20</v>
      </c>
      <c r="H365" s="205"/>
    </row>
    <row r="366" spans="1:9" ht="63">
      <c r="A366" s="26" t="s">
        <v>808</v>
      </c>
      <c r="B366" s="17">
        <v>903</v>
      </c>
      <c r="C366" s="21" t="s">
        <v>352</v>
      </c>
      <c r="D366" s="21" t="s">
        <v>203</v>
      </c>
      <c r="E366" s="21" t="s">
        <v>764</v>
      </c>
      <c r="F366" s="21"/>
      <c r="G366" s="27">
        <f>G367</f>
        <v>105</v>
      </c>
      <c r="H366" s="205"/>
    </row>
    <row r="367" spans="1:9" ht="39.75" customHeight="1">
      <c r="A367" s="26" t="s">
        <v>184</v>
      </c>
      <c r="B367" s="17">
        <v>903</v>
      </c>
      <c r="C367" s="21" t="s">
        <v>352</v>
      </c>
      <c r="D367" s="21" t="s">
        <v>203</v>
      </c>
      <c r="E367" s="21" t="s">
        <v>764</v>
      </c>
      <c r="F367" s="21" t="s">
        <v>185</v>
      </c>
      <c r="G367" s="27">
        <f>G368</f>
        <v>105</v>
      </c>
      <c r="H367" s="205"/>
    </row>
    <row r="368" spans="1:9" ht="47.25">
      <c r="A368" s="26" t="s">
        <v>186</v>
      </c>
      <c r="B368" s="17">
        <v>903</v>
      </c>
      <c r="C368" s="21" t="s">
        <v>352</v>
      </c>
      <c r="D368" s="21" t="s">
        <v>203</v>
      </c>
      <c r="E368" s="21" t="s">
        <v>764</v>
      </c>
      <c r="F368" s="21" t="s">
        <v>187</v>
      </c>
      <c r="G368" s="27">
        <f>55+50</f>
        <v>105</v>
      </c>
      <c r="H368" s="130"/>
      <c r="I368" s="148"/>
    </row>
    <row r="369" spans="1:11" ht="63">
      <c r="A369" s="31" t="s">
        <v>807</v>
      </c>
      <c r="B369" s="17">
        <v>903</v>
      </c>
      <c r="C369" s="21" t="s">
        <v>352</v>
      </c>
      <c r="D369" s="21" t="s">
        <v>203</v>
      </c>
      <c r="E369" s="21" t="s">
        <v>805</v>
      </c>
      <c r="F369" s="21"/>
      <c r="G369" s="27">
        <f>G370</f>
        <v>5</v>
      </c>
      <c r="H369" s="205"/>
    </row>
    <row r="370" spans="1:11" ht="31.5">
      <c r="A370" s="26" t="s">
        <v>422</v>
      </c>
      <c r="B370" s="17">
        <v>903</v>
      </c>
      <c r="C370" s="21" t="s">
        <v>352</v>
      </c>
      <c r="D370" s="21" t="s">
        <v>203</v>
      </c>
      <c r="E370" s="21" t="s">
        <v>813</v>
      </c>
      <c r="F370" s="21"/>
      <c r="G370" s="27">
        <f>G371</f>
        <v>5</v>
      </c>
      <c r="H370" s="205"/>
    </row>
    <row r="371" spans="1:11" ht="31.5">
      <c r="A371" s="26" t="s">
        <v>184</v>
      </c>
      <c r="B371" s="17">
        <v>903</v>
      </c>
      <c r="C371" s="21" t="s">
        <v>352</v>
      </c>
      <c r="D371" s="21" t="s">
        <v>203</v>
      </c>
      <c r="E371" s="21" t="s">
        <v>813</v>
      </c>
      <c r="F371" s="21" t="s">
        <v>185</v>
      </c>
      <c r="G371" s="27">
        <f>G372</f>
        <v>5</v>
      </c>
      <c r="H371" s="205"/>
    </row>
    <row r="372" spans="1:11" ht="47.25">
      <c r="A372" s="26" t="s">
        <v>186</v>
      </c>
      <c r="B372" s="17">
        <v>903</v>
      </c>
      <c r="C372" s="21" t="s">
        <v>352</v>
      </c>
      <c r="D372" s="21" t="s">
        <v>203</v>
      </c>
      <c r="E372" s="21" t="s">
        <v>813</v>
      </c>
      <c r="F372" s="21" t="s">
        <v>187</v>
      </c>
      <c r="G372" s="27">
        <v>5</v>
      </c>
      <c r="H372" s="130"/>
      <c r="I372" s="148"/>
    </row>
    <row r="373" spans="1:11" ht="15.75">
      <c r="A373" s="26" t="s">
        <v>174</v>
      </c>
      <c r="B373" s="17">
        <v>903</v>
      </c>
      <c r="C373" s="21" t="s">
        <v>352</v>
      </c>
      <c r="D373" s="21" t="s">
        <v>203</v>
      </c>
      <c r="E373" s="21" t="s">
        <v>175</v>
      </c>
      <c r="F373" s="21"/>
      <c r="G373" s="27">
        <f t="shared" ref="G373" si="54">G374+G380</f>
        <v>17148.8</v>
      </c>
      <c r="H373" s="205"/>
    </row>
    <row r="374" spans="1:11" ht="31.5">
      <c r="A374" s="26" t="s">
        <v>176</v>
      </c>
      <c r="B374" s="17">
        <v>903</v>
      </c>
      <c r="C374" s="21" t="s">
        <v>352</v>
      </c>
      <c r="D374" s="21" t="s">
        <v>203</v>
      </c>
      <c r="E374" s="21" t="s">
        <v>177</v>
      </c>
      <c r="F374" s="21"/>
      <c r="G374" s="27">
        <f>G375</f>
        <v>6754.9</v>
      </c>
      <c r="H374" s="205"/>
    </row>
    <row r="375" spans="1:11" ht="47.25">
      <c r="A375" s="26" t="s">
        <v>178</v>
      </c>
      <c r="B375" s="17">
        <v>903</v>
      </c>
      <c r="C375" s="21" t="s">
        <v>352</v>
      </c>
      <c r="D375" s="21" t="s">
        <v>203</v>
      </c>
      <c r="E375" s="21" t="s">
        <v>179</v>
      </c>
      <c r="F375" s="21"/>
      <c r="G375" s="27">
        <f t="shared" ref="G375" si="55">G376+G378</f>
        <v>6754.9</v>
      </c>
      <c r="H375" s="205"/>
    </row>
    <row r="376" spans="1:11" ht="94.5">
      <c r="A376" s="26" t="s">
        <v>180</v>
      </c>
      <c r="B376" s="17">
        <v>903</v>
      </c>
      <c r="C376" s="21" t="s">
        <v>352</v>
      </c>
      <c r="D376" s="21" t="s">
        <v>203</v>
      </c>
      <c r="E376" s="21" t="s">
        <v>179</v>
      </c>
      <c r="F376" s="21" t="s">
        <v>181</v>
      </c>
      <c r="G376" s="27">
        <f>G377</f>
        <v>6754.9</v>
      </c>
      <c r="H376" s="205"/>
    </row>
    <row r="377" spans="1:11" ht="31.5">
      <c r="A377" s="26" t="s">
        <v>182</v>
      </c>
      <c r="B377" s="17">
        <v>903</v>
      </c>
      <c r="C377" s="21" t="s">
        <v>352</v>
      </c>
      <c r="D377" s="21" t="s">
        <v>203</v>
      </c>
      <c r="E377" s="21" t="s">
        <v>179</v>
      </c>
      <c r="F377" s="21" t="s">
        <v>183</v>
      </c>
      <c r="G377" s="28">
        <v>6754.9</v>
      </c>
      <c r="H377" s="205"/>
    </row>
    <row r="378" spans="1:11" ht="31.5" hidden="1">
      <c r="A378" s="26" t="s">
        <v>184</v>
      </c>
      <c r="B378" s="17">
        <v>903</v>
      </c>
      <c r="C378" s="21" t="s">
        <v>352</v>
      </c>
      <c r="D378" s="21" t="s">
        <v>203</v>
      </c>
      <c r="E378" s="21" t="s">
        <v>179</v>
      </c>
      <c r="F378" s="21" t="s">
        <v>185</v>
      </c>
      <c r="G378" s="27">
        <f t="shared" ref="G378" si="56">G379</f>
        <v>0</v>
      </c>
      <c r="H378" s="205"/>
    </row>
    <row r="379" spans="1:11" ht="47.25" hidden="1">
      <c r="A379" s="26" t="s">
        <v>186</v>
      </c>
      <c r="B379" s="17">
        <v>903</v>
      </c>
      <c r="C379" s="21" t="s">
        <v>352</v>
      </c>
      <c r="D379" s="21" t="s">
        <v>203</v>
      </c>
      <c r="E379" s="21" t="s">
        <v>179</v>
      </c>
      <c r="F379" s="21" t="s">
        <v>187</v>
      </c>
      <c r="G379" s="27"/>
      <c r="H379" s="205"/>
    </row>
    <row r="380" spans="1:11" ht="15.75">
      <c r="A380" s="26" t="s">
        <v>194</v>
      </c>
      <c r="B380" s="17">
        <v>903</v>
      </c>
      <c r="C380" s="21" t="s">
        <v>352</v>
      </c>
      <c r="D380" s="21" t="s">
        <v>203</v>
      </c>
      <c r="E380" s="21" t="s">
        <v>195</v>
      </c>
      <c r="F380" s="21"/>
      <c r="G380" s="27">
        <f>G381</f>
        <v>10393.9</v>
      </c>
      <c r="H380" s="205"/>
    </row>
    <row r="381" spans="1:11" ht="31.5">
      <c r="A381" s="26" t="s">
        <v>393</v>
      </c>
      <c r="B381" s="17">
        <v>903</v>
      </c>
      <c r="C381" s="21" t="s">
        <v>352</v>
      </c>
      <c r="D381" s="21" t="s">
        <v>203</v>
      </c>
      <c r="E381" s="21" t="s">
        <v>394</v>
      </c>
      <c r="F381" s="21"/>
      <c r="G381" s="27">
        <f t="shared" ref="G381" si="57">G382+G384+G386</f>
        <v>10393.9</v>
      </c>
      <c r="H381" s="205"/>
      <c r="J381" s="311"/>
      <c r="K381" s="311"/>
    </row>
    <row r="382" spans="1:11" ht="94.5">
      <c r="A382" s="26" t="s">
        <v>180</v>
      </c>
      <c r="B382" s="17">
        <v>903</v>
      </c>
      <c r="C382" s="21" t="s">
        <v>352</v>
      </c>
      <c r="D382" s="21" t="s">
        <v>203</v>
      </c>
      <c r="E382" s="21" t="s">
        <v>394</v>
      </c>
      <c r="F382" s="21" t="s">
        <v>181</v>
      </c>
      <c r="G382" s="27">
        <f>G383</f>
        <v>8721.4</v>
      </c>
      <c r="H382" s="205"/>
      <c r="J382" s="311"/>
      <c r="K382" s="311"/>
    </row>
    <row r="383" spans="1:11" ht="31.5">
      <c r="A383" s="26" t="s">
        <v>395</v>
      </c>
      <c r="B383" s="17">
        <v>903</v>
      </c>
      <c r="C383" s="21" t="s">
        <v>352</v>
      </c>
      <c r="D383" s="21" t="s">
        <v>203</v>
      </c>
      <c r="E383" s="21" t="s">
        <v>394</v>
      </c>
      <c r="F383" s="21" t="s">
        <v>262</v>
      </c>
      <c r="G383" s="28">
        <f>8596.3-84.9+210</f>
        <v>8721.4</v>
      </c>
      <c r="H383" s="130"/>
      <c r="I383" s="148"/>
      <c r="J383" s="311"/>
      <c r="K383" s="311"/>
    </row>
    <row r="384" spans="1:11" ht="31.5">
      <c r="A384" s="26" t="s">
        <v>184</v>
      </c>
      <c r="B384" s="17">
        <v>903</v>
      </c>
      <c r="C384" s="21" t="s">
        <v>352</v>
      </c>
      <c r="D384" s="21" t="s">
        <v>203</v>
      </c>
      <c r="E384" s="21" t="s">
        <v>394</v>
      </c>
      <c r="F384" s="21" t="s">
        <v>185</v>
      </c>
      <c r="G384" s="27">
        <f>G385</f>
        <v>1652.5</v>
      </c>
      <c r="H384" s="205"/>
      <c r="J384" s="311"/>
      <c r="K384" s="311"/>
    </row>
    <row r="385" spans="1:11" ht="47.25">
      <c r="A385" s="26" t="s">
        <v>186</v>
      </c>
      <c r="B385" s="17">
        <v>903</v>
      </c>
      <c r="C385" s="21" t="s">
        <v>352</v>
      </c>
      <c r="D385" s="21" t="s">
        <v>203</v>
      </c>
      <c r="E385" s="21" t="s">
        <v>394</v>
      </c>
      <c r="F385" s="21" t="s">
        <v>187</v>
      </c>
      <c r="G385" s="28">
        <f>1663.9+135.6-147</f>
        <v>1652.5</v>
      </c>
      <c r="H385" s="130"/>
      <c r="I385" s="149"/>
      <c r="J385" s="311"/>
      <c r="K385" s="311"/>
    </row>
    <row r="386" spans="1:11" ht="15.75">
      <c r="A386" s="26" t="s">
        <v>188</v>
      </c>
      <c r="B386" s="17">
        <v>903</v>
      </c>
      <c r="C386" s="21" t="s">
        <v>352</v>
      </c>
      <c r="D386" s="21" t="s">
        <v>203</v>
      </c>
      <c r="E386" s="21" t="s">
        <v>394</v>
      </c>
      <c r="F386" s="21" t="s">
        <v>198</v>
      </c>
      <c r="G386" s="27">
        <f>G387</f>
        <v>20</v>
      </c>
      <c r="H386" s="205"/>
      <c r="J386" s="311"/>
      <c r="K386" s="311"/>
    </row>
    <row r="387" spans="1:11" ht="15.75">
      <c r="A387" s="26" t="s">
        <v>622</v>
      </c>
      <c r="B387" s="17">
        <v>903</v>
      </c>
      <c r="C387" s="21" t="s">
        <v>352</v>
      </c>
      <c r="D387" s="21" t="s">
        <v>203</v>
      </c>
      <c r="E387" s="21" t="s">
        <v>394</v>
      </c>
      <c r="F387" s="21" t="s">
        <v>191</v>
      </c>
      <c r="G387" s="27">
        <v>20</v>
      </c>
      <c r="H387" s="205"/>
      <c r="J387" s="311"/>
      <c r="K387" s="311"/>
    </row>
    <row r="388" spans="1:11" ht="15.75">
      <c r="A388" s="24" t="s">
        <v>296</v>
      </c>
      <c r="B388" s="20">
        <v>903</v>
      </c>
      <c r="C388" s="25" t="s">
        <v>297</v>
      </c>
      <c r="D388" s="25"/>
      <c r="E388" s="25"/>
      <c r="F388" s="25"/>
      <c r="G388" s="22">
        <f>G389</f>
        <v>4625</v>
      </c>
      <c r="H388" s="205"/>
    </row>
    <row r="389" spans="1:11" ht="15.75">
      <c r="A389" s="24" t="s">
        <v>305</v>
      </c>
      <c r="B389" s="20">
        <v>903</v>
      </c>
      <c r="C389" s="25" t="s">
        <v>297</v>
      </c>
      <c r="D389" s="25" t="s">
        <v>268</v>
      </c>
      <c r="E389" s="25"/>
      <c r="F389" s="25"/>
      <c r="G389" s="22">
        <f t="shared" ref="G389" si="58">G390+G443</f>
        <v>4625</v>
      </c>
      <c r="H389" s="205"/>
    </row>
    <row r="390" spans="1:11" ht="47.25">
      <c r="A390" s="26" t="s">
        <v>396</v>
      </c>
      <c r="B390" s="17">
        <v>903</v>
      </c>
      <c r="C390" s="21" t="s">
        <v>297</v>
      </c>
      <c r="D390" s="21" t="s">
        <v>268</v>
      </c>
      <c r="E390" s="21" t="s">
        <v>397</v>
      </c>
      <c r="F390" s="21"/>
      <c r="G390" s="27">
        <f>G391+G399+G403+G407+G413+G417+G421+G439</f>
        <v>3693</v>
      </c>
      <c r="H390" s="205"/>
    </row>
    <row r="391" spans="1:11" ht="31.5">
      <c r="A391" s="26" t="s">
        <v>398</v>
      </c>
      <c r="B391" s="17">
        <v>903</v>
      </c>
      <c r="C391" s="21" t="s">
        <v>297</v>
      </c>
      <c r="D391" s="21" t="s">
        <v>268</v>
      </c>
      <c r="E391" s="21" t="s">
        <v>399</v>
      </c>
      <c r="F391" s="21"/>
      <c r="G391" s="27">
        <f>G392+G396</f>
        <v>935</v>
      </c>
      <c r="H391" s="205"/>
    </row>
    <row r="392" spans="1:11" ht="31.5">
      <c r="A392" s="26" t="s">
        <v>184</v>
      </c>
      <c r="B392" s="17">
        <v>903</v>
      </c>
      <c r="C392" s="21" t="s">
        <v>297</v>
      </c>
      <c r="D392" s="21" t="s">
        <v>268</v>
      </c>
      <c r="E392" s="21" t="s">
        <v>400</v>
      </c>
      <c r="F392" s="21" t="s">
        <v>185</v>
      </c>
      <c r="G392" s="27">
        <f>G393</f>
        <v>666.4</v>
      </c>
      <c r="H392" s="205"/>
    </row>
    <row r="393" spans="1:11" ht="47.25">
      <c r="A393" s="26" t="s">
        <v>186</v>
      </c>
      <c r="B393" s="17">
        <v>903</v>
      </c>
      <c r="C393" s="21" t="s">
        <v>297</v>
      </c>
      <c r="D393" s="21" t="s">
        <v>268</v>
      </c>
      <c r="E393" s="21" t="s">
        <v>400</v>
      </c>
      <c r="F393" s="21" t="s">
        <v>187</v>
      </c>
      <c r="G393" s="27">
        <f>669.4-3</f>
        <v>666.4</v>
      </c>
      <c r="H393" s="205"/>
    </row>
    <row r="394" spans="1:11" ht="31.5" hidden="1">
      <c r="A394" s="26" t="s">
        <v>301</v>
      </c>
      <c r="B394" s="17">
        <v>903</v>
      </c>
      <c r="C394" s="21" t="s">
        <v>297</v>
      </c>
      <c r="D394" s="21" t="s">
        <v>268</v>
      </c>
      <c r="E394" s="21" t="s">
        <v>400</v>
      </c>
      <c r="F394" s="21" t="s">
        <v>302</v>
      </c>
      <c r="G394" s="27">
        <f t="shared" ref="G394" si="59">G395</f>
        <v>0</v>
      </c>
      <c r="H394" s="205"/>
    </row>
    <row r="395" spans="1:11" ht="31.5" hidden="1">
      <c r="A395" s="26" t="s">
        <v>401</v>
      </c>
      <c r="B395" s="17">
        <v>903</v>
      </c>
      <c r="C395" s="21" t="s">
        <v>297</v>
      </c>
      <c r="D395" s="21" t="s">
        <v>268</v>
      </c>
      <c r="E395" s="21" t="s">
        <v>400</v>
      </c>
      <c r="F395" s="21" t="s">
        <v>402</v>
      </c>
      <c r="G395" s="27">
        <v>0</v>
      </c>
      <c r="H395" s="205"/>
    </row>
    <row r="396" spans="1:11" ht="31.5">
      <c r="A396" s="26" t="s">
        <v>403</v>
      </c>
      <c r="B396" s="17">
        <v>903</v>
      </c>
      <c r="C396" s="21" t="s">
        <v>297</v>
      </c>
      <c r="D396" s="21" t="s">
        <v>268</v>
      </c>
      <c r="E396" s="21" t="s">
        <v>404</v>
      </c>
      <c r="F396" s="21"/>
      <c r="G396" s="27">
        <f>G397</f>
        <v>268.60000000000002</v>
      </c>
      <c r="H396" s="205"/>
    </row>
    <row r="397" spans="1:11" ht="47.25">
      <c r="A397" s="26" t="s">
        <v>325</v>
      </c>
      <c r="B397" s="17">
        <v>903</v>
      </c>
      <c r="C397" s="21" t="s">
        <v>297</v>
      </c>
      <c r="D397" s="21" t="s">
        <v>268</v>
      </c>
      <c r="E397" s="21" t="s">
        <v>404</v>
      </c>
      <c r="F397" s="21" t="s">
        <v>326</v>
      </c>
      <c r="G397" s="27">
        <f>G398</f>
        <v>268.60000000000002</v>
      </c>
      <c r="H397" s="205"/>
    </row>
    <row r="398" spans="1:11" ht="15.75">
      <c r="A398" s="26" t="s">
        <v>327</v>
      </c>
      <c r="B398" s="17">
        <v>903</v>
      </c>
      <c r="C398" s="21" t="s">
        <v>297</v>
      </c>
      <c r="D398" s="21" t="s">
        <v>268</v>
      </c>
      <c r="E398" s="21" t="s">
        <v>404</v>
      </c>
      <c r="F398" s="21" t="s">
        <v>328</v>
      </c>
      <c r="G398" s="27">
        <f>160.5+108.1</f>
        <v>268.60000000000002</v>
      </c>
      <c r="H398" s="130"/>
    </row>
    <row r="399" spans="1:11" ht="31.5">
      <c r="A399" s="26" t="s">
        <v>405</v>
      </c>
      <c r="B399" s="17">
        <v>903</v>
      </c>
      <c r="C399" s="21" t="s">
        <v>297</v>
      </c>
      <c r="D399" s="21" t="s">
        <v>268</v>
      </c>
      <c r="E399" s="21" t="s">
        <v>406</v>
      </c>
      <c r="F399" s="21"/>
      <c r="G399" s="27">
        <f>G400</f>
        <v>63</v>
      </c>
      <c r="H399" s="205"/>
    </row>
    <row r="400" spans="1:11" ht="31.5">
      <c r="A400" s="26" t="s">
        <v>210</v>
      </c>
      <c r="B400" s="17">
        <v>903</v>
      </c>
      <c r="C400" s="21" t="s">
        <v>297</v>
      </c>
      <c r="D400" s="21" t="s">
        <v>268</v>
      </c>
      <c r="E400" s="21" t="s">
        <v>407</v>
      </c>
      <c r="F400" s="21"/>
      <c r="G400" s="27">
        <f>G401</f>
        <v>63</v>
      </c>
      <c r="H400" s="205"/>
    </row>
    <row r="401" spans="1:8" ht="31.5">
      <c r="A401" s="26" t="s">
        <v>301</v>
      </c>
      <c r="B401" s="17">
        <v>903</v>
      </c>
      <c r="C401" s="21" t="s">
        <v>297</v>
      </c>
      <c r="D401" s="21" t="s">
        <v>268</v>
      </c>
      <c r="E401" s="21" t="s">
        <v>407</v>
      </c>
      <c r="F401" s="21" t="s">
        <v>302</v>
      </c>
      <c r="G401" s="27">
        <f>G402</f>
        <v>63</v>
      </c>
      <c r="H401" s="205"/>
    </row>
    <row r="402" spans="1:8" ht="31.5">
      <c r="A402" s="26" t="s">
        <v>303</v>
      </c>
      <c r="B402" s="17">
        <v>903</v>
      </c>
      <c r="C402" s="21" t="s">
        <v>297</v>
      </c>
      <c r="D402" s="21" t="s">
        <v>268</v>
      </c>
      <c r="E402" s="21" t="s">
        <v>407</v>
      </c>
      <c r="F402" s="21" t="s">
        <v>304</v>
      </c>
      <c r="G402" s="27">
        <f>60+3</f>
        <v>63</v>
      </c>
      <c r="H402" s="205"/>
    </row>
    <row r="403" spans="1:8" ht="31.5">
      <c r="A403" s="26" t="s">
        <v>408</v>
      </c>
      <c r="B403" s="17">
        <v>903</v>
      </c>
      <c r="C403" s="17">
        <v>10</v>
      </c>
      <c r="D403" s="21" t="s">
        <v>268</v>
      </c>
      <c r="E403" s="21" t="s">
        <v>409</v>
      </c>
      <c r="F403" s="21"/>
      <c r="G403" s="27">
        <f t="shared" ref="G403:G405" si="60">G404</f>
        <v>420</v>
      </c>
      <c r="H403" s="205"/>
    </row>
    <row r="404" spans="1:8" ht="31.5">
      <c r="A404" s="26" t="s">
        <v>210</v>
      </c>
      <c r="B404" s="17">
        <v>903</v>
      </c>
      <c r="C404" s="21" t="s">
        <v>297</v>
      </c>
      <c r="D404" s="21" t="s">
        <v>268</v>
      </c>
      <c r="E404" s="21" t="s">
        <v>410</v>
      </c>
      <c r="F404" s="21"/>
      <c r="G404" s="27">
        <f>G405</f>
        <v>420</v>
      </c>
      <c r="H404" s="205"/>
    </row>
    <row r="405" spans="1:8" ht="31.5">
      <c r="A405" s="26" t="s">
        <v>301</v>
      </c>
      <c r="B405" s="17">
        <v>903</v>
      </c>
      <c r="C405" s="21" t="s">
        <v>297</v>
      </c>
      <c r="D405" s="21" t="s">
        <v>268</v>
      </c>
      <c r="E405" s="21" t="s">
        <v>410</v>
      </c>
      <c r="F405" s="21" t="s">
        <v>302</v>
      </c>
      <c r="G405" s="27">
        <f t="shared" si="60"/>
        <v>420</v>
      </c>
      <c r="H405" s="205"/>
    </row>
    <row r="406" spans="1:8" ht="31.5">
      <c r="A406" s="26" t="s">
        <v>401</v>
      </c>
      <c r="B406" s="17">
        <v>903</v>
      </c>
      <c r="C406" s="21" t="s">
        <v>297</v>
      </c>
      <c r="D406" s="21" t="s">
        <v>268</v>
      </c>
      <c r="E406" s="21" t="s">
        <v>410</v>
      </c>
      <c r="F406" s="21" t="s">
        <v>402</v>
      </c>
      <c r="G406" s="27">
        <v>420</v>
      </c>
      <c r="H406" s="205"/>
    </row>
    <row r="407" spans="1:8" ht="15.75">
      <c r="A407" s="26" t="s">
        <v>411</v>
      </c>
      <c r="B407" s="17">
        <v>903</v>
      </c>
      <c r="C407" s="17">
        <v>10</v>
      </c>
      <c r="D407" s="21" t="s">
        <v>268</v>
      </c>
      <c r="E407" s="21" t="s">
        <v>412</v>
      </c>
      <c r="F407" s="21"/>
      <c r="G407" s="27">
        <f>G408</f>
        <v>1595</v>
      </c>
      <c r="H407" s="205"/>
    </row>
    <row r="408" spans="1:8" ht="31.5">
      <c r="A408" s="26" t="s">
        <v>210</v>
      </c>
      <c r="B408" s="17">
        <v>903</v>
      </c>
      <c r="C408" s="21" t="s">
        <v>297</v>
      </c>
      <c r="D408" s="21" t="s">
        <v>268</v>
      </c>
      <c r="E408" s="21" t="s">
        <v>413</v>
      </c>
      <c r="F408" s="21"/>
      <c r="G408" s="27">
        <f>G409+G411</f>
        <v>1595</v>
      </c>
      <c r="H408" s="205"/>
    </row>
    <row r="409" spans="1:8" ht="31.5">
      <c r="A409" s="26" t="s">
        <v>184</v>
      </c>
      <c r="B409" s="17">
        <v>903</v>
      </c>
      <c r="C409" s="21" t="s">
        <v>297</v>
      </c>
      <c r="D409" s="21" t="s">
        <v>268</v>
      </c>
      <c r="E409" s="21" t="s">
        <v>413</v>
      </c>
      <c r="F409" s="21" t="s">
        <v>185</v>
      </c>
      <c r="G409" s="27">
        <f>G410</f>
        <v>547</v>
      </c>
      <c r="H409" s="205"/>
    </row>
    <row r="410" spans="1:8" ht="47.25">
      <c r="A410" s="26" t="s">
        <v>186</v>
      </c>
      <c r="B410" s="17">
        <v>903</v>
      </c>
      <c r="C410" s="21" t="s">
        <v>297</v>
      </c>
      <c r="D410" s="21" t="s">
        <v>268</v>
      </c>
      <c r="E410" s="21" t="s">
        <v>413</v>
      </c>
      <c r="F410" s="21" t="s">
        <v>187</v>
      </c>
      <c r="G410" s="189">
        <f>552-50+45</f>
        <v>547</v>
      </c>
      <c r="H410" s="184" t="s">
        <v>852</v>
      </c>
    </row>
    <row r="411" spans="1:8" ht="31.5">
      <c r="A411" s="26" t="s">
        <v>301</v>
      </c>
      <c r="B411" s="17">
        <v>903</v>
      </c>
      <c r="C411" s="21" t="s">
        <v>297</v>
      </c>
      <c r="D411" s="21" t="s">
        <v>268</v>
      </c>
      <c r="E411" s="21" t="s">
        <v>413</v>
      </c>
      <c r="F411" s="21" t="s">
        <v>302</v>
      </c>
      <c r="G411" s="27">
        <f>G412</f>
        <v>1048</v>
      </c>
      <c r="H411" s="205"/>
    </row>
    <row r="412" spans="1:8" ht="31.5">
      <c r="A412" s="26" t="s">
        <v>401</v>
      </c>
      <c r="B412" s="17">
        <v>903</v>
      </c>
      <c r="C412" s="21" t="s">
        <v>297</v>
      </c>
      <c r="D412" s="21" t="s">
        <v>268</v>
      </c>
      <c r="E412" s="21" t="s">
        <v>413</v>
      </c>
      <c r="F412" s="21" t="s">
        <v>402</v>
      </c>
      <c r="G412" s="27">
        <v>1048</v>
      </c>
      <c r="H412" s="205"/>
    </row>
    <row r="413" spans="1:8" ht="47.25">
      <c r="A413" s="26" t="s">
        <v>414</v>
      </c>
      <c r="B413" s="17">
        <v>903</v>
      </c>
      <c r="C413" s="21" t="s">
        <v>297</v>
      </c>
      <c r="D413" s="21" t="s">
        <v>268</v>
      </c>
      <c r="E413" s="21" t="s">
        <v>415</v>
      </c>
      <c r="F413" s="21"/>
      <c r="G413" s="27">
        <f>G414</f>
        <v>335</v>
      </c>
      <c r="H413" s="205"/>
    </row>
    <row r="414" spans="1:8" ht="31.5">
      <c r="A414" s="26" t="s">
        <v>210</v>
      </c>
      <c r="B414" s="17">
        <v>903</v>
      </c>
      <c r="C414" s="21" t="s">
        <v>297</v>
      </c>
      <c r="D414" s="21" t="s">
        <v>268</v>
      </c>
      <c r="E414" s="21" t="s">
        <v>416</v>
      </c>
      <c r="F414" s="21"/>
      <c r="G414" s="27">
        <f>G415</f>
        <v>335</v>
      </c>
      <c r="H414" s="205"/>
    </row>
    <row r="415" spans="1:8" ht="31.5">
      <c r="A415" s="26" t="s">
        <v>301</v>
      </c>
      <c r="B415" s="17">
        <v>903</v>
      </c>
      <c r="C415" s="21" t="s">
        <v>297</v>
      </c>
      <c r="D415" s="21" t="s">
        <v>268</v>
      </c>
      <c r="E415" s="21" t="s">
        <v>416</v>
      </c>
      <c r="F415" s="21" t="s">
        <v>302</v>
      </c>
      <c r="G415" s="27">
        <f>G416</f>
        <v>335</v>
      </c>
      <c r="H415" s="205"/>
    </row>
    <row r="416" spans="1:8" ht="31.5">
      <c r="A416" s="26" t="s">
        <v>401</v>
      </c>
      <c r="B416" s="17">
        <v>903</v>
      </c>
      <c r="C416" s="21" t="s">
        <v>297</v>
      </c>
      <c r="D416" s="21" t="s">
        <v>268</v>
      </c>
      <c r="E416" s="21" t="s">
        <v>416</v>
      </c>
      <c r="F416" s="21" t="s">
        <v>402</v>
      </c>
      <c r="G416" s="27">
        <f>400-65</f>
        <v>335</v>
      </c>
      <c r="H416" s="205"/>
    </row>
    <row r="417" spans="1:8" ht="63">
      <c r="A417" s="26" t="s">
        <v>417</v>
      </c>
      <c r="B417" s="17">
        <v>903</v>
      </c>
      <c r="C417" s="21" t="s">
        <v>297</v>
      </c>
      <c r="D417" s="21" t="s">
        <v>268</v>
      </c>
      <c r="E417" s="21" t="s">
        <v>418</v>
      </c>
      <c r="F417" s="21"/>
      <c r="G417" s="27">
        <f>G418</f>
        <v>210</v>
      </c>
      <c r="H417" s="205"/>
    </row>
    <row r="418" spans="1:8" ht="31.5">
      <c r="A418" s="26" t="s">
        <v>210</v>
      </c>
      <c r="B418" s="17">
        <v>903</v>
      </c>
      <c r="C418" s="21" t="s">
        <v>297</v>
      </c>
      <c r="D418" s="21" t="s">
        <v>268</v>
      </c>
      <c r="E418" s="21" t="s">
        <v>419</v>
      </c>
      <c r="F418" s="21"/>
      <c r="G418" s="27">
        <f>G419</f>
        <v>210</v>
      </c>
      <c r="H418" s="205"/>
    </row>
    <row r="419" spans="1:8" ht="31.5">
      <c r="A419" s="26" t="s">
        <v>184</v>
      </c>
      <c r="B419" s="17">
        <v>903</v>
      </c>
      <c r="C419" s="21" t="s">
        <v>297</v>
      </c>
      <c r="D419" s="21" t="s">
        <v>268</v>
      </c>
      <c r="E419" s="21" t="s">
        <v>419</v>
      </c>
      <c r="F419" s="21" t="s">
        <v>185</v>
      </c>
      <c r="G419" s="27">
        <f>G420</f>
        <v>210</v>
      </c>
      <c r="H419" s="205"/>
    </row>
    <row r="420" spans="1:8" ht="47.25">
      <c r="A420" s="26" t="s">
        <v>186</v>
      </c>
      <c r="B420" s="17">
        <v>903</v>
      </c>
      <c r="C420" s="21" t="s">
        <v>297</v>
      </c>
      <c r="D420" s="21" t="s">
        <v>268</v>
      </c>
      <c r="E420" s="21" t="s">
        <v>419</v>
      </c>
      <c r="F420" s="21" t="s">
        <v>187</v>
      </c>
      <c r="G420" s="27">
        <f>150+60</f>
        <v>210</v>
      </c>
      <c r="H420" s="205"/>
    </row>
    <row r="421" spans="1:8" ht="63">
      <c r="A421" s="26" t="s">
        <v>420</v>
      </c>
      <c r="B421" s="17">
        <v>903</v>
      </c>
      <c r="C421" s="21" t="s">
        <v>297</v>
      </c>
      <c r="D421" s="21" t="s">
        <v>268</v>
      </c>
      <c r="E421" s="21" t="s">
        <v>421</v>
      </c>
      <c r="F421" s="21"/>
      <c r="G421" s="27">
        <f t="shared" ref="G421" si="61">G422+G434+G428+G431</f>
        <v>30</v>
      </c>
      <c r="H421" s="205"/>
    </row>
    <row r="422" spans="1:8" ht="47.25" customHeight="1">
      <c r="A422" s="26" t="s">
        <v>422</v>
      </c>
      <c r="B422" s="17">
        <v>903</v>
      </c>
      <c r="C422" s="21" t="s">
        <v>297</v>
      </c>
      <c r="D422" s="21" t="s">
        <v>268</v>
      </c>
      <c r="E422" s="21" t="s">
        <v>423</v>
      </c>
      <c r="F422" s="21"/>
      <c r="G422" s="27">
        <f>G423</f>
        <v>20</v>
      </c>
      <c r="H422" s="205"/>
    </row>
    <row r="423" spans="1:8" ht="47.25">
      <c r="A423" s="26" t="s">
        <v>325</v>
      </c>
      <c r="B423" s="17">
        <v>903</v>
      </c>
      <c r="C423" s="21" t="s">
        <v>297</v>
      </c>
      <c r="D423" s="21" t="s">
        <v>268</v>
      </c>
      <c r="E423" s="21" t="s">
        <v>423</v>
      </c>
      <c r="F423" s="21" t="s">
        <v>326</v>
      </c>
      <c r="G423" s="27">
        <f t="shared" ref="G423" si="62">G424</f>
        <v>20</v>
      </c>
      <c r="H423" s="205"/>
    </row>
    <row r="424" spans="1:8" ht="63">
      <c r="A424" s="41" t="s">
        <v>424</v>
      </c>
      <c r="B424" s="17">
        <v>903</v>
      </c>
      <c r="C424" s="21" t="s">
        <v>297</v>
      </c>
      <c r="D424" s="21" t="s">
        <v>268</v>
      </c>
      <c r="E424" s="21" t="s">
        <v>423</v>
      </c>
      <c r="F424" s="21" t="s">
        <v>425</v>
      </c>
      <c r="G424" s="27">
        <f>30-10</f>
        <v>20</v>
      </c>
      <c r="H424" s="130"/>
    </row>
    <row r="425" spans="1:8" ht="15.75" hidden="1">
      <c r="A425" s="41"/>
      <c r="B425" s="17"/>
      <c r="C425" s="21"/>
      <c r="D425" s="21"/>
      <c r="E425" s="21"/>
      <c r="F425" s="21"/>
      <c r="G425" s="27"/>
      <c r="H425" s="132"/>
    </row>
    <row r="426" spans="1:8" ht="15.75" hidden="1">
      <c r="A426" s="41"/>
      <c r="B426" s="17"/>
      <c r="C426" s="21"/>
      <c r="D426" s="21"/>
      <c r="E426" s="21"/>
      <c r="F426" s="21"/>
      <c r="G426" s="27"/>
      <c r="H426" s="132"/>
    </row>
    <row r="427" spans="1:8" ht="15.75" hidden="1">
      <c r="A427" s="41"/>
      <c r="B427" s="17"/>
      <c r="C427" s="21"/>
      <c r="D427" s="21"/>
      <c r="E427" s="21"/>
      <c r="F427" s="21"/>
      <c r="G427" s="27"/>
      <c r="H427" s="132"/>
    </row>
    <row r="428" spans="1:8" ht="126" hidden="1">
      <c r="A428" s="26" t="s">
        <v>426</v>
      </c>
      <c r="B428" s="17">
        <v>903</v>
      </c>
      <c r="C428" s="21" t="s">
        <v>297</v>
      </c>
      <c r="D428" s="21" t="s">
        <v>268</v>
      </c>
      <c r="E428" s="21" t="s">
        <v>427</v>
      </c>
      <c r="F428" s="21"/>
      <c r="G428" s="27">
        <f t="shared" ref="G428:G429" si="63">G429</f>
        <v>0</v>
      </c>
      <c r="H428" s="205"/>
    </row>
    <row r="429" spans="1:8" ht="15.75" hidden="1">
      <c r="A429" s="26" t="s">
        <v>188</v>
      </c>
      <c r="B429" s="17">
        <v>903</v>
      </c>
      <c r="C429" s="21" t="s">
        <v>297</v>
      </c>
      <c r="D429" s="21" t="s">
        <v>268</v>
      </c>
      <c r="E429" s="21" t="s">
        <v>427</v>
      </c>
      <c r="F429" s="21" t="s">
        <v>198</v>
      </c>
      <c r="G429" s="27">
        <f t="shared" si="63"/>
        <v>0</v>
      </c>
      <c r="H429" s="205"/>
    </row>
    <row r="430" spans="1:8" ht="63" hidden="1">
      <c r="A430" s="26" t="s">
        <v>237</v>
      </c>
      <c r="B430" s="17">
        <v>903</v>
      </c>
      <c r="C430" s="21" t="s">
        <v>297</v>
      </c>
      <c r="D430" s="21" t="s">
        <v>268</v>
      </c>
      <c r="E430" s="21" t="s">
        <v>427</v>
      </c>
      <c r="F430" s="21" t="s">
        <v>213</v>
      </c>
      <c r="G430" s="27">
        <v>0</v>
      </c>
      <c r="H430" s="205"/>
    </row>
    <row r="431" spans="1:8" ht="63">
      <c r="A431" s="26" t="s">
        <v>428</v>
      </c>
      <c r="B431" s="17">
        <v>903</v>
      </c>
      <c r="C431" s="21" t="s">
        <v>297</v>
      </c>
      <c r="D431" s="21" t="s">
        <v>268</v>
      </c>
      <c r="E431" s="21" t="s">
        <v>429</v>
      </c>
      <c r="F431" s="21"/>
      <c r="G431" s="27">
        <f t="shared" ref="G431:G432" si="64">G432</f>
        <v>10</v>
      </c>
      <c r="H431" s="205"/>
    </row>
    <row r="432" spans="1:8" ht="31.5">
      <c r="A432" s="26" t="s">
        <v>301</v>
      </c>
      <c r="B432" s="17">
        <v>903</v>
      </c>
      <c r="C432" s="21" t="s">
        <v>297</v>
      </c>
      <c r="D432" s="21" t="s">
        <v>268</v>
      </c>
      <c r="E432" s="21" t="s">
        <v>429</v>
      </c>
      <c r="F432" s="21" t="s">
        <v>302</v>
      </c>
      <c r="G432" s="27">
        <f t="shared" si="64"/>
        <v>10</v>
      </c>
      <c r="H432" s="205"/>
    </row>
    <row r="433" spans="1:10" ht="31.5">
      <c r="A433" s="26" t="s">
        <v>303</v>
      </c>
      <c r="B433" s="17">
        <v>903</v>
      </c>
      <c r="C433" s="21" t="s">
        <v>297</v>
      </c>
      <c r="D433" s="21" t="s">
        <v>268</v>
      </c>
      <c r="E433" s="21" t="s">
        <v>429</v>
      </c>
      <c r="F433" s="21" t="s">
        <v>304</v>
      </c>
      <c r="G433" s="27">
        <v>10</v>
      </c>
      <c r="H433" s="130"/>
    </row>
    <row r="434" spans="1:10" ht="31.5" hidden="1">
      <c r="A434" s="26" t="s">
        <v>430</v>
      </c>
      <c r="B434" s="17">
        <v>903</v>
      </c>
      <c r="C434" s="21" t="s">
        <v>297</v>
      </c>
      <c r="D434" s="21" t="s">
        <v>268</v>
      </c>
      <c r="E434" s="21" t="s">
        <v>431</v>
      </c>
      <c r="F434" s="21"/>
      <c r="G434" s="27">
        <f t="shared" ref="G434" si="65">G435+G437</f>
        <v>0</v>
      </c>
      <c r="H434" s="205"/>
    </row>
    <row r="435" spans="1:10" ht="31.5" hidden="1">
      <c r="A435" s="26" t="s">
        <v>184</v>
      </c>
      <c r="B435" s="17">
        <v>903</v>
      </c>
      <c r="C435" s="21" t="s">
        <v>297</v>
      </c>
      <c r="D435" s="21" t="s">
        <v>268</v>
      </c>
      <c r="E435" s="21" t="s">
        <v>431</v>
      </c>
      <c r="F435" s="21" t="s">
        <v>185</v>
      </c>
      <c r="G435" s="27">
        <f t="shared" ref="G435" si="66">G436</f>
        <v>0</v>
      </c>
      <c r="H435" s="205"/>
    </row>
    <row r="436" spans="1:10" ht="47.25" hidden="1">
      <c r="A436" s="26" t="s">
        <v>186</v>
      </c>
      <c r="B436" s="17">
        <v>903</v>
      </c>
      <c r="C436" s="21" t="s">
        <v>297</v>
      </c>
      <c r="D436" s="21" t="s">
        <v>268</v>
      </c>
      <c r="E436" s="21" t="s">
        <v>431</v>
      </c>
      <c r="F436" s="21" t="s">
        <v>187</v>
      </c>
      <c r="G436" s="27">
        <v>0</v>
      </c>
      <c r="H436" s="205"/>
    </row>
    <row r="437" spans="1:10" ht="15.75" hidden="1">
      <c r="A437" s="26" t="s">
        <v>188</v>
      </c>
      <c r="B437" s="17">
        <v>903</v>
      </c>
      <c r="C437" s="21" t="s">
        <v>297</v>
      </c>
      <c r="D437" s="21" t="s">
        <v>268</v>
      </c>
      <c r="E437" s="21" t="s">
        <v>432</v>
      </c>
      <c r="F437" s="21" t="s">
        <v>198</v>
      </c>
      <c r="G437" s="27">
        <f t="shared" ref="G437" si="67">G438</f>
        <v>0</v>
      </c>
      <c r="H437" s="205"/>
    </row>
    <row r="438" spans="1:10" ht="63" hidden="1">
      <c r="A438" s="26" t="s">
        <v>237</v>
      </c>
      <c r="B438" s="17">
        <v>903</v>
      </c>
      <c r="C438" s="21" t="s">
        <v>297</v>
      </c>
      <c r="D438" s="21" t="s">
        <v>268</v>
      </c>
      <c r="E438" s="21" t="s">
        <v>432</v>
      </c>
      <c r="F438" s="21" t="s">
        <v>213</v>
      </c>
      <c r="G438" s="27">
        <v>0</v>
      </c>
      <c r="H438" s="205"/>
    </row>
    <row r="439" spans="1:10" ht="94.5">
      <c r="A439" s="31" t="s">
        <v>433</v>
      </c>
      <c r="B439" s="17">
        <v>903</v>
      </c>
      <c r="C439" s="42" t="s">
        <v>297</v>
      </c>
      <c r="D439" s="42" t="s">
        <v>268</v>
      </c>
      <c r="E439" s="42" t="s">
        <v>434</v>
      </c>
      <c r="F439" s="42"/>
      <c r="G439" s="27">
        <f>G440</f>
        <v>105</v>
      </c>
      <c r="H439" s="205"/>
    </row>
    <row r="440" spans="1:10" ht="31.5">
      <c r="A440" s="31" t="s">
        <v>210</v>
      </c>
      <c r="B440" s="17">
        <v>903</v>
      </c>
      <c r="C440" s="42" t="s">
        <v>297</v>
      </c>
      <c r="D440" s="42" t="s">
        <v>268</v>
      </c>
      <c r="E440" s="42" t="s">
        <v>435</v>
      </c>
      <c r="F440" s="42"/>
      <c r="G440" s="27">
        <f>G441</f>
        <v>105</v>
      </c>
      <c r="H440" s="205"/>
    </row>
    <row r="441" spans="1:10" ht="31.5">
      <c r="A441" s="31" t="s">
        <v>184</v>
      </c>
      <c r="B441" s="17">
        <v>903</v>
      </c>
      <c r="C441" s="42" t="s">
        <v>297</v>
      </c>
      <c r="D441" s="42" t="s">
        <v>268</v>
      </c>
      <c r="E441" s="42" t="s">
        <v>435</v>
      </c>
      <c r="F441" s="42" t="s">
        <v>185</v>
      </c>
      <c r="G441" s="27">
        <f>G442</f>
        <v>105</v>
      </c>
      <c r="H441" s="205"/>
    </row>
    <row r="442" spans="1:10" ht="47.25">
      <c r="A442" s="31" t="s">
        <v>186</v>
      </c>
      <c r="B442" s="17">
        <v>903</v>
      </c>
      <c r="C442" s="42" t="s">
        <v>297</v>
      </c>
      <c r="D442" s="42" t="s">
        <v>268</v>
      </c>
      <c r="E442" s="42" t="s">
        <v>435</v>
      </c>
      <c r="F442" s="42" t="s">
        <v>187</v>
      </c>
      <c r="G442" s="27">
        <f>50+55</f>
        <v>105</v>
      </c>
      <c r="H442" s="205"/>
    </row>
    <row r="443" spans="1:10" ht="15.75">
      <c r="A443" s="26" t="s">
        <v>174</v>
      </c>
      <c r="B443" s="17">
        <v>903</v>
      </c>
      <c r="C443" s="21" t="s">
        <v>297</v>
      </c>
      <c r="D443" s="21" t="s">
        <v>268</v>
      </c>
      <c r="E443" s="21" t="s">
        <v>175</v>
      </c>
      <c r="F443" s="21"/>
      <c r="G443" s="27">
        <f>G444+G455</f>
        <v>932</v>
      </c>
      <c r="H443" s="205"/>
    </row>
    <row r="444" spans="1:10" ht="31.5">
      <c r="A444" s="26" t="s">
        <v>238</v>
      </c>
      <c r="B444" s="17">
        <v>903</v>
      </c>
      <c r="C444" s="21" t="s">
        <v>297</v>
      </c>
      <c r="D444" s="21" t="s">
        <v>268</v>
      </c>
      <c r="E444" s="21" t="s">
        <v>239</v>
      </c>
      <c r="F444" s="21"/>
      <c r="G444" s="27">
        <f>G451+G445+G448</f>
        <v>932</v>
      </c>
      <c r="H444" s="205"/>
    </row>
    <row r="445" spans="1:10" ht="15.75">
      <c r="A445" s="26" t="s">
        <v>436</v>
      </c>
      <c r="B445" s="17">
        <v>903</v>
      </c>
      <c r="C445" s="21" t="s">
        <v>297</v>
      </c>
      <c r="D445" s="21" t="s">
        <v>268</v>
      </c>
      <c r="E445" s="21" t="s">
        <v>437</v>
      </c>
      <c r="F445" s="21"/>
      <c r="G445" s="27">
        <f t="shared" ref="G445:G446" si="68">G446</f>
        <v>372.6</v>
      </c>
      <c r="H445" s="205"/>
    </row>
    <row r="446" spans="1:10" ht="31.5">
      <c r="A446" s="26" t="s">
        <v>301</v>
      </c>
      <c r="B446" s="17">
        <v>903</v>
      </c>
      <c r="C446" s="21" t="s">
        <v>297</v>
      </c>
      <c r="D446" s="21" t="s">
        <v>268</v>
      </c>
      <c r="E446" s="21" t="s">
        <v>437</v>
      </c>
      <c r="F446" s="21" t="s">
        <v>302</v>
      </c>
      <c r="G446" s="27">
        <f t="shared" si="68"/>
        <v>372.6</v>
      </c>
      <c r="H446" s="205"/>
    </row>
    <row r="447" spans="1:10" ht="31.5">
      <c r="A447" s="26" t="s">
        <v>303</v>
      </c>
      <c r="B447" s="17">
        <v>903</v>
      </c>
      <c r="C447" s="21" t="s">
        <v>297</v>
      </c>
      <c r="D447" s="21" t="s">
        <v>268</v>
      </c>
      <c r="E447" s="21" t="s">
        <v>437</v>
      </c>
      <c r="F447" s="21" t="s">
        <v>304</v>
      </c>
      <c r="G447" s="27">
        <v>372.6</v>
      </c>
      <c r="H447" s="130"/>
      <c r="I447" s="148"/>
    </row>
    <row r="448" spans="1:10" ht="63">
      <c r="A448" s="26" t="s">
        <v>428</v>
      </c>
      <c r="B448" s="17">
        <v>903</v>
      </c>
      <c r="C448" s="21" t="s">
        <v>297</v>
      </c>
      <c r="D448" s="21" t="s">
        <v>268</v>
      </c>
      <c r="E448" s="21" t="s">
        <v>438</v>
      </c>
      <c r="F448" s="21"/>
      <c r="G448" s="27">
        <f t="shared" ref="G448:G449" si="69">G449</f>
        <v>500</v>
      </c>
      <c r="H448" s="205"/>
      <c r="J448" s="133"/>
    </row>
    <row r="449" spans="1:10" ht="31.5">
      <c r="A449" s="26" t="s">
        <v>301</v>
      </c>
      <c r="B449" s="17">
        <v>903</v>
      </c>
      <c r="C449" s="21" t="s">
        <v>297</v>
      </c>
      <c r="D449" s="21" t="s">
        <v>268</v>
      </c>
      <c r="E449" s="21" t="s">
        <v>438</v>
      </c>
      <c r="F449" s="21" t="s">
        <v>302</v>
      </c>
      <c r="G449" s="27">
        <f t="shared" si="69"/>
        <v>500</v>
      </c>
      <c r="H449" s="205"/>
      <c r="J449" s="133"/>
    </row>
    <row r="450" spans="1:10" ht="31.5">
      <c r="A450" s="26" t="s">
        <v>303</v>
      </c>
      <c r="B450" s="17">
        <v>903</v>
      </c>
      <c r="C450" s="21" t="s">
        <v>297</v>
      </c>
      <c r="D450" s="21" t="s">
        <v>268</v>
      </c>
      <c r="E450" s="21" t="s">
        <v>438</v>
      </c>
      <c r="F450" s="21" t="s">
        <v>304</v>
      </c>
      <c r="G450" s="27">
        <v>500</v>
      </c>
      <c r="H450" s="130"/>
      <c r="J450" s="133"/>
    </row>
    <row r="451" spans="1:10" ht="54" customHeight="1">
      <c r="A451" s="191" t="s">
        <v>840</v>
      </c>
      <c r="B451" s="17">
        <v>903</v>
      </c>
      <c r="C451" s="21" t="s">
        <v>297</v>
      </c>
      <c r="D451" s="21" t="s">
        <v>268</v>
      </c>
      <c r="E451" s="21" t="s">
        <v>440</v>
      </c>
      <c r="F451" s="21"/>
      <c r="G451" s="27">
        <f t="shared" ref="G451" si="70">G452</f>
        <v>59.4</v>
      </c>
      <c r="H451" s="205"/>
      <c r="J451" s="133"/>
    </row>
    <row r="452" spans="1:10" ht="31.5">
      <c r="A452" s="26" t="s">
        <v>301</v>
      </c>
      <c r="B452" s="17">
        <v>903</v>
      </c>
      <c r="C452" s="21" t="s">
        <v>297</v>
      </c>
      <c r="D452" s="21" t="s">
        <v>268</v>
      </c>
      <c r="E452" s="21" t="s">
        <v>440</v>
      </c>
      <c r="F452" s="21" t="s">
        <v>302</v>
      </c>
      <c r="G452" s="27">
        <f t="shared" ref="G452" si="71">G453+G454</f>
        <v>59.4</v>
      </c>
      <c r="H452" s="205"/>
      <c r="J452" s="133"/>
    </row>
    <row r="453" spans="1:10" ht="31.5">
      <c r="A453" s="26" t="s">
        <v>401</v>
      </c>
      <c r="B453" s="17">
        <v>903</v>
      </c>
      <c r="C453" s="21" t="s">
        <v>297</v>
      </c>
      <c r="D453" s="21" t="s">
        <v>268</v>
      </c>
      <c r="E453" s="21" t="s">
        <v>440</v>
      </c>
      <c r="F453" s="21" t="s">
        <v>402</v>
      </c>
      <c r="G453" s="189">
        <v>59.4</v>
      </c>
      <c r="H453" s="184" t="s">
        <v>830</v>
      </c>
      <c r="J453" s="133"/>
    </row>
    <row r="454" spans="1:10" ht="31.5">
      <c r="A454" s="26" t="s">
        <v>303</v>
      </c>
      <c r="B454" s="17">
        <v>903</v>
      </c>
      <c r="C454" s="21" t="s">
        <v>297</v>
      </c>
      <c r="D454" s="21" t="s">
        <v>268</v>
      </c>
      <c r="E454" s="21" t="s">
        <v>440</v>
      </c>
      <c r="F454" s="21" t="s">
        <v>304</v>
      </c>
      <c r="G454" s="27"/>
      <c r="H454" s="205"/>
    </row>
    <row r="455" spans="1:10" ht="15.75">
      <c r="A455" s="26" t="s">
        <v>194</v>
      </c>
      <c r="B455" s="17">
        <v>903</v>
      </c>
      <c r="C455" s="21" t="s">
        <v>297</v>
      </c>
      <c r="D455" s="21" t="s">
        <v>268</v>
      </c>
      <c r="E455" s="21" t="s">
        <v>195</v>
      </c>
      <c r="F455" s="21"/>
      <c r="G455" s="27">
        <f t="shared" ref="G455:G457" si="72">G456</f>
        <v>0</v>
      </c>
      <c r="H455" s="205"/>
    </row>
    <row r="456" spans="1:10" ht="15.75">
      <c r="A456" s="26" t="s">
        <v>254</v>
      </c>
      <c r="B456" s="17">
        <v>903</v>
      </c>
      <c r="C456" s="21" t="s">
        <v>297</v>
      </c>
      <c r="D456" s="21" t="s">
        <v>268</v>
      </c>
      <c r="E456" s="21" t="s">
        <v>255</v>
      </c>
      <c r="F456" s="21"/>
      <c r="G456" s="27">
        <f t="shared" si="72"/>
        <v>0</v>
      </c>
      <c r="H456" s="205"/>
    </row>
    <row r="457" spans="1:10" ht="31.5">
      <c r="A457" s="26" t="s">
        <v>301</v>
      </c>
      <c r="B457" s="17">
        <v>903</v>
      </c>
      <c r="C457" s="21" t="s">
        <v>297</v>
      </c>
      <c r="D457" s="21" t="s">
        <v>268</v>
      </c>
      <c r="E457" s="21" t="s">
        <v>255</v>
      </c>
      <c r="F457" s="21" t="s">
        <v>302</v>
      </c>
      <c r="G457" s="27">
        <f t="shared" si="72"/>
        <v>0</v>
      </c>
      <c r="H457" s="205"/>
    </row>
    <row r="458" spans="1:10" ht="31.5">
      <c r="A458" s="26" t="s">
        <v>401</v>
      </c>
      <c r="B458" s="17">
        <v>903</v>
      </c>
      <c r="C458" s="21" t="s">
        <v>297</v>
      </c>
      <c r="D458" s="21" t="s">
        <v>268</v>
      </c>
      <c r="E458" s="21" t="s">
        <v>255</v>
      </c>
      <c r="F458" s="21" t="s">
        <v>402</v>
      </c>
      <c r="G458" s="27">
        <v>0</v>
      </c>
      <c r="H458" s="205"/>
    </row>
    <row r="459" spans="1:10" ht="47.25">
      <c r="A459" s="20" t="s">
        <v>441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5"/>
    </row>
    <row r="460" spans="1:10" ht="15.75">
      <c r="A460" s="24" t="s">
        <v>170</v>
      </c>
      <c r="B460" s="20">
        <v>905</v>
      </c>
      <c r="C460" s="25" t="s">
        <v>171</v>
      </c>
      <c r="D460" s="21"/>
      <c r="E460" s="21"/>
      <c r="F460" s="21"/>
      <c r="G460" s="22">
        <f>G461+G471</f>
        <v>14701.94</v>
      </c>
      <c r="H460" s="205"/>
    </row>
    <row r="461" spans="1:10" ht="78.75">
      <c r="A461" s="24" t="s">
        <v>202</v>
      </c>
      <c r="B461" s="20">
        <v>905</v>
      </c>
      <c r="C461" s="25" t="s">
        <v>171</v>
      </c>
      <c r="D461" s="25" t="s">
        <v>203</v>
      </c>
      <c r="E461" s="25"/>
      <c r="F461" s="25"/>
      <c r="G461" s="22">
        <f t="shared" ref="G461:G463" si="73">G462</f>
        <v>11089</v>
      </c>
      <c r="H461" s="205"/>
    </row>
    <row r="462" spans="1:10" ht="15.75">
      <c r="A462" s="26" t="s">
        <v>174</v>
      </c>
      <c r="B462" s="17">
        <v>905</v>
      </c>
      <c r="C462" s="21" t="s">
        <v>171</v>
      </c>
      <c r="D462" s="21" t="s">
        <v>203</v>
      </c>
      <c r="E462" s="21" t="s">
        <v>175</v>
      </c>
      <c r="F462" s="21"/>
      <c r="G462" s="27">
        <f>G463</f>
        <v>11089</v>
      </c>
      <c r="H462" s="205"/>
    </row>
    <row r="463" spans="1:10" ht="31.5">
      <c r="A463" s="26" t="s">
        <v>176</v>
      </c>
      <c r="B463" s="17">
        <v>905</v>
      </c>
      <c r="C463" s="21" t="s">
        <v>171</v>
      </c>
      <c r="D463" s="21" t="s">
        <v>203</v>
      </c>
      <c r="E463" s="21" t="s">
        <v>177</v>
      </c>
      <c r="F463" s="21"/>
      <c r="G463" s="27">
        <f t="shared" si="73"/>
        <v>11089</v>
      </c>
      <c r="H463" s="205"/>
    </row>
    <row r="464" spans="1:10" ht="47.25">
      <c r="A464" s="26" t="s">
        <v>178</v>
      </c>
      <c r="B464" s="17">
        <v>905</v>
      </c>
      <c r="C464" s="21" t="s">
        <v>171</v>
      </c>
      <c r="D464" s="21" t="s">
        <v>203</v>
      </c>
      <c r="E464" s="21" t="s">
        <v>179</v>
      </c>
      <c r="F464" s="21"/>
      <c r="G464" s="27">
        <f>G465+G467+G469</f>
        <v>11089</v>
      </c>
      <c r="H464" s="205"/>
    </row>
    <row r="465" spans="1:9" ht="94.5">
      <c r="A465" s="26" t="s">
        <v>180</v>
      </c>
      <c r="B465" s="17">
        <v>905</v>
      </c>
      <c r="C465" s="21" t="s">
        <v>171</v>
      </c>
      <c r="D465" s="21" t="s">
        <v>203</v>
      </c>
      <c r="E465" s="21" t="s">
        <v>179</v>
      </c>
      <c r="F465" s="21" t="s">
        <v>181</v>
      </c>
      <c r="G465" s="27">
        <f t="shared" ref="G465" si="74">G466</f>
        <v>10200.700000000001</v>
      </c>
      <c r="H465" s="205"/>
    </row>
    <row r="466" spans="1:9" ht="31.5">
      <c r="A466" s="26" t="s">
        <v>182</v>
      </c>
      <c r="B466" s="17">
        <v>905</v>
      </c>
      <c r="C466" s="21" t="s">
        <v>171</v>
      </c>
      <c r="D466" s="21" t="s">
        <v>203</v>
      </c>
      <c r="E466" s="21" t="s">
        <v>179</v>
      </c>
      <c r="F466" s="21" t="s">
        <v>183</v>
      </c>
      <c r="G466" s="28">
        <v>10200.700000000001</v>
      </c>
      <c r="H466" s="205"/>
    </row>
    <row r="467" spans="1:9" ht="31.5">
      <c r="A467" s="26" t="s">
        <v>184</v>
      </c>
      <c r="B467" s="17">
        <v>905</v>
      </c>
      <c r="C467" s="21" t="s">
        <v>171</v>
      </c>
      <c r="D467" s="21" t="s">
        <v>203</v>
      </c>
      <c r="E467" s="21" t="s">
        <v>179</v>
      </c>
      <c r="F467" s="21" t="s">
        <v>185</v>
      </c>
      <c r="G467" s="27">
        <f t="shared" ref="G467" si="75">G468</f>
        <v>811.8</v>
      </c>
      <c r="H467" s="205"/>
    </row>
    <row r="468" spans="1:9" ht="47.25">
      <c r="A468" s="26" t="s">
        <v>186</v>
      </c>
      <c r="B468" s="17">
        <v>905</v>
      </c>
      <c r="C468" s="21" t="s">
        <v>171</v>
      </c>
      <c r="D468" s="21" t="s">
        <v>203</v>
      </c>
      <c r="E468" s="21" t="s">
        <v>179</v>
      </c>
      <c r="F468" s="21" t="s">
        <v>187</v>
      </c>
      <c r="G468" s="183">
        <f>885.8-74</f>
        <v>811.8</v>
      </c>
      <c r="H468" s="184" t="s">
        <v>824</v>
      </c>
    </row>
    <row r="469" spans="1:9" ht="15.75">
      <c r="A469" s="26" t="s">
        <v>188</v>
      </c>
      <c r="B469" s="17">
        <v>905</v>
      </c>
      <c r="C469" s="21" t="s">
        <v>171</v>
      </c>
      <c r="D469" s="21" t="s">
        <v>203</v>
      </c>
      <c r="E469" s="21" t="s">
        <v>179</v>
      </c>
      <c r="F469" s="21" t="s">
        <v>198</v>
      </c>
      <c r="G469" s="27">
        <f t="shared" ref="G469" si="76">G470</f>
        <v>76.5</v>
      </c>
      <c r="H469" s="205"/>
    </row>
    <row r="470" spans="1:9" ht="15.75">
      <c r="A470" s="26" t="s">
        <v>622</v>
      </c>
      <c r="B470" s="17">
        <v>905</v>
      </c>
      <c r="C470" s="21" t="s">
        <v>171</v>
      </c>
      <c r="D470" s="21" t="s">
        <v>203</v>
      </c>
      <c r="E470" s="21" t="s">
        <v>179</v>
      </c>
      <c r="F470" s="21" t="s">
        <v>191</v>
      </c>
      <c r="G470" s="185">
        <f>2.5+74</f>
        <v>76.5</v>
      </c>
      <c r="H470" s="184" t="s">
        <v>825</v>
      </c>
    </row>
    <row r="471" spans="1:9" ht="15.75">
      <c r="A471" s="24" t="s">
        <v>192</v>
      </c>
      <c r="B471" s="20">
        <v>905</v>
      </c>
      <c r="C471" s="25" t="s">
        <v>171</v>
      </c>
      <c r="D471" s="25" t="s">
        <v>193</v>
      </c>
      <c r="E471" s="25"/>
      <c r="F471" s="25"/>
      <c r="G471" s="22">
        <f t="shared" ref="G471:G475" si="77">G472</f>
        <v>3612.94</v>
      </c>
      <c r="H471" s="205"/>
    </row>
    <row r="472" spans="1:9" ht="15.75">
      <c r="A472" s="26" t="s">
        <v>174</v>
      </c>
      <c r="B472" s="17">
        <v>905</v>
      </c>
      <c r="C472" s="21" t="s">
        <v>171</v>
      </c>
      <c r="D472" s="21" t="s">
        <v>193</v>
      </c>
      <c r="E472" s="21" t="s">
        <v>175</v>
      </c>
      <c r="F472" s="21"/>
      <c r="G472" s="27">
        <f>G473</f>
        <v>3612.94</v>
      </c>
      <c r="H472" s="205"/>
    </row>
    <row r="473" spans="1:9" ht="15.75">
      <c r="A473" s="26" t="s">
        <v>194</v>
      </c>
      <c r="B473" s="17">
        <v>905</v>
      </c>
      <c r="C473" s="21" t="s">
        <v>171</v>
      </c>
      <c r="D473" s="21" t="s">
        <v>193</v>
      </c>
      <c r="E473" s="21" t="s">
        <v>195</v>
      </c>
      <c r="F473" s="21"/>
      <c r="G473" s="27">
        <f t="shared" si="77"/>
        <v>3612.94</v>
      </c>
      <c r="H473" s="205"/>
    </row>
    <row r="474" spans="1:9" ht="47.25">
      <c r="A474" s="26" t="s">
        <v>442</v>
      </c>
      <c r="B474" s="17">
        <v>905</v>
      </c>
      <c r="C474" s="21" t="s">
        <v>171</v>
      </c>
      <c r="D474" s="21" t="s">
        <v>193</v>
      </c>
      <c r="E474" s="21" t="s">
        <v>443</v>
      </c>
      <c r="F474" s="21"/>
      <c r="G474" s="27">
        <f>G475</f>
        <v>3612.94</v>
      </c>
      <c r="H474" s="205"/>
    </row>
    <row r="475" spans="1:9" ht="31.5">
      <c r="A475" s="26" t="s">
        <v>184</v>
      </c>
      <c r="B475" s="17">
        <v>905</v>
      </c>
      <c r="C475" s="21" t="s">
        <v>171</v>
      </c>
      <c r="D475" s="21" t="s">
        <v>193</v>
      </c>
      <c r="E475" s="21" t="s">
        <v>443</v>
      </c>
      <c r="F475" s="21" t="s">
        <v>185</v>
      </c>
      <c r="G475" s="27">
        <f t="shared" si="77"/>
        <v>3612.94</v>
      </c>
      <c r="H475" s="205"/>
    </row>
    <row r="476" spans="1:9" ht="47.25">
      <c r="A476" s="26" t="s">
        <v>186</v>
      </c>
      <c r="B476" s="17">
        <v>905</v>
      </c>
      <c r="C476" s="21" t="s">
        <v>171</v>
      </c>
      <c r="D476" s="21" t="s">
        <v>193</v>
      </c>
      <c r="E476" s="21" t="s">
        <v>443</v>
      </c>
      <c r="F476" s="21" t="s">
        <v>187</v>
      </c>
      <c r="G476" s="189">
        <f>1961.14+1251.8+400</f>
        <v>3612.94</v>
      </c>
      <c r="H476" s="130" t="s">
        <v>843</v>
      </c>
      <c r="I476" s="148"/>
    </row>
    <row r="477" spans="1:9" ht="15.75">
      <c r="A477" s="43" t="s">
        <v>444</v>
      </c>
      <c r="B477" s="20">
        <v>905</v>
      </c>
      <c r="C477" s="25" t="s">
        <v>287</v>
      </c>
      <c r="D477" s="25"/>
      <c r="E477" s="25"/>
      <c r="F477" s="25"/>
      <c r="G477" s="22">
        <f t="shared" ref="G477" si="78">G478</f>
        <v>1099.8</v>
      </c>
      <c r="H477" s="205"/>
    </row>
    <row r="478" spans="1:9" ht="15.75">
      <c r="A478" s="43" t="s">
        <v>445</v>
      </c>
      <c r="B478" s="20">
        <v>905</v>
      </c>
      <c r="C478" s="25" t="s">
        <v>287</v>
      </c>
      <c r="D478" s="25" t="s">
        <v>171</v>
      </c>
      <c r="E478" s="25"/>
      <c r="F478" s="25"/>
      <c r="G478" s="27">
        <f>G479</f>
        <v>1099.8</v>
      </c>
      <c r="H478" s="205"/>
    </row>
    <row r="479" spans="1:9" ht="15.75">
      <c r="A479" s="31" t="s">
        <v>174</v>
      </c>
      <c r="B479" s="17">
        <v>905</v>
      </c>
      <c r="C479" s="21" t="s">
        <v>287</v>
      </c>
      <c r="D479" s="21" t="s">
        <v>171</v>
      </c>
      <c r="E479" s="21" t="s">
        <v>175</v>
      </c>
      <c r="F479" s="21"/>
      <c r="G479" s="27">
        <f t="shared" ref="G479" si="79">G485+G480</f>
        <v>1099.8</v>
      </c>
      <c r="H479" s="205"/>
    </row>
    <row r="480" spans="1:9" ht="31.5" hidden="1">
      <c r="A480" s="26" t="s">
        <v>238</v>
      </c>
      <c r="B480" s="39">
        <v>905</v>
      </c>
      <c r="C480" s="21" t="s">
        <v>287</v>
      </c>
      <c r="D480" s="21" t="s">
        <v>171</v>
      </c>
      <c r="E480" s="21" t="s">
        <v>239</v>
      </c>
      <c r="F480" s="21"/>
      <c r="G480" s="27">
        <f t="shared" ref="G480:G483" si="80">G481</f>
        <v>0</v>
      </c>
      <c r="H480" s="205"/>
    </row>
    <row r="481" spans="1:9" ht="47.25" hidden="1">
      <c r="A481" s="38" t="s">
        <v>446</v>
      </c>
      <c r="B481" s="39">
        <v>905</v>
      </c>
      <c r="C481" s="21" t="s">
        <v>287</v>
      </c>
      <c r="D481" s="21" t="s">
        <v>171</v>
      </c>
      <c r="E481" s="21" t="s">
        <v>447</v>
      </c>
      <c r="F481" s="21"/>
      <c r="G481" s="27">
        <f t="shared" si="80"/>
        <v>0</v>
      </c>
      <c r="H481" s="205"/>
    </row>
    <row r="482" spans="1:9" ht="31.5" hidden="1">
      <c r="A482" s="44" t="s">
        <v>448</v>
      </c>
      <c r="B482" s="39">
        <v>905</v>
      </c>
      <c r="C482" s="21" t="s">
        <v>287</v>
      </c>
      <c r="D482" s="21" t="s">
        <v>171</v>
      </c>
      <c r="E482" s="21" t="s">
        <v>449</v>
      </c>
      <c r="F482" s="21"/>
      <c r="G482" s="27">
        <f t="shared" si="80"/>
        <v>0</v>
      </c>
      <c r="H482" s="205"/>
    </row>
    <row r="483" spans="1:9" ht="31.5" hidden="1">
      <c r="A483" s="26" t="s">
        <v>184</v>
      </c>
      <c r="B483" s="17">
        <v>905</v>
      </c>
      <c r="C483" s="21" t="s">
        <v>287</v>
      </c>
      <c r="D483" s="21" t="s">
        <v>171</v>
      </c>
      <c r="E483" s="21" t="s">
        <v>449</v>
      </c>
      <c r="F483" s="21" t="s">
        <v>185</v>
      </c>
      <c r="G483" s="27">
        <f t="shared" si="80"/>
        <v>0</v>
      </c>
      <c r="H483" s="205"/>
    </row>
    <row r="484" spans="1:9" ht="47.25" hidden="1">
      <c r="A484" s="26" t="s">
        <v>186</v>
      </c>
      <c r="B484" s="17">
        <v>905</v>
      </c>
      <c r="C484" s="21" t="s">
        <v>287</v>
      </c>
      <c r="D484" s="21" t="s">
        <v>171</v>
      </c>
      <c r="E484" s="21" t="s">
        <v>449</v>
      </c>
      <c r="F484" s="21" t="s">
        <v>187</v>
      </c>
      <c r="G484" s="27"/>
      <c r="H484" s="205"/>
    </row>
    <row r="485" spans="1:9" ht="15.75">
      <c r="A485" s="31" t="s">
        <v>194</v>
      </c>
      <c r="B485" s="17">
        <v>905</v>
      </c>
      <c r="C485" s="21" t="s">
        <v>287</v>
      </c>
      <c r="D485" s="21" t="s">
        <v>171</v>
      </c>
      <c r="E485" s="21" t="s">
        <v>195</v>
      </c>
      <c r="F485" s="21"/>
      <c r="G485" s="27">
        <f>G486+G489</f>
        <v>1099.8</v>
      </c>
      <c r="H485" s="205"/>
    </row>
    <row r="486" spans="1:9" ht="31.5">
      <c r="A486" s="31" t="s">
        <v>452</v>
      </c>
      <c r="B486" s="17">
        <v>905</v>
      </c>
      <c r="C486" s="21" t="s">
        <v>287</v>
      </c>
      <c r="D486" s="21" t="s">
        <v>171</v>
      </c>
      <c r="E486" s="21" t="s">
        <v>453</v>
      </c>
      <c r="F486" s="21"/>
      <c r="G486" s="27">
        <f>G487</f>
        <v>260.8</v>
      </c>
      <c r="H486" s="205"/>
    </row>
    <row r="487" spans="1:9" ht="31.5">
      <c r="A487" s="26" t="s">
        <v>184</v>
      </c>
      <c r="B487" s="17">
        <v>905</v>
      </c>
      <c r="C487" s="21" t="s">
        <v>287</v>
      </c>
      <c r="D487" s="21" t="s">
        <v>171</v>
      </c>
      <c r="E487" s="21" t="s">
        <v>453</v>
      </c>
      <c r="F487" s="21" t="s">
        <v>185</v>
      </c>
      <c r="G487" s="27">
        <f t="shared" ref="G487" si="81">G488</f>
        <v>260.8</v>
      </c>
      <c r="H487" s="205"/>
    </row>
    <row r="488" spans="1:9" ht="47.25">
      <c r="A488" s="26" t="s">
        <v>186</v>
      </c>
      <c r="B488" s="17">
        <v>905</v>
      </c>
      <c r="C488" s="21" t="s">
        <v>287</v>
      </c>
      <c r="D488" s="21" t="s">
        <v>171</v>
      </c>
      <c r="E488" s="21" t="s">
        <v>453</v>
      </c>
      <c r="F488" s="21" t="s">
        <v>187</v>
      </c>
      <c r="G488" s="27">
        <v>260.8</v>
      </c>
      <c r="H488" s="205"/>
    </row>
    <row r="489" spans="1:9" ht="15.75">
      <c r="A489" s="31" t="s">
        <v>450</v>
      </c>
      <c r="B489" s="17">
        <v>905</v>
      </c>
      <c r="C489" s="21" t="s">
        <v>287</v>
      </c>
      <c r="D489" s="21" t="s">
        <v>171</v>
      </c>
      <c r="E489" s="21" t="s">
        <v>451</v>
      </c>
      <c r="F489" s="21"/>
      <c r="G489" s="27">
        <f>G490</f>
        <v>839</v>
      </c>
      <c r="H489" s="205"/>
    </row>
    <row r="490" spans="1:9" ht="31.5">
      <c r="A490" s="26" t="s">
        <v>184</v>
      </c>
      <c r="B490" s="17">
        <v>905</v>
      </c>
      <c r="C490" s="21" t="s">
        <v>287</v>
      </c>
      <c r="D490" s="21" t="s">
        <v>171</v>
      </c>
      <c r="E490" s="21" t="s">
        <v>451</v>
      </c>
      <c r="F490" s="21" t="s">
        <v>185</v>
      </c>
      <c r="G490" s="27">
        <f>G491</f>
        <v>839</v>
      </c>
      <c r="H490" s="205"/>
    </row>
    <row r="491" spans="1:9" ht="47.25">
      <c r="A491" s="26" t="s">
        <v>186</v>
      </c>
      <c r="B491" s="17">
        <v>905</v>
      </c>
      <c r="C491" s="21" t="s">
        <v>287</v>
      </c>
      <c r="D491" s="21" t="s">
        <v>171</v>
      </c>
      <c r="E491" s="21" t="s">
        <v>451</v>
      </c>
      <c r="F491" s="21" t="s">
        <v>187</v>
      </c>
      <c r="G491" s="27">
        <v>839</v>
      </c>
      <c r="H491" s="205"/>
      <c r="I491" s="139"/>
    </row>
    <row r="492" spans="1:9" ht="15.75" hidden="1">
      <c r="A492" s="45" t="s">
        <v>296</v>
      </c>
      <c r="B492" s="20">
        <v>905</v>
      </c>
      <c r="C492" s="25" t="s">
        <v>297</v>
      </c>
      <c r="D492" s="25"/>
      <c r="E492" s="25"/>
      <c r="F492" s="25"/>
      <c r="G492" s="22">
        <f t="shared" ref="G492:G496" si="82">G493</f>
        <v>0</v>
      </c>
      <c r="H492" s="205"/>
    </row>
    <row r="493" spans="1:9" ht="15.75" hidden="1">
      <c r="A493" s="24" t="s">
        <v>454</v>
      </c>
      <c r="B493" s="20">
        <v>905</v>
      </c>
      <c r="C493" s="25" t="s">
        <v>297</v>
      </c>
      <c r="D493" s="25" t="s">
        <v>203</v>
      </c>
      <c r="E493" s="25"/>
      <c r="F493" s="25"/>
      <c r="G493" s="22">
        <f t="shared" si="82"/>
        <v>0</v>
      </c>
      <c r="H493" s="205"/>
    </row>
    <row r="494" spans="1:9" ht="31.5" hidden="1">
      <c r="A494" s="26" t="s">
        <v>238</v>
      </c>
      <c r="B494" s="17">
        <v>905</v>
      </c>
      <c r="C494" s="21" t="s">
        <v>297</v>
      </c>
      <c r="D494" s="21" t="s">
        <v>203</v>
      </c>
      <c r="E494" s="21" t="s">
        <v>239</v>
      </c>
      <c r="F494" s="21"/>
      <c r="G494" s="27">
        <f t="shared" si="82"/>
        <v>0</v>
      </c>
      <c r="H494" s="205"/>
    </row>
    <row r="495" spans="1:9" ht="47.25" hidden="1">
      <c r="A495" s="33" t="s">
        <v>455</v>
      </c>
      <c r="B495" s="17">
        <v>905</v>
      </c>
      <c r="C495" s="21" t="s">
        <v>297</v>
      </c>
      <c r="D495" s="21" t="s">
        <v>203</v>
      </c>
      <c r="E495" s="21" t="s">
        <v>456</v>
      </c>
      <c r="F495" s="21"/>
      <c r="G495" s="27">
        <f t="shared" si="82"/>
        <v>0</v>
      </c>
      <c r="H495" s="205"/>
    </row>
    <row r="496" spans="1:9" ht="31.5" hidden="1">
      <c r="A496" s="26" t="s">
        <v>184</v>
      </c>
      <c r="B496" s="17">
        <v>905</v>
      </c>
      <c r="C496" s="21" t="s">
        <v>297</v>
      </c>
      <c r="D496" s="21" t="s">
        <v>203</v>
      </c>
      <c r="E496" s="21" t="s">
        <v>456</v>
      </c>
      <c r="F496" s="21" t="s">
        <v>185</v>
      </c>
      <c r="G496" s="27">
        <f t="shared" si="82"/>
        <v>0</v>
      </c>
      <c r="H496" s="205"/>
    </row>
    <row r="497" spans="1:12" ht="47.25" hidden="1">
      <c r="A497" s="26" t="s">
        <v>186</v>
      </c>
      <c r="B497" s="17">
        <v>905</v>
      </c>
      <c r="C497" s="21" t="s">
        <v>297</v>
      </c>
      <c r="D497" s="21" t="s">
        <v>203</v>
      </c>
      <c r="E497" s="21" t="s">
        <v>456</v>
      </c>
      <c r="F497" s="21" t="s">
        <v>187</v>
      </c>
      <c r="G497" s="27">
        <f>1330-1330</f>
        <v>0</v>
      </c>
      <c r="H497" s="205"/>
      <c r="I497" s="139"/>
    </row>
    <row r="498" spans="1:12" ht="31.5">
      <c r="A498" s="20" t="s">
        <v>457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5"/>
      <c r="L498" s="140"/>
    </row>
    <row r="499" spans="1:12" ht="15.75">
      <c r="A499" s="24" t="s">
        <v>170</v>
      </c>
      <c r="B499" s="20">
        <v>906</v>
      </c>
      <c r="C499" s="25" t="s">
        <v>171</v>
      </c>
      <c r="D499" s="25"/>
      <c r="E499" s="25"/>
      <c r="F499" s="25"/>
      <c r="G499" s="22">
        <f>G500</f>
        <v>5</v>
      </c>
      <c r="H499" s="205"/>
    </row>
    <row r="500" spans="1:12" ht="15.75">
      <c r="A500" s="36" t="s">
        <v>192</v>
      </c>
      <c r="B500" s="20">
        <v>906</v>
      </c>
      <c r="C500" s="25" t="s">
        <v>171</v>
      </c>
      <c r="D500" s="25" t="s">
        <v>193</v>
      </c>
      <c r="E500" s="25"/>
      <c r="F500" s="25"/>
      <c r="G500" s="22">
        <f t="shared" ref="G500:G504" si="83">G501</f>
        <v>5</v>
      </c>
      <c r="H500" s="205"/>
    </row>
    <row r="501" spans="1:12" ht="18" customHeight="1">
      <c r="A501" s="33" t="s">
        <v>174</v>
      </c>
      <c r="B501" s="17">
        <v>906</v>
      </c>
      <c r="C501" s="21" t="s">
        <v>171</v>
      </c>
      <c r="D501" s="21" t="s">
        <v>193</v>
      </c>
      <c r="E501" s="21" t="s">
        <v>175</v>
      </c>
      <c r="F501" s="21"/>
      <c r="G501" s="27">
        <f>G502</f>
        <v>5</v>
      </c>
      <c r="H501" s="205"/>
    </row>
    <row r="502" spans="1:12" ht="15.75">
      <c r="A502" s="33" t="s">
        <v>194</v>
      </c>
      <c r="B502" s="17">
        <v>906</v>
      </c>
      <c r="C502" s="21" t="s">
        <v>171</v>
      </c>
      <c r="D502" s="21" t="s">
        <v>193</v>
      </c>
      <c r="E502" s="21" t="s">
        <v>195</v>
      </c>
      <c r="F502" s="21"/>
      <c r="G502" s="27">
        <f t="shared" si="83"/>
        <v>5</v>
      </c>
      <c r="H502" s="205"/>
    </row>
    <row r="503" spans="1:12" ht="15.75">
      <c r="A503" s="26" t="s">
        <v>232</v>
      </c>
      <c r="B503" s="17">
        <v>906</v>
      </c>
      <c r="C503" s="21" t="s">
        <v>171</v>
      </c>
      <c r="D503" s="21" t="s">
        <v>193</v>
      </c>
      <c r="E503" s="21" t="s">
        <v>258</v>
      </c>
      <c r="F503" s="21"/>
      <c r="G503" s="27">
        <f>G504</f>
        <v>5</v>
      </c>
      <c r="H503" s="205"/>
    </row>
    <row r="504" spans="1:12" ht="31.5">
      <c r="A504" s="26" t="s">
        <v>184</v>
      </c>
      <c r="B504" s="17">
        <v>906</v>
      </c>
      <c r="C504" s="21" t="s">
        <v>171</v>
      </c>
      <c r="D504" s="21" t="s">
        <v>193</v>
      </c>
      <c r="E504" s="21" t="s">
        <v>258</v>
      </c>
      <c r="F504" s="21" t="s">
        <v>185</v>
      </c>
      <c r="G504" s="27">
        <f t="shared" si="83"/>
        <v>5</v>
      </c>
      <c r="H504" s="205"/>
    </row>
    <row r="505" spans="1:12" ht="47.25">
      <c r="A505" s="26" t="s">
        <v>186</v>
      </c>
      <c r="B505" s="17">
        <v>906</v>
      </c>
      <c r="C505" s="21" t="s">
        <v>171</v>
      </c>
      <c r="D505" s="21" t="s">
        <v>193</v>
      </c>
      <c r="E505" s="21" t="s">
        <v>258</v>
      </c>
      <c r="F505" s="21" t="s">
        <v>187</v>
      </c>
      <c r="G505" s="27">
        <v>5</v>
      </c>
      <c r="H505" s="205"/>
    </row>
    <row r="506" spans="1:12" ht="15.75">
      <c r="A506" s="24" t="s">
        <v>316</v>
      </c>
      <c r="B506" s="20">
        <v>906</v>
      </c>
      <c r="C506" s="25" t="s">
        <v>317</v>
      </c>
      <c r="D506" s="25"/>
      <c r="E506" s="25"/>
      <c r="F506" s="25"/>
      <c r="G506" s="22">
        <f>G507+G546+G633+G645+G612</f>
        <v>261516.80000000002</v>
      </c>
      <c r="H506" s="205"/>
    </row>
    <row r="507" spans="1:12" ht="15.75">
      <c r="A507" s="24" t="s">
        <v>458</v>
      </c>
      <c r="B507" s="20">
        <v>906</v>
      </c>
      <c r="C507" s="25" t="s">
        <v>317</v>
      </c>
      <c r="D507" s="25" t="s">
        <v>171</v>
      </c>
      <c r="E507" s="25"/>
      <c r="F507" s="25"/>
      <c r="G507" s="22">
        <f>G508+G526</f>
        <v>84659.4</v>
      </c>
      <c r="H507" s="205"/>
    </row>
    <row r="508" spans="1:12" ht="47.25">
      <c r="A508" s="26" t="s">
        <v>459</v>
      </c>
      <c r="B508" s="17">
        <v>906</v>
      </c>
      <c r="C508" s="21" t="s">
        <v>317</v>
      </c>
      <c r="D508" s="21" t="s">
        <v>171</v>
      </c>
      <c r="E508" s="21" t="s">
        <v>460</v>
      </c>
      <c r="F508" s="21"/>
      <c r="G508" s="27">
        <f t="shared" ref="G508" si="84">G509+G513</f>
        <v>23453.4</v>
      </c>
      <c r="H508" s="205"/>
    </row>
    <row r="509" spans="1:12" ht="47.25">
      <c r="A509" s="26" t="s">
        <v>461</v>
      </c>
      <c r="B509" s="17">
        <v>906</v>
      </c>
      <c r="C509" s="21" t="s">
        <v>317</v>
      </c>
      <c r="D509" s="21" t="s">
        <v>171</v>
      </c>
      <c r="E509" s="21" t="s">
        <v>462</v>
      </c>
      <c r="F509" s="21"/>
      <c r="G509" s="27">
        <f>G510</f>
        <v>15578.400000000001</v>
      </c>
      <c r="H509" s="205"/>
    </row>
    <row r="510" spans="1:12" ht="47.25">
      <c r="A510" s="26" t="s">
        <v>463</v>
      </c>
      <c r="B510" s="17">
        <v>906</v>
      </c>
      <c r="C510" s="21" t="s">
        <v>317</v>
      </c>
      <c r="D510" s="21" t="s">
        <v>171</v>
      </c>
      <c r="E510" s="21" t="s">
        <v>464</v>
      </c>
      <c r="F510" s="21"/>
      <c r="G510" s="27">
        <f t="shared" ref="G510" si="85">G511</f>
        <v>15578.400000000001</v>
      </c>
      <c r="H510" s="205"/>
    </row>
    <row r="511" spans="1:12" ht="47.25">
      <c r="A511" s="26" t="s">
        <v>325</v>
      </c>
      <c r="B511" s="17">
        <v>906</v>
      </c>
      <c r="C511" s="21" t="s">
        <v>317</v>
      </c>
      <c r="D511" s="21" t="s">
        <v>171</v>
      </c>
      <c r="E511" s="21" t="s">
        <v>464</v>
      </c>
      <c r="F511" s="21" t="s">
        <v>326</v>
      </c>
      <c r="G511" s="27">
        <f>G512</f>
        <v>15578.400000000001</v>
      </c>
      <c r="H511" s="205"/>
    </row>
    <row r="512" spans="1:12" ht="15.75">
      <c r="A512" s="26" t="s">
        <v>327</v>
      </c>
      <c r="B512" s="17">
        <v>906</v>
      </c>
      <c r="C512" s="21" t="s">
        <v>317</v>
      </c>
      <c r="D512" s="21" t="s">
        <v>171</v>
      </c>
      <c r="E512" s="21" t="s">
        <v>464</v>
      </c>
      <c r="F512" s="21" t="s">
        <v>328</v>
      </c>
      <c r="G512" s="28">
        <f>17368.2+6858.7-6314-1360.2-974.3</f>
        <v>15578.400000000001</v>
      </c>
      <c r="H512" s="207"/>
      <c r="I512" s="149"/>
    </row>
    <row r="513" spans="1:8" ht="47.25">
      <c r="A513" s="26" t="s">
        <v>465</v>
      </c>
      <c r="B513" s="17">
        <v>906</v>
      </c>
      <c r="C513" s="21" t="s">
        <v>317</v>
      </c>
      <c r="D513" s="21" t="s">
        <v>171</v>
      </c>
      <c r="E513" s="21" t="s">
        <v>466</v>
      </c>
      <c r="F513" s="21"/>
      <c r="G513" s="27">
        <f>G514+G517+G520+G523</f>
        <v>7875</v>
      </c>
      <c r="H513" s="205"/>
    </row>
    <row r="514" spans="1:8" ht="47.25" hidden="1">
      <c r="A514" s="26" t="s">
        <v>331</v>
      </c>
      <c r="B514" s="17">
        <v>906</v>
      </c>
      <c r="C514" s="21" t="s">
        <v>317</v>
      </c>
      <c r="D514" s="21" t="s">
        <v>171</v>
      </c>
      <c r="E514" s="21" t="s">
        <v>467</v>
      </c>
      <c r="F514" s="21"/>
      <c r="G514" s="27">
        <f t="shared" ref="G514:G515" si="86">G515</f>
        <v>0</v>
      </c>
      <c r="H514" s="205"/>
    </row>
    <row r="515" spans="1:8" ht="47.25" hidden="1">
      <c r="A515" s="26" t="s">
        <v>325</v>
      </c>
      <c r="B515" s="17">
        <v>906</v>
      </c>
      <c r="C515" s="21" t="s">
        <v>317</v>
      </c>
      <c r="D515" s="21" t="s">
        <v>171</v>
      </c>
      <c r="E515" s="21" t="s">
        <v>467</v>
      </c>
      <c r="F515" s="21" t="s">
        <v>326</v>
      </c>
      <c r="G515" s="27">
        <f t="shared" si="86"/>
        <v>0</v>
      </c>
      <c r="H515" s="205"/>
    </row>
    <row r="516" spans="1:8" ht="15.75" hidden="1">
      <c r="A516" s="26" t="s">
        <v>327</v>
      </c>
      <c r="B516" s="17">
        <v>906</v>
      </c>
      <c r="C516" s="21" t="s">
        <v>317</v>
      </c>
      <c r="D516" s="21" t="s">
        <v>171</v>
      </c>
      <c r="E516" s="21" t="s">
        <v>467</v>
      </c>
      <c r="F516" s="21" t="s">
        <v>328</v>
      </c>
      <c r="G516" s="27">
        <v>0</v>
      </c>
      <c r="H516" s="205"/>
    </row>
    <row r="517" spans="1:8" ht="31.5">
      <c r="A517" s="26" t="s">
        <v>333</v>
      </c>
      <c r="B517" s="17">
        <v>906</v>
      </c>
      <c r="C517" s="21" t="s">
        <v>317</v>
      </c>
      <c r="D517" s="21" t="s">
        <v>171</v>
      </c>
      <c r="E517" s="21" t="s">
        <v>468</v>
      </c>
      <c r="F517" s="21"/>
      <c r="G517" s="27">
        <f t="shared" ref="G517:G518" si="87">G518</f>
        <v>1145</v>
      </c>
      <c r="H517" s="205"/>
    </row>
    <row r="518" spans="1:8" ht="47.25">
      <c r="A518" s="26" t="s">
        <v>325</v>
      </c>
      <c r="B518" s="17">
        <v>906</v>
      </c>
      <c r="C518" s="21" t="s">
        <v>317</v>
      </c>
      <c r="D518" s="21" t="s">
        <v>171</v>
      </c>
      <c r="E518" s="21" t="s">
        <v>468</v>
      </c>
      <c r="F518" s="21" t="s">
        <v>326</v>
      </c>
      <c r="G518" s="27">
        <f t="shared" si="87"/>
        <v>1145</v>
      </c>
      <c r="H518" s="205"/>
    </row>
    <row r="519" spans="1:8" ht="15.75">
      <c r="A519" s="26" t="s">
        <v>327</v>
      </c>
      <c r="B519" s="17">
        <v>906</v>
      </c>
      <c r="C519" s="21" t="s">
        <v>317</v>
      </c>
      <c r="D519" s="21" t="s">
        <v>171</v>
      </c>
      <c r="E519" s="21" t="s">
        <v>468</v>
      </c>
      <c r="F519" s="21" t="s">
        <v>328</v>
      </c>
      <c r="G519" s="185">
        <f>800+300+45</f>
        <v>1145</v>
      </c>
      <c r="H519" s="192" t="s">
        <v>845</v>
      </c>
    </row>
    <row r="520" spans="1:8" ht="47.25">
      <c r="A520" s="26" t="s">
        <v>469</v>
      </c>
      <c r="B520" s="17">
        <v>906</v>
      </c>
      <c r="C520" s="21" t="s">
        <v>317</v>
      </c>
      <c r="D520" s="21" t="s">
        <v>171</v>
      </c>
      <c r="E520" s="21" t="s">
        <v>470</v>
      </c>
      <c r="F520" s="21"/>
      <c r="G520" s="27">
        <f t="shared" ref="G520" si="88">G521</f>
        <v>6730</v>
      </c>
      <c r="H520" s="205"/>
    </row>
    <row r="521" spans="1:8" ht="47.25">
      <c r="A521" s="26" t="s">
        <v>325</v>
      </c>
      <c r="B521" s="17">
        <v>906</v>
      </c>
      <c r="C521" s="21" t="s">
        <v>317</v>
      </c>
      <c r="D521" s="21" t="s">
        <v>171</v>
      </c>
      <c r="E521" s="21" t="s">
        <v>470</v>
      </c>
      <c r="F521" s="21" t="s">
        <v>326</v>
      </c>
      <c r="G521" s="27">
        <f>G522</f>
        <v>6730</v>
      </c>
      <c r="H521" s="205"/>
    </row>
    <row r="522" spans="1:8" ht="15.75">
      <c r="A522" s="26" t="s">
        <v>327</v>
      </c>
      <c r="B522" s="17">
        <v>906</v>
      </c>
      <c r="C522" s="21" t="s">
        <v>317</v>
      </c>
      <c r="D522" s="21" t="s">
        <v>171</v>
      </c>
      <c r="E522" s="21" t="s">
        <v>470</v>
      </c>
      <c r="F522" s="21" t="s">
        <v>328</v>
      </c>
      <c r="G522" s="28">
        <v>6730</v>
      </c>
      <c r="H522" s="205"/>
    </row>
    <row r="523" spans="1:8" ht="31.5" hidden="1">
      <c r="A523" s="26" t="s">
        <v>337</v>
      </c>
      <c r="B523" s="17">
        <v>906</v>
      </c>
      <c r="C523" s="21" t="s">
        <v>317</v>
      </c>
      <c r="D523" s="21" t="s">
        <v>171</v>
      </c>
      <c r="E523" s="21" t="s">
        <v>471</v>
      </c>
      <c r="F523" s="21"/>
      <c r="G523" s="27">
        <f t="shared" ref="G523:G524" si="89">G524</f>
        <v>0</v>
      </c>
      <c r="H523" s="205"/>
    </row>
    <row r="524" spans="1:8" ht="47.25" hidden="1">
      <c r="A524" s="26" t="s">
        <v>325</v>
      </c>
      <c r="B524" s="17">
        <v>906</v>
      </c>
      <c r="C524" s="21" t="s">
        <v>317</v>
      </c>
      <c r="D524" s="21" t="s">
        <v>171</v>
      </c>
      <c r="E524" s="21" t="s">
        <v>471</v>
      </c>
      <c r="F524" s="21" t="s">
        <v>326</v>
      </c>
      <c r="G524" s="27">
        <f t="shared" si="89"/>
        <v>0</v>
      </c>
      <c r="H524" s="205"/>
    </row>
    <row r="525" spans="1:8" ht="15.75" hidden="1">
      <c r="A525" s="26" t="s">
        <v>327</v>
      </c>
      <c r="B525" s="17">
        <v>906</v>
      </c>
      <c r="C525" s="21" t="s">
        <v>317</v>
      </c>
      <c r="D525" s="21" t="s">
        <v>171</v>
      </c>
      <c r="E525" s="21" t="s">
        <v>471</v>
      </c>
      <c r="F525" s="21" t="s">
        <v>328</v>
      </c>
      <c r="G525" s="27">
        <v>0</v>
      </c>
      <c r="H525" s="205"/>
    </row>
    <row r="526" spans="1:8" ht="15.75">
      <c r="A526" s="26" t="s">
        <v>174</v>
      </c>
      <c r="B526" s="17">
        <v>906</v>
      </c>
      <c r="C526" s="21" t="s">
        <v>317</v>
      </c>
      <c r="D526" s="21" t="s">
        <v>171</v>
      </c>
      <c r="E526" s="21" t="s">
        <v>175</v>
      </c>
      <c r="F526" s="21"/>
      <c r="G526" s="27">
        <f>G527</f>
        <v>61206</v>
      </c>
      <c r="H526" s="205"/>
    </row>
    <row r="527" spans="1:8" ht="31.5">
      <c r="A527" s="26" t="s">
        <v>238</v>
      </c>
      <c r="B527" s="17">
        <v>906</v>
      </c>
      <c r="C527" s="21" t="s">
        <v>317</v>
      </c>
      <c r="D527" s="21" t="s">
        <v>171</v>
      </c>
      <c r="E527" s="21" t="s">
        <v>239</v>
      </c>
      <c r="F527" s="21"/>
      <c r="G527" s="27">
        <f t="shared" ref="G527" si="90">G528+G531+G534+G537+G540+G543</f>
        <v>61206</v>
      </c>
      <c r="H527" s="205"/>
    </row>
    <row r="528" spans="1:8" ht="31.5" hidden="1">
      <c r="A528" s="26" t="s">
        <v>472</v>
      </c>
      <c r="B528" s="17">
        <v>906</v>
      </c>
      <c r="C528" s="21" t="s">
        <v>317</v>
      </c>
      <c r="D528" s="21" t="s">
        <v>171</v>
      </c>
      <c r="E528" s="21" t="s">
        <v>473</v>
      </c>
      <c r="F528" s="21"/>
      <c r="G528" s="27">
        <f t="shared" ref="G528:G529" si="91">G529</f>
        <v>0</v>
      </c>
      <c r="H528" s="205"/>
    </row>
    <row r="529" spans="1:9" ht="47.25" hidden="1">
      <c r="A529" s="26" t="s">
        <v>325</v>
      </c>
      <c r="B529" s="17">
        <v>906</v>
      </c>
      <c r="C529" s="21" t="s">
        <v>317</v>
      </c>
      <c r="D529" s="21" t="s">
        <v>171</v>
      </c>
      <c r="E529" s="21" t="s">
        <v>473</v>
      </c>
      <c r="F529" s="21" t="s">
        <v>326</v>
      </c>
      <c r="G529" s="27">
        <f t="shared" si="91"/>
        <v>0</v>
      </c>
      <c r="H529" s="205"/>
    </row>
    <row r="530" spans="1:9" ht="15.75" hidden="1">
      <c r="A530" s="26" t="s">
        <v>327</v>
      </c>
      <c r="B530" s="17">
        <v>906</v>
      </c>
      <c r="C530" s="21" t="s">
        <v>317</v>
      </c>
      <c r="D530" s="21" t="s">
        <v>171</v>
      </c>
      <c r="E530" s="21" t="s">
        <v>473</v>
      </c>
      <c r="F530" s="21" t="s">
        <v>328</v>
      </c>
      <c r="G530" s="27"/>
      <c r="H530" s="205"/>
    </row>
    <row r="531" spans="1:9" ht="63">
      <c r="A531" s="33" t="s">
        <v>342</v>
      </c>
      <c r="B531" s="17">
        <v>906</v>
      </c>
      <c r="C531" s="21" t="s">
        <v>317</v>
      </c>
      <c r="D531" s="21" t="s">
        <v>171</v>
      </c>
      <c r="E531" s="21" t="s">
        <v>343</v>
      </c>
      <c r="F531" s="21"/>
      <c r="G531" s="27">
        <f>G532</f>
        <v>310.2</v>
      </c>
      <c r="H531" s="205"/>
    </row>
    <row r="532" spans="1:9" ht="47.25">
      <c r="A532" s="26" t="s">
        <v>325</v>
      </c>
      <c r="B532" s="17">
        <v>906</v>
      </c>
      <c r="C532" s="21" t="s">
        <v>317</v>
      </c>
      <c r="D532" s="21" t="s">
        <v>171</v>
      </c>
      <c r="E532" s="21" t="s">
        <v>343</v>
      </c>
      <c r="F532" s="21" t="s">
        <v>326</v>
      </c>
      <c r="G532" s="27">
        <f t="shared" ref="G532" si="92">G533</f>
        <v>310.2</v>
      </c>
      <c r="H532" s="205"/>
    </row>
    <row r="533" spans="1:9" ht="15.75">
      <c r="A533" s="26" t="s">
        <v>327</v>
      </c>
      <c r="B533" s="17">
        <v>906</v>
      </c>
      <c r="C533" s="21" t="s">
        <v>317</v>
      </c>
      <c r="D533" s="21" t="s">
        <v>171</v>
      </c>
      <c r="E533" s="21" t="s">
        <v>343</v>
      </c>
      <c r="F533" s="21" t="s">
        <v>328</v>
      </c>
      <c r="G533" s="27">
        <f>416.2-106</f>
        <v>310.2</v>
      </c>
      <c r="H533" s="205"/>
      <c r="I533" s="139"/>
    </row>
    <row r="534" spans="1:9" ht="78.75">
      <c r="A534" s="33" t="s">
        <v>474</v>
      </c>
      <c r="B534" s="17">
        <v>906</v>
      </c>
      <c r="C534" s="21" t="s">
        <v>317</v>
      </c>
      <c r="D534" s="21" t="s">
        <v>171</v>
      </c>
      <c r="E534" s="21" t="s">
        <v>345</v>
      </c>
      <c r="F534" s="21"/>
      <c r="G534" s="27">
        <f t="shared" ref="G534" si="93">G535</f>
        <v>1696.8</v>
      </c>
      <c r="H534" s="205"/>
    </row>
    <row r="535" spans="1:9" ht="47.25">
      <c r="A535" s="26" t="s">
        <v>325</v>
      </c>
      <c r="B535" s="17">
        <v>906</v>
      </c>
      <c r="C535" s="21" t="s">
        <v>317</v>
      </c>
      <c r="D535" s="21" t="s">
        <v>171</v>
      </c>
      <c r="E535" s="21" t="s">
        <v>345</v>
      </c>
      <c r="F535" s="21" t="s">
        <v>326</v>
      </c>
      <c r="G535" s="27">
        <f>G536</f>
        <v>1696.8</v>
      </c>
      <c r="H535" s="205"/>
    </row>
    <row r="536" spans="1:9" ht="15.75">
      <c r="A536" s="26" t="s">
        <v>327</v>
      </c>
      <c r="B536" s="17">
        <v>906</v>
      </c>
      <c r="C536" s="21" t="s">
        <v>317</v>
      </c>
      <c r="D536" s="21" t="s">
        <v>171</v>
      </c>
      <c r="E536" s="21" t="s">
        <v>345</v>
      </c>
      <c r="F536" s="21" t="s">
        <v>328</v>
      </c>
      <c r="G536" s="27">
        <f>1900-203.2</f>
        <v>1696.8</v>
      </c>
      <c r="H536" s="205"/>
      <c r="I536" s="139"/>
    </row>
    <row r="537" spans="1:9" ht="94.5">
      <c r="A537" s="33" t="s">
        <v>475</v>
      </c>
      <c r="B537" s="17">
        <v>906</v>
      </c>
      <c r="C537" s="21" t="s">
        <v>317</v>
      </c>
      <c r="D537" s="21" t="s">
        <v>171</v>
      </c>
      <c r="E537" s="21" t="s">
        <v>476</v>
      </c>
      <c r="F537" s="21"/>
      <c r="G537" s="27">
        <f>G538</f>
        <v>56320</v>
      </c>
      <c r="H537" s="205"/>
    </row>
    <row r="538" spans="1:9" ht="47.25">
      <c r="A538" s="26" t="s">
        <v>325</v>
      </c>
      <c r="B538" s="17">
        <v>906</v>
      </c>
      <c r="C538" s="21" t="s">
        <v>317</v>
      </c>
      <c r="D538" s="21" t="s">
        <v>171</v>
      </c>
      <c r="E538" s="21" t="s">
        <v>476</v>
      </c>
      <c r="F538" s="21" t="s">
        <v>326</v>
      </c>
      <c r="G538" s="27">
        <f t="shared" ref="G538" si="94">G539</f>
        <v>56320</v>
      </c>
      <c r="H538" s="205"/>
    </row>
    <row r="539" spans="1:9" ht="15.75">
      <c r="A539" s="26" t="s">
        <v>327</v>
      </c>
      <c r="B539" s="17">
        <v>906</v>
      </c>
      <c r="C539" s="21" t="s">
        <v>317</v>
      </c>
      <c r="D539" s="21" t="s">
        <v>171</v>
      </c>
      <c r="E539" s="21" t="s">
        <v>476</v>
      </c>
      <c r="F539" s="21" t="s">
        <v>328</v>
      </c>
      <c r="G539" s="28">
        <f>66162.2-7643.6-2198.6</f>
        <v>56320</v>
      </c>
      <c r="H539" s="130"/>
      <c r="I539" s="139"/>
    </row>
    <row r="540" spans="1:9" ht="110.25">
      <c r="A540" s="33" t="s">
        <v>346</v>
      </c>
      <c r="B540" s="17">
        <v>906</v>
      </c>
      <c r="C540" s="21" t="s">
        <v>317</v>
      </c>
      <c r="D540" s="21" t="s">
        <v>171</v>
      </c>
      <c r="E540" s="21" t="s">
        <v>347</v>
      </c>
      <c r="F540" s="21"/>
      <c r="G540" s="27">
        <f t="shared" ref="G540" si="95">G541</f>
        <v>2879</v>
      </c>
      <c r="H540" s="205"/>
    </row>
    <row r="541" spans="1:9" ht="47.25">
      <c r="A541" s="26" t="s">
        <v>325</v>
      </c>
      <c r="B541" s="17">
        <v>906</v>
      </c>
      <c r="C541" s="21" t="s">
        <v>317</v>
      </c>
      <c r="D541" s="21" t="s">
        <v>171</v>
      </c>
      <c r="E541" s="21" t="s">
        <v>347</v>
      </c>
      <c r="F541" s="21" t="s">
        <v>326</v>
      </c>
      <c r="G541" s="27">
        <f>G542</f>
        <v>2879</v>
      </c>
      <c r="H541" s="205"/>
    </row>
    <row r="542" spans="1:9" ht="15.75">
      <c r="A542" s="26" t="s">
        <v>327</v>
      </c>
      <c r="B542" s="17">
        <v>906</v>
      </c>
      <c r="C542" s="21" t="s">
        <v>317</v>
      </c>
      <c r="D542" s="21" t="s">
        <v>171</v>
      </c>
      <c r="E542" s="21" t="s">
        <v>347</v>
      </c>
      <c r="F542" s="21" t="s">
        <v>328</v>
      </c>
      <c r="G542" s="28">
        <f>2937.2-58.2</f>
        <v>2879</v>
      </c>
      <c r="H542" s="205"/>
      <c r="I542" s="139"/>
    </row>
    <row r="543" spans="1:9" ht="157.5" hidden="1">
      <c r="A543" s="26" t="s">
        <v>477</v>
      </c>
      <c r="B543" s="17">
        <v>906</v>
      </c>
      <c r="C543" s="21" t="s">
        <v>317</v>
      </c>
      <c r="D543" s="21" t="s">
        <v>171</v>
      </c>
      <c r="E543" s="21" t="s">
        <v>478</v>
      </c>
      <c r="F543" s="21"/>
      <c r="G543" s="28">
        <f t="shared" ref="G543:G544" si="96">G544</f>
        <v>0</v>
      </c>
      <c r="H543" s="205"/>
    </row>
    <row r="544" spans="1:9" ht="47.25" hidden="1">
      <c r="A544" s="26" t="s">
        <v>325</v>
      </c>
      <c r="B544" s="17">
        <v>906</v>
      </c>
      <c r="C544" s="21" t="s">
        <v>317</v>
      </c>
      <c r="D544" s="21" t="s">
        <v>171</v>
      </c>
      <c r="E544" s="21" t="s">
        <v>478</v>
      </c>
      <c r="F544" s="21" t="s">
        <v>326</v>
      </c>
      <c r="G544" s="28">
        <f t="shared" si="96"/>
        <v>0</v>
      </c>
      <c r="H544" s="205"/>
    </row>
    <row r="545" spans="1:9" ht="15.75" hidden="1">
      <c r="A545" s="26" t="s">
        <v>327</v>
      </c>
      <c r="B545" s="17">
        <v>906</v>
      </c>
      <c r="C545" s="21" t="s">
        <v>317</v>
      </c>
      <c r="D545" s="21" t="s">
        <v>171</v>
      </c>
      <c r="E545" s="21" t="s">
        <v>478</v>
      </c>
      <c r="F545" s="21" t="s">
        <v>328</v>
      </c>
      <c r="G545" s="28">
        <f>276.5-276.5</f>
        <v>0</v>
      </c>
      <c r="H545" s="205"/>
      <c r="I545" s="139"/>
    </row>
    <row r="546" spans="1:9" ht="15.75">
      <c r="A546" s="24" t="s">
        <v>479</v>
      </c>
      <c r="B546" s="20">
        <v>906</v>
      </c>
      <c r="C546" s="25" t="s">
        <v>317</v>
      </c>
      <c r="D546" s="25" t="s">
        <v>266</v>
      </c>
      <c r="E546" s="25"/>
      <c r="F546" s="25"/>
      <c r="G546" s="22">
        <f>G547+G580</f>
        <v>130684.4</v>
      </c>
      <c r="H546" s="205"/>
    </row>
    <row r="547" spans="1:9" ht="47.25">
      <c r="A547" s="26" t="s">
        <v>480</v>
      </c>
      <c r="B547" s="17">
        <v>906</v>
      </c>
      <c r="C547" s="21" t="s">
        <v>317</v>
      </c>
      <c r="D547" s="21" t="s">
        <v>266</v>
      </c>
      <c r="E547" s="21" t="s">
        <v>460</v>
      </c>
      <c r="F547" s="21"/>
      <c r="G547" s="27">
        <f>G548+G552</f>
        <v>40826.6</v>
      </c>
      <c r="H547" s="205"/>
    </row>
    <row r="548" spans="1:9" ht="47.25">
      <c r="A548" s="26" t="s">
        <v>461</v>
      </c>
      <c r="B548" s="17">
        <v>906</v>
      </c>
      <c r="C548" s="21" t="s">
        <v>317</v>
      </c>
      <c r="D548" s="21" t="s">
        <v>266</v>
      </c>
      <c r="E548" s="21" t="s">
        <v>462</v>
      </c>
      <c r="F548" s="21"/>
      <c r="G548" s="27">
        <f>G549</f>
        <v>34151.199999999997</v>
      </c>
      <c r="H548" s="205"/>
    </row>
    <row r="549" spans="1:9" ht="47.25">
      <c r="A549" s="26" t="s">
        <v>481</v>
      </c>
      <c r="B549" s="17">
        <v>906</v>
      </c>
      <c r="C549" s="21" t="s">
        <v>317</v>
      </c>
      <c r="D549" s="21" t="s">
        <v>266</v>
      </c>
      <c r="E549" s="21" t="s">
        <v>482</v>
      </c>
      <c r="F549" s="21"/>
      <c r="G549" s="27">
        <f t="shared" ref="G549" si="97">G550</f>
        <v>34151.199999999997</v>
      </c>
      <c r="H549" s="205"/>
    </row>
    <row r="550" spans="1:9" ht="47.25">
      <c r="A550" s="26" t="s">
        <v>325</v>
      </c>
      <c r="B550" s="17">
        <v>906</v>
      </c>
      <c r="C550" s="21" t="s">
        <v>317</v>
      </c>
      <c r="D550" s="21" t="s">
        <v>266</v>
      </c>
      <c r="E550" s="21" t="s">
        <v>482</v>
      </c>
      <c r="F550" s="21" t="s">
        <v>326</v>
      </c>
      <c r="G550" s="27">
        <f>G551</f>
        <v>34151.199999999997</v>
      </c>
      <c r="H550" s="205"/>
    </row>
    <row r="551" spans="1:9" ht="15.75">
      <c r="A551" s="26" t="s">
        <v>327</v>
      </c>
      <c r="B551" s="17">
        <v>906</v>
      </c>
      <c r="C551" s="21" t="s">
        <v>317</v>
      </c>
      <c r="D551" s="21" t="s">
        <v>266</v>
      </c>
      <c r="E551" s="21" t="s">
        <v>482</v>
      </c>
      <c r="F551" s="21" t="s">
        <v>328</v>
      </c>
      <c r="G551" s="28">
        <f>21817.5+13206.2-481.7+562.6-953.4</f>
        <v>34151.199999999997</v>
      </c>
      <c r="H551" s="207"/>
      <c r="I551" s="149"/>
    </row>
    <row r="552" spans="1:9" ht="31.5">
      <c r="A552" s="26" t="s">
        <v>484</v>
      </c>
      <c r="B552" s="17">
        <v>906</v>
      </c>
      <c r="C552" s="21" t="s">
        <v>317</v>
      </c>
      <c r="D552" s="21" t="s">
        <v>266</v>
      </c>
      <c r="E552" s="21" t="s">
        <v>485</v>
      </c>
      <c r="F552" s="21"/>
      <c r="G552" s="27">
        <f>G558+G574+G571+G577+G568+G553+G559+G562+G565</f>
        <v>6675.4</v>
      </c>
      <c r="H552" s="205"/>
    </row>
    <row r="553" spans="1:9" ht="63" hidden="1">
      <c r="A553" s="26" t="s">
        <v>486</v>
      </c>
      <c r="B553" s="17">
        <v>906</v>
      </c>
      <c r="C553" s="21" t="s">
        <v>317</v>
      </c>
      <c r="D553" s="21" t="s">
        <v>266</v>
      </c>
      <c r="E553" s="21" t="s">
        <v>487</v>
      </c>
      <c r="F553" s="21"/>
      <c r="G553" s="27">
        <f t="shared" ref="G553:G554" si="98">G554</f>
        <v>0</v>
      </c>
      <c r="H553" s="205"/>
    </row>
    <row r="554" spans="1:9" ht="47.25" hidden="1">
      <c r="A554" s="26" t="s">
        <v>325</v>
      </c>
      <c r="B554" s="17">
        <v>906</v>
      </c>
      <c r="C554" s="21" t="s">
        <v>317</v>
      </c>
      <c r="D554" s="21" t="s">
        <v>266</v>
      </c>
      <c r="E554" s="21" t="s">
        <v>487</v>
      </c>
      <c r="F554" s="21" t="s">
        <v>326</v>
      </c>
      <c r="G554" s="27">
        <f t="shared" si="98"/>
        <v>0</v>
      </c>
      <c r="H554" s="205"/>
    </row>
    <row r="555" spans="1:9" ht="15.75" hidden="1">
      <c r="A555" s="26" t="s">
        <v>327</v>
      </c>
      <c r="B555" s="17">
        <v>906</v>
      </c>
      <c r="C555" s="21" t="s">
        <v>317</v>
      </c>
      <c r="D555" s="21" t="s">
        <v>266</v>
      </c>
      <c r="E555" s="21" t="s">
        <v>487</v>
      </c>
      <c r="F555" s="21" t="s">
        <v>328</v>
      </c>
      <c r="G555" s="27">
        <v>0</v>
      </c>
      <c r="H555" s="205"/>
    </row>
    <row r="556" spans="1:9" ht="48.75" hidden="1" customHeight="1">
      <c r="A556" s="26" t="s">
        <v>488</v>
      </c>
      <c r="B556" s="17">
        <v>906</v>
      </c>
      <c r="C556" s="21" t="s">
        <v>317</v>
      </c>
      <c r="D556" s="21" t="s">
        <v>266</v>
      </c>
      <c r="E556" s="21" t="s">
        <v>489</v>
      </c>
      <c r="F556" s="21"/>
      <c r="G556" s="27">
        <f t="shared" ref="G556:G557" si="99">G557</f>
        <v>0</v>
      </c>
      <c r="H556" s="205"/>
    </row>
    <row r="557" spans="1:9" ht="47.25" hidden="1">
      <c r="A557" s="26" t="s">
        <v>325</v>
      </c>
      <c r="B557" s="17">
        <v>906</v>
      </c>
      <c r="C557" s="21" t="s">
        <v>317</v>
      </c>
      <c r="D557" s="21" t="s">
        <v>266</v>
      </c>
      <c r="E557" s="21" t="s">
        <v>489</v>
      </c>
      <c r="F557" s="21" t="s">
        <v>326</v>
      </c>
      <c r="G557" s="27">
        <f t="shared" si="99"/>
        <v>0</v>
      </c>
      <c r="H557" s="205"/>
    </row>
    <row r="558" spans="1:9" ht="15.75" hidden="1">
      <c r="A558" s="26" t="s">
        <v>327</v>
      </c>
      <c r="B558" s="17">
        <v>906</v>
      </c>
      <c r="C558" s="21" t="s">
        <v>317</v>
      </c>
      <c r="D558" s="21" t="s">
        <v>266</v>
      </c>
      <c r="E558" s="21" t="s">
        <v>489</v>
      </c>
      <c r="F558" s="21" t="s">
        <v>328</v>
      </c>
      <c r="G558" s="27">
        <v>0</v>
      </c>
      <c r="H558" s="205"/>
    </row>
    <row r="559" spans="1:9" ht="63">
      <c r="A559" s="26" t="s">
        <v>490</v>
      </c>
      <c r="B559" s="17">
        <v>906</v>
      </c>
      <c r="C559" s="21" t="s">
        <v>317</v>
      </c>
      <c r="D559" s="21" t="s">
        <v>266</v>
      </c>
      <c r="E559" s="21" t="s">
        <v>491</v>
      </c>
      <c r="F559" s="21"/>
      <c r="G559" s="27">
        <f>G560</f>
        <v>2690</v>
      </c>
      <c r="H559" s="205"/>
    </row>
    <row r="560" spans="1:9" ht="47.25">
      <c r="A560" s="26" t="s">
        <v>325</v>
      </c>
      <c r="B560" s="17">
        <v>906</v>
      </c>
      <c r="C560" s="21" t="s">
        <v>317</v>
      </c>
      <c r="D560" s="21" t="s">
        <v>266</v>
      </c>
      <c r="E560" s="21" t="s">
        <v>491</v>
      </c>
      <c r="F560" s="21" t="s">
        <v>326</v>
      </c>
      <c r="G560" s="27">
        <f t="shared" ref="G560" si="100">G561</f>
        <v>2690</v>
      </c>
      <c r="H560" s="205"/>
    </row>
    <row r="561" spans="1:8" ht="15.75">
      <c r="A561" s="26" t="s">
        <v>327</v>
      </c>
      <c r="B561" s="17">
        <v>906</v>
      </c>
      <c r="C561" s="21" t="s">
        <v>317</v>
      </c>
      <c r="D561" s="21" t="s">
        <v>266</v>
      </c>
      <c r="E561" s="21" t="s">
        <v>491</v>
      </c>
      <c r="F561" s="21" t="s">
        <v>328</v>
      </c>
      <c r="G561" s="28">
        <f>3010-320</f>
        <v>2690</v>
      </c>
      <c r="H561" s="205"/>
    </row>
    <row r="562" spans="1:8" ht="63">
      <c r="A562" s="26" t="s">
        <v>492</v>
      </c>
      <c r="B562" s="17">
        <v>906</v>
      </c>
      <c r="C562" s="21" t="s">
        <v>317</v>
      </c>
      <c r="D562" s="21" t="s">
        <v>266</v>
      </c>
      <c r="E562" s="21" t="s">
        <v>493</v>
      </c>
      <c r="F562" s="21"/>
      <c r="G562" s="27">
        <f t="shared" ref="G562" si="101">G563</f>
        <v>320</v>
      </c>
      <c r="H562" s="205"/>
    </row>
    <row r="563" spans="1:8" ht="47.25">
      <c r="A563" s="26" t="s">
        <v>325</v>
      </c>
      <c r="B563" s="17">
        <v>906</v>
      </c>
      <c r="C563" s="21" t="s">
        <v>317</v>
      </c>
      <c r="D563" s="21" t="s">
        <v>266</v>
      </c>
      <c r="E563" s="21" t="s">
        <v>493</v>
      </c>
      <c r="F563" s="21" t="s">
        <v>326</v>
      </c>
      <c r="G563" s="27">
        <f>G564</f>
        <v>320</v>
      </c>
      <c r="H563" s="205"/>
    </row>
    <row r="564" spans="1:8" ht="15.75">
      <c r="A564" s="26" t="s">
        <v>327</v>
      </c>
      <c r="B564" s="17">
        <v>906</v>
      </c>
      <c r="C564" s="21" t="s">
        <v>317</v>
      </c>
      <c r="D564" s="21" t="s">
        <v>266</v>
      </c>
      <c r="E564" s="21" t="s">
        <v>493</v>
      </c>
      <c r="F564" s="21" t="s">
        <v>328</v>
      </c>
      <c r="G564" s="27">
        <v>320</v>
      </c>
      <c r="H564" s="205"/>
    </row>
    <row r="565" spans="1:8" ht="47.25" hidden="1">
      <c r="A565" s="26" t="s">
        <v>494</v>
      </c>
      <c r="B565" s="17">
        <v>906</v>
      </c>
      <c r="C565" s="21" t="s">
        <v>317</v>
      </c>
      <c r="D565" s="21" t="s">
        <v>266</v>
      </c>
      <c r="E565" s="21" t="s">
        <v>495</v>
      </c>
      <c r="F565" s="21"/>
      <c r="G565" s="27">
        <f t="shared" ref="G565:G566" si="102">G566</f>
        <v>0</v>
      </c>
      <c r="H565" s="205"/>
    </row>
    <row r="566" spans="1:8" ht="47.25" hidden="1">
      <c r="A566" s="26" t="s">
        <v>325</v>
      </c>
      <c r="B566" s="17">
        <v>906</v>
      </c>
      <c r="C566" s="21" t="s">
        <v>317</v>
      </c>
      <c r="D566" s="21" t="s">
        <v>266</v>
      </c>
      <c r="E566" s="21" t="s">
        <v>495</v>
      </c>
      <c r="F566" s="21" t="s">
        <v>326</v>
      </c>
      <c r="G566" s="27">
        <f t="shared" si="102"/>
        <v>0</v>
      </c>
      <c r="H566" s="205"/>
    </row>
    <row r="567" spans="1:8" ht="15.75" hidden="1">
      <c r="A567" s="26" t="s">
        <v>327</v>
      </c>
      <c r="B567" s="17">
        <v>906</v>
      </c>
      <c r="C567" s="21" t="s">
        <v>317</v>
      </c>
      <c r="D567" s="21" t="s">
        <v>266</v>
      </c>
      <c r="E567" s="21" t="s">
        <v>495</v>
      </c>
      <c r="F567" s="21" t="s">
        <v>328</v>
      </c>
      <c r="G567" s="27">
        <v>0</v>
      </c>
      <c r="H567" s="205"/>
    </row>
    <row r="568" spans="1:8" ht="47.25">
      <c r="A568" s="26" t="s">
        <v>331</v>
      </c>
      <c r="B568" s="17">
        <v>906</v>
      </c>
      <c r="C568" s="21" t="s">
        <v>317</v>
      </c>
      <c r="D568" s="21" t="s">
        <v>266</v>
      </c>
      <c r="E568" s="21" t="s">
        <v>496</v>
      </c>
      <c r="F568" s="21"/>
      <c r="G568" s="27">
        <f t="shared" ref="G568:G569" si="103">G569</f>
        <v>3309</v>
      </c>
      <c r="H568" s="205"/>
    </row>
    <row r="569" spans="1:8" ht="47.25">
      <c r="A569" s="26" t="s">
        <v>325</v>
      </c>
      <c r="B569" s="17">
        <v>906</v>
      </c>
      <c r="C569" s="21" t="s">
        <v>317</v>
      </c>
      <c r="D569" s="21" t="s">
        <v>266</v>
      </c>
      <c r="E569" s="21" t="s">
        <v>496</v>
      </c>
      <c r="F569" s="21" t="s">
        <v>326</v>
      </c>
      <c r="G569" s="27">
        <f t="shared" si="103"/>
        <v>3309</v>
      </c>
      <c r="H569" s="205"/>
    </row>
    <row r="570" spans="1:8" ht="15.75">
      <c r="A570" s="26" t="s">
        <v>327</v>
      </c>
      <c r="B570" s="17">
        <v>906</v>
      </c>
      <c r="C570" s="21" t="s">
        <v>317</v>
      </c>
      <c r="D570" s="21" t="s">
        <v>266</v>
      </c>
      <c r="E570" s="21" t="s">
        <v>496</v>
      </c>
      <c r="F570" s="21" t="s">
        <v>328</v>
      </c>
      <c r="G570" s="27">
        <f>341+2968</f>
        <v>3309</v>
      </c>
      <c r="H570" s="144"/>
    </row>
    <row r="571" spans="1:8" ht="31.5" hidden="1">
      <c r="A571" s="26" t="s">
        <v>333</v>
      </c>
      <c r="B571" s="17">
        <v>906</v>
      </c>
      <c r="C571" s="21" t="s">
        <v>317</v>
      </c>
      <c r="D571" s="21" t="s">
        <v>266</v>
      </c>
      <c r="E571" s="21" t="s">
        <v>497</v>
      </c>
      <c r="F571" s="21"/>
      <c r="G571" s="27">
        <f t="shared" ref="G571:G572" si="104">G572</f>
        <v>0</v>
      </c>
      <c r="H571" s="205"/>
    </row>
    <row r="572" spans="1:8" ht="47.25" hidden="1">
      <c r="A572" s="26" t="s">
        <v>325</v>
      </c>
      <c r="B572" s="17">
        <v>906</v>
      </c>
      <c r="C572" s="21" t="s">
        <v>317</v>
      </c>
      <c r="D572" s="21" t="s">
        <v>266</v>
      </c>
      <c r="E572" s="21" t="s">
        <v>497</v>
      </c>
      <c r="F572" s="21" t="s">
        <v>326</v>
      </c>
      <c r="G572" s="27">
        <f t="shared" si="104"/>
        <v>0</v>
      </c>
      <c r="H572" s="205"/>
    </row>
    <row r="573" spans="1:8" ht="15.75" hidden="1">
      <c r="A573" s="26" t="s">
        <v>327</v>
      </c>
      <c r="B573" s="17">
        <v>906</v>
      </c>
      <c r="C573" s="21" t="s">
        <v>317</v>
      </c>
      <c r="D573" s="21" t="s">
        <v>266</v>
      </c>
      <c r="E573" s="21" t="s">
        <v>497</v>
      </c>
      <c r="F573" s="21" t="s">
        <v>328</v>
      </c>
      <c r="G573" s="27">
        <v>0</v>
      </c>
      <c r="H573" s="205"/>
    </row>
    <row r="574" spans="1:8" ht="47.25">
      <c r="A574" s="26" t="s">
        <v>335</v>
      </c>
      <c r="B574" s="17">
        <v>906</v>
      </c>
      <c r="C574" s="21" t="s">
        <v>317</v>
      </c>
      <c r="D574" s="21" t="s">
        <v>266</v>
      </c>
      <c r="E574" s="21" t="s">
        <v>498</v>
      </c>
      <c r="F574" s="21"/>
      <c r="G574" s="27">
        <f>G575</f>
        <v>127</v>
      </c>
      <c r="H574" s="205"/>
    </row>
    <row r="575" spans="1:8" ht="47.25">
      <c r="A575" s="26" t="s">
        <v>325</v>
      </c>
      <c r="B575" s="17">
        <v>906</v>
      </c>
      <c r="C575" s="21" t="s">
        <v>317</v>
      </c>
      <c r="D575" s="21" t="s">
        <v>266</v>
      </c>
      <c r="E575" s="21" t="s">
        <v>498</v>
      </c>
      <c r="F575" s="21" t="s">
        <v>326</v>
      </c>
      <c r="G575" s="27">
        <f t="shared" ref="G575" si="105">G576</f>
        <v>127</v>
      </c>
      <c r="H575" s="205"/>
    </row>
    <row r="576" spans="1:8" ht="15.75">
      <c r="A576" s="26" t="s">
        <v>327</v>
      </c>
      <c r="B576" s="17">
        <v>906</v>
      </c>
      <c r="C576" s="21" t="s">
        <v>317</v>
      </c>
      <c r="D576" s="21" t="s">
        <v>266</v>
      </c>
      <c r="E576" s="21" t="s">
        <v>498</v>
      </c>
      <c r="F576" s="21" t="s">
        <v>328</v>
      </c>
      <c r="G576" s="27">
        <v>127</v>
      </c>
      <c r="H576" s="205"/>
    </row>
    <row r="577" spans="1:12" ht="31.5">
      <c r="A577" s="26" t="s">
        <v>337</v>
      </c>
      <c r="B577" s="17">
        <v>906</v>
      </c>
      <c r="C577" s="21" t="s">
        <v>317</v>
      </c>
      <c r="D577" s="21" t="s">
        <v>266</v>
      </c>
      <c r="E577" s="21" t="s">
        <v>499</v>
      </c>
      <c r="F577" s="21"/>
      <c r="G577" s="27">
        <f t="shared" ref="G577:G578" si="106">G578</f>
        <v>229.4</v>
      </c>
      <c r="H577" s="205"/>
    </row>
    <row r="578" spans="1:12" ht="47.25">
      <c r="A578" s="26" t="s">
        <v>325</v>
      </c>
      <c r="B578" s="17">
        <v>906</v>
      </c>
      <c r="C578" s="21" t="s">
        <v>317</v>
      </c>
      <c r="D578" s="21" t="s">
        <v>266</v>
      </c>
      <c r="E578" s="21" t="s">
        <v>499</v>
      </c>
      <c r="F578" s="21" t="s">
        <v>326</v>
      </c>
      <c r="G578" s="27">
        <f t="shared" si="106"/>
        <v>229.4</v>
      </c>
      <c r="H578" s="205"/>
    </row>
    <row r="579" spans="1:12" ht="15.75">
      <c r="A579" s="26" t="s">
        <v>327</v>
      </c>
      <c r="B579" s="17">
        <v>906</v>
      </c>
      <c r="C579" s="21" t="s">
        <v>317</v>
      </c>
      <c r="D579" s="21" t="s">
        <v>266</v>
      </c>
      <c r="E579" s="21" t="s">
        <v>499</v>
      </c>
      <c r="F579" s="21" t="s">
        <v>328</v>
      </c>
      <c r="G579" s="27">
        <v>229.4</v>
      </c>
      <c r="H579" s="130"/>
      <c r="I579" s="148"/>
    </row>
    <row r="580" spans="1:12" ht="15.75">
      <c r="A580" s="26" t="s">
        <v>174</v>
      </c>
      <c r="B580" s="17">
        <v>906</v>
      </c>
      <c r="C580" s="21" t="s">
        <v>317</v>
      </c>
      <c r="D580" s="21" t="s">
        <v>266</v>
      </c>
      <c r="E580" s="21" t="s">
        <v>175</v>
      </c>
      <c r="F580" s="21"/>
      <c r="G580" s="27">
        <f t="shared" ref="G580" si="107">G581</f>
        <v>89857.8</v>
      </c>
      <c r="H580" s="205"/>
    </row>
    <row r="581" spans="1:12" ht="31.5">
      <c r="A581" s="26" t="s">
        <v>238</v>
      </c>
      <c r="B581" s="17">
        <v>906</v>
      </c>
      <c r="C581" s="21" t="s">
        <v>317</v>
      </c>
      <c r="D581" s="21" t="s">
        <v>266</v>
      </c>
      <c r="E581" s="21" t="s">
        <v>239</v>
      </c>
      <c r="F581" s="21"/>
      <c r="G581" s="27">
        <f>G588+G591+G597+G600+G603+G606+G582+G585+G609+G594</f>
        <v>89857.8</v>
      </c>
      <c r="H581" s="205"/>
    </row>
    <row r="582" spans="1:12" ht="47.25" hidden="1">
      <c r="A582" s="26" t="s">
        <v>504</v>
      </c>
      <c r="B582" s="17">
        <v>906</v>
      </c>
      <c r="C582" s="21" t="s">
        <v>317</v>
      </c>
      <c r="D582" s="21" t="s">
        <v>266</v>
      </c>
      <c r="E582" s="21" t="s">
        <v>505</v>
      </c>
      <c r="F582" s="21"/>
      <c r="G582" s="27">
        <f t="shared" ref="G582:G583" si="108">G583</f>
        <v>0</v>
      </c>
      <c r="H582" s="205"/>
    </row>
    <row r="583" spans="1:12" ht="47.25" hidden="1">
      <c r="A583" s="26" t="s">
        <v>325</v>
      </c>
      <c r="B583" s="17">
        <v>906</v>
      </c>
      <c r="C583" s="21" t="s">
        <v>317</v>
      </c>
      <c r="D583" s="21" t="s">
        <v>266</v>
      </c>
      <c r="E583" s="21" t="s">
        <v>505</v>
      </c>
      <c r="F583" s="21" t="s">
        <v>326</v>
      </c>
      <c r="G583" s="27">
        <f t="shared" si="108"/>
        <v>0</v>
      </c>
      <c r="H583" s="205"/>
    </row>
    <row r="584" spans="1:12" ht="15.75" hidden="1">
      <c r="A584" s="26" t="s">
        <v>327</v>
      </c>
      <c r="B584" s="17">
        <v>906</v>
      </c>
      <c r="C584" s="21" t="s">
        <v>317</v>
      </c>
      <c r="D584" s="21" t="s">
        <v>266</v>
      </c>
      <c r="E584" s="21" t="s">
        <v>505</v>
      </c>
      <c r="F584" s="21" t="s">
        <v>328</v>
      </c>
      <c r="G584" s="27">
        <v>0</v>
      </c>
      <c r="H584" s="205"/>
    </row>
    <row r="585" spans="1:12" ht="15.75" hidden="1">
      <c r="A585" s="26" t="s">
        <v>506</v>
      </c>
      <c r="B585" s="17">
        <v>906</v>
      </c>
      <c r="C585" s="21" t="s">
        <v>317</v>
      </c>
      <c r="D585" s="21" t="s">
        <v>266</v>
      </c>
      <c r="E585" s="21" t="s">
        <v>507</v>
      </c>
      <c r="F585" s="21"/>
      <c r="G585" s="27">
        <f t="shared" ref="G585:G586" si="109">G586</f>
        <v>0</v>
      </c>
      <c r="H585" s="205"/>
    </row>
    <row r="586" spans="1:12" ht="47.25" hidden="1">
      <c r="A586" s="26" t="s">
        <v>325</v>
      </c>
      <c r="B586" s="17">
        <v>906</v>
      </c>
      <c r="C586" s="21" t="s">
        <v>317</v>
      </c>
      <c r="D586" s="21" t="s">
        <v>266</v>
      </c>
      <c r="E586" s="21" t="s">
        <v>507</v>
      </c>
      <c r="F586" s="21" t="s">
        <v>326</v>
      </c>
      <c r="G586" s="27">
        <f t="shared" si="109"/>
        <v>0</v>
      </c>
      <c r="H586" s="205"/>
    </row>
    <row r="587" spans="1:12" ht="15.75" hidden="1">
      <c r="A587" s="26" t="s">
        <v>327</v>
      </c>
      <c r="B587" s="17">
        <v>906</v>
      </c>
      <c r="C587" s="21" t="s">
        <v>317</v>
      </c>
      <c r="D587" s="21" t="s">
        <v>266</v>
      </c>
      <c r="E587" s="21" t="s">
        <v>507</v>
      </c>
      <c r="F587" s="21" t="s">
        <v>328</v>
      </c>
      <c r="G587" s="28">
        <v>0</v>
      </c>
      <c r="H587" s="205"/>
    </row>
    <row r="588" spans="1:12" ht="31.5" hidden="1">
      <c r="A588" s="26" t="s">
        <v>508</v>
      </c>
      <c r="B588" s="17">
        <v>906</v>
      </c>
      <c r="C588" s="21" t="s">
        <v>317</v>
      </c>
      <c r="D588" s="21" t="s">
        <v>266</v>
      </c>
      <c r="E588" s="21" t="s">
        <v>509</v>
      </c>
      <c r="F588" s="21"/>
      <c r="G588" s="27">
        <f t="shared" ref="G588:G589" si="110">G589</f>
        <v>0</v>
      </c>
      <c r="H588" s="205"/>
    </row>
    <row r="589" spans="1:12" ht="47.25" hidden="1">
      <c r="A589" s="26" t="s">
        <v>325</v>
      </c>
      <c r="B589" s="17">
        <v>906</v>
      </c>
      <c r="C589" s="21" t="s">
        <v>317</v>
      </c>
      <c r="D589" s="21" t="s">
        <v>266</v>
      </c>
      <c r="E589" s="21" t="s">
        <v>509</v>
      </c>
      <c r="F589" s="21" t="s">
        <v>326</v>
      </c>
      <c r="G589" s="27">
        <f t="shared" si="110"/>
        <v>0</v>
      </c>
      <c r="H589" s="205"/>
    </row>
    <row r="590" spans="1:12" ht="15.75" hidden="1">
      <c r="A590" s="26" t="s">
        <v>327</v>
      </c>
      <c r="B590" s="17">
        <v>906</v>
      </c>
      <c r="C590" s="21" t="s">
        <v>317</v>
      </c>
      <c r="D590" s="21" t="s">
        <v>266</v>
      </c>
      <c r="E590" s="21" t="s">
        <v>509</v>
      </c>
      <c r="F590" s="21" t="s">
        <v>328</v>
      </c>
      <c r="G590" s="27">
        <f>157.3-157.3</f>
        <v>0</v>
      </c>
      <c r="H590" s="205"/>
      <c r="I590" s="139"/>
    </row>
    <row r="591" spans="1:12" ht="31.5">
      <c r="A591" s="26" t="s">
        <v>510</v>
      </c>
      <c r="B591" s="17">
        <v>906</v>
      </c>
      <c r="C591" s="21" t="s">
        <v>317</v>
      </c>
      <c r="D591" s="21" t="s">
        <v>266</v>
      </c>
      <c r="E591" s="21" t="s">
        <v>511</v>
      </c>
      <c r="F591" s="21"/>
      <c r="G591" s="27">
        <f t="shared" ref="G591" si="111">G592</f>
        <v>1293.5999999999999</v>
      </c>
      <c r="H591" s="205"/>
    </row>
    <row r="592" spans="1:12" ht="47.25">
      <c r="A592" s="26" t="s">
        <v>325</v>
      </c>
      <c r="B592" s="17">
        <v>906</v>
      </c>
      <c r="C592" s="21" t="s">
        <v>317</v>
      </c>
      <c r="D592" s="21" t="s">
        <v>266</v>
      </c>
      <c r="E592" s="21" t="s">
        <v>511</v>
      </c>
      <c r="F592" s="21" t="s">
        <v>326</v>
      </c>
      <c r="G592" s="27">
        <f>G593</f>
        <v>1293.5999999999999</v>
      </c>
      <c r="H592" s="205"/>
      <c r="L592" s="140"/>
    </row>
    <row r="593" spans="1:9" ht="15.75">
      <c r="A593" s="26" t="s">
        <v>327</v>
      </c>
      <c r="B593" s="17">
        <v>906</v>
      </c>
      <c r="C593" s="21" t="s">
        <v>317</v>
      </c>
      <c r="D593" s="21" t="s">
        <v>266</v>
      </c>
      <c r="E593" s="21" t="s">
        <v>511</v>
      </c>
      <c r="F593" s="21" t="s">
        <v>328</v>
      </c>
      <c r="G593" s="28">
        <f>1572.5-278.9</f>
        <v>1293.5999999999999</v>
      </c>
      <c r="H593" s="205"/>
      <c r="I593" s="139"/>
    </row>
    <row r="594" spans="1:9" ht="47.25">
      <c r="A594" s="26" t="s">
        <v>512</v>
      </c>
      <c r="B594" s="17">
        <v>906</v>
      </c>
      <c r="C594" s="21" t="s">
        <v>317</v>
      </c>
      <c r="D594" s="21" t="s">
        <v>266</v>
      </c>
      <c r="E594" s="21" t="s">
        <v>513</v>
      </c>
      <c r="F594" s="21"/>
      <c r="G594" s="28">
        <f>G595</f>
        <v>488.7</v>
      </c>
      <c r="H594" s="205"/>
    </row>
    <row r="595" spans="1:9" ht="47.25">
      <c r="A595" s="26" t="s">
        <v>325</v>
      </c>
      <c r="B595" s="17">
        <v>906</v>
      </c>
      <c r="C595" s="21" t="s">
        <v>317</v>
      </c>
      <c r="D595" s="21" t="s">
        <v>266</v>
      </c>
      <c r="E595" s="21" t="s">
        <v>513</v>
      </c>
      <c r="F595" s="21" t="s">
        <v>326</v>
      </c>
      <c r="G595" s="28">
        <f t="shared" ref="G595" si="112">G596</f>
        <v>488.7</v>
      </c>
      <c r="H595" s="205"/>
    </row>
    <row r="596" spans="1:9" ht="15.75">
      <c r="A596" s="26" t="s">
        <v>327</v>
      </c>
      <c r="B596" s="17">
        <v>906</v>
      </c>
      <c r="C596" s="21" t="s">
        <v>317</v>
      </c>
      <c r="D596" s="21" t="s">
        <v>266</v>
      </c>
      <c r="E596" s="21" t="s">
        <v>513</v>
      </c>
      <c r="F596" s="21" t="s">
        <v>328</v>
      </c>
      <c r="G596" s="28">
        <f>733.5-244.8</f>
        <v>488.7</v>
      </c>
      <c r="H596" s="205"/>
      <c r="I596" s="139"/>
    </row>
    <row r="597" spans="1:9" ht="94.5">
      <c r="A597" s="33" t="s">
        <v>514</v>
      </c>
      <c r="B597" s="17">
        <v>906</v>
      </c>
      <c r="C597" s="21" t="s">
        <v>317</v>
      </c>
      <c r="D597" s="21" t="s">
        <v>266</v>
      </c>
      <c r="E597" s="21" t="s">
        <v>515</v>
      </c>
      <c r="F597" s="21"/>
      <c r="G597" s="27">
        <f t="shared" ref="G597" si="113">G598</f>
        <v>79753.600000000006</v>
      </c>
      <c r="H597" s="205"/>
    </row>
    <row r="598" spans="1:9" ht="47.25">
      <c r="A598" s="26" t="s">
        <v>325</v>
      </c>
      <c r="B598" s="17">
        <v>906</v>
      </c>
      <c r="C598" s="21" t="s">
        <v>317</v>
      </c>
      <c r="D598" s="21" t="s">
        <v>266</v>
      </c>
      <c r="E598" s="21" t="s">
        <v>515</v>
      </c>
      <c r="F598" s="21" t="s">
        <v>326</v>
      </c>
      <c r="G598" s="27">
        <f>G599</f>
        <v>79753.600000000006</v>
      </c>
      <c r="H598" s="205"/>
    </row>
    <row r="599" spans="1:9" ht="15.75">
      <c r="A599" s="26" t="s">
        <v>327</v>
      </c>
      <c r="B599" s="17">
        <v>906</v>
      </c>
      <c r="C599" s="21" t="s">
        <v>317</v>
      </c>
      <c r="D599" s="21" t="s">
        <v>266</v>
      </c>
      <c r="E599" s="21" t="s">
        <v>515</v>
      </c>
      <c r="F599" s="21" t="s">
        <v>328</v>
      </c>
      <c r="G599" s="28">
        <f>93568.6-13815</f>
        <v>79753.600000000006</v>
      </c>
      <c r="H599" s="205"/>
      <c r="I599" s="139"/>
    </row>
    <row r="600" spans="1:9" ht="63">
      <c r="A600" s="33" t="s">
        <v>342</v>
      </c>
      <c r="B600" s="17">
        <v>906</v>
      </c>
      <c r="C600" s="21" t="s">
        <v>317</v>
      </c>
      <c r="D600" s="21" t="s">
        <v>266</v>
      </c>
      <c r="E600" s="21" t="s">
        <v>343</v>
      </c>
      <c r="F600" s="21"/>
      <c r="G600" s="27">
        <f>G601</f>
        <v>910.90000000000009</v>
      </c>
      <c r="H600" s="205"/>
    </row>
    <row r="601" spans="1:9" ht="47.25">
      <c r="A601" s="26" t="s">
        <v>325</v>
      </c>
      <c r="B601" s="17">
        <v>906</v>
      </c>
      <c r="C601" s="21" t="s">
        <v>317</v>
      </c>
      <c r="D601" s="21" t="s">
        <v>266</v>
      </c>
      <c r="E601" s="21" t="s">
        <v>343</v>
      </c>
      <c r="F601" s="21" t="s">
        <v>326</v>
      </c>
      <c r="G601" s="27">
        <f t="shared" ref="G601" si="114">G602</f>
        <v>910.90000000000009</v>
      </c>
      <c r="H601" s="205"/>
    </row>
    <row r="602" spans="1:9" ht="15.75">
      <c r="A602" s="26" t="s">
        <v>327</v>
      </c>
      <c r="B602" s="17">
        <v>906</v>
      </c>
      <c r="C602" s="21" t="s">
        <v>317</v>
      </c>
      <c r="D602" s="21" t="s">
        <v>266</v>
      </c>
      <c r="E602" s="21" t="s">
        <v>343</v>
      </c>
      <c r="F602" s="21" t="s">
        <v>328</v>
      </c>
      <c r="G602" s="28">
        <f>1101.7-190.8</f>
        <v>910.90000000000009</v>
      </c>
      <c r="H602" s="205"/>
      <c r="I602" s="139"/>
    </row>
    <row r="603" spans="1:9" ht="78.75">
      <c r="A603" s="33" t="s">
        <v>344</v>
      </c>
      <c r="B603" s="17">
        <v>906</v>
      </c>
      <c r="C603" s="21" t="s">
        <v>317</v>
      </c>
      <c r="D603" s="21" t="s">
        <v>266</v>
      </c>
      <c r="E603" s="21" t="s">
        <v>345</v>
      </c>
      <c r="F603" s="21"/>
      <c r="G603" s="27">
        <f>G604</f>
        <v>2155.5</v>
      </c>
      <c r="H603" s="205"/>
    </row>
    <row r="604" spans="1:9" ht="47.25">
      <c r="A604" s="26" t="s">
        <v>325</v>
      </c>
      <c r="B604" s="17">
        <v>906</v>
      </c>
      <c r="C604" s="21" t="s">
        <v>317</v>
      </c>
      <c r="D604" s="21" t="s">
        <v>266</v>
      </c>
      <c r="E604" s="21" t="s">
        <v>345</v>
      </c>
      <c r="F604" s="21" t="s">
        <v>326</v>
      </c>
      <c r="G604" s="27">
        <f t="shared" ref="G604" si="115">G605</f>
        <v>2155.5</v>
      </c>
      <c r="H604" s="205"/>
    </row>
    <row r="605" spans="1:9" ht="15.75">
      <c r="A605" s="26" t="s">
        <v>327</v>
      </c>
      <c r="B605" s="17">
        <v>906</v>
      </c>
      <c r="C605" s="21" t="s">
        <v>317</v>
      </c>
      <c r="D605" s="21" t="s">
        <v>266</v>
      </c>
      <c r="E605" s="21" t="s">
        <v>345</v>
      </c>
      <c r="F605" s="21" t="s">
        <v>328</v>
      </c>
      <c r="G605" s="28">
        <f>2823.2-667.7</f>
        <v>2155.5</v>
      </c>
      <c r="H605" s="205"/>
      <c r="I605" s="139"/>
    </row>
    <row r="606" spans="1:9" ht="47.25">
      <c r="A606" s="33" t="s">
        <v>516</v>
      </c>
      <c r="B606" s="17">
        <v>906</v>
      </c>
      <c r="C606" s="21" t="s">
        <v>317</v>
      </c>
      <c r="D606" s="21" t="s">
        <v>266</v>
      </c>
      <c r="E606" s="21" t="s">
        <v>517</v>
      </c>
      <c r="F606" s="21"/>
      <c r="G606" s="27">
        <f t="shared" ref="G606" si="116">G607</f>
        <v>886.5</v>
      </c>
      <c r="H606" s="205"/>
    </row>
    <row r="607" spans="1:9" ht="47.25">
      <c r="A607" s="26" t="s">
        <v>325</v>
      </c>
      <c r="B607" s="17">
        <v>906</v>
      </c>
      <c r="C607" s="21" t="s">
        <v>317</v>
      </c>
      <c r="D607" s="21" t="s">
        <v>266</v>
      </c>
      <c r="E607" s="21" t="s">
        <v>517</v>
      </c>
      <c r="F607" s="21" t="s">
        <v>326</v>
      </c>
      <c r="G607" s="27">
        <f>G608</f>
        <v>886.5</v>
      </c>
      <c r="H607" s="205"/>
    </row>
    <row r="608" spans="1:9" ht="15.75">
      <c r="A608" s="26" t="s">
        <v>327</v>
      </c>
      <c r="B608" s="17">
        <v>906</v>
      </c>
      <c r="C608" s="21" t="s">
        <v>317</v>
      </c>
      <c r="D608" s="21" t="s">
        <v>266</v>
      </c>
      <c r="E608" s="21" t="s">
        <v>517</v>
      </c>
      <c r="F608" s="21" t="s">
        <v>328</v>
      </c>
      <c r="G608" s="28">
        <f>998.4-111.9</f>
        <v>886.5</v>
      </c>
      <c r="H608" s="205"/>
      <c r="I608" s="139"/>
    </row>
    <row r="609" spans="1:9" ht="110.25">
      <c r="A609" s="33" t="s">
        <v>518</v>
      </c>
      <c r="B609" s="17">
        <v>906</v>
      </c>
      <c r="C609" s="21" t="s">
        <v>317</v>
      </c>
      <c r="D609" s="21" t="s">
        <v>266</v>
      </c>
      <c r="E609" s="21" t="s">
        <v>347</v>
      </c>
      <c r="F609" s="21"/>
      <c r="G609" s="27">
        <f>G610</f>
        <v>4369</v>
      </c>
      <c r="H609" s="205"/>
    </row>
    <row r="610" spans="1:9" ht="47.25">
      <c r="A610" s="26" t="s">
        <v>325</v>
      </c>
      <c r="B610" s="17">
        <v>906</v>
      </c>
      <c r="C610" s="21" t="s">
        <v>317</v>
      </c>
      <c r="D610" s="21" t="s">
        <v>266</v>
      </c>
      <c r="E610" s="21" t="s">
        <v>347</v>
      </c>
      <c r="F610" s="21" t="s">
        <v>326</v>
      </c>
      <c r="G610" s="27">
        <f t="shared" ref="G610" si="117">G611</f>
        <v>4369</v>
      </c>
      <c r="H610" s="205"/>
    </row>
    <row r="611" spans="1:9" ht="15.75">
      <c r="A611" s="26" t="s">
        <v>327</v>
      </c>
      <c r="B611" s="17">
        <v>906</v>
      </c>
      <c r="C611" s="21" t="s">
        <v>317</v>
      </c>
      <c r="D611" s="21" t="s">
        <v>266</v>
      </c>
      <c r="E611" s="21" t="s">
        <v>347</v>
      </c>
      <c r="F611" s="21" t="s">
        <v>328</v>
      </c>
      <c r="G611" s="28">
        <f>5441.9-1072.9</f>
        <v>4369</v>
      </c>
      <c r="H611" s="205"/>
      <c r="I611" s="139"/>
    </row>
    <row r="612" spans="1:9" ht="15.75">
      <c r="A612" s="24" t="s">
        <v>318</v>
      </c>
      <c r="B612" s="20">
        <v>906</v>
      </c>
      <c r="C612" s="25" t="s">
        <v>317</v>
      </c>
      <c r="D612" s="25" t="s">
        <v>268</v>
      </c>
      <c r="E612" s="25"/>
      <c r="F612" s="25"/>
      <c r="G612" s="46">
        <f>G613+G622</f>
        <v>23062.100000000002</v>
      </c>
      <c r="H612" s="205"/>
      <c r="I612" s="139"/>
    </row>
    <row r="613" spans="1:9" ht="47.25">
      <c r="A613" s="26" t="s">
        <v>480</v>
      </c>
      <c r="B613" s="17">
        <v>906</v>
      </c>
      <c r="C613" s="21" t="s">
        <v>317</v>
      </c>
      <c r="D613" s="21" t="s">
        <v>268</v>
      </c>
      <c r="E613" s="21" t="s">
        <v>460</v>
      </c>
      <c r="F613" s="21"/>
      <c r="G613" s="28">
        <f>G614+G620</f>
        <v>21479.9</v>
      </c>
      <c r="H613" s="205"/>
      <c r="I613" s="139"/>
    </row>
    <row r="614" spans="1:9" ht="47.25">
      <c r="A614" s="26" t="s">
        <v>461</v>
      </c>
      <c r="B614" s="17">
        <v>906</v>
      </c>
      <c r="C614" s="21" t="s">
        <v>317</v>
      </c>
      <c r="D614" s="21" t="s">
        <v>268</v>
      </c>
      <c r="E614" s="21" t="s">
        <v>462</v>
      </c>
      <c r="F614" s="21"/>
      <c r="G614" s="28">
        <f>G615</f>
        <v>21124</v>
      </c>
      <c r="H614" s="205"/>
      <c r="I614" s="139"/>
    </row>
    <row r="615" spans="1:9" ht="47.25">
      <c r="A615" s="26" t="s">
        <v>323</v>
      </c>
      <c r="B615" s="17">
        <v>906</v>
      </c>
      <c r="C615" s="21" t="s">
        <v>317</v>
      </c>
      <c r="D615" s="21" t="s">
        <v>268</v>
      </c>
      <c r="E615" s="21" t="s">
        <v>483</v>
      </c>
      <c r="F615" s="21"/>
      <c r="G615" s="28">
        <f>G616</f>
        <v>21124</v>
      </c>
      <c r="H615" s="205"/>
      <c r="I615" s="139"/>
    </row>
    <row r="616" spans="1:9" ht="47.25">
      <c r="A616" s="26" t="s">
        <v>325</v>
      </c>
      <c r="B616" s="17">
        <v>906</v>
      </c>
      <c r="C616" s="21" t="s">
        <v>317</v>
      </c>
      <c r="D616" s="21" t="s">
        <v>268</v>
      </c>
      <c r="E616" s="21" t="s">
        <v>483</v>
      </c>
      <c r="F616" s="21" t="s">
        <v>326</v>
      </c>
      <c r="G616" s="28">
        <f>G617</f>
        <v>21124</v>
      </c>
      <c r="H616" s="205"/>
      <c r="I616" s="139"/>
    </row>
    <row r="617" spans="1:9" ht="15.75">
      <c r="A617" s="26" t="s">
        <v>327</v>
      </c>
      <c r="B617" s="17">
        <v>906</v>
      </c>
      <c r="C617" s="21" t="s">
        <v>317</v>
      </c>
      <c r="D617" s="21" t="s">
        <v>268</v>
      </c>
      <c r="E617" s="21" t="s">
        <v>483</v>
      </c>
      <c r="F617" s="21" t="s">
        <v>328</v>
      </c>
      <c r="G617" s="28">
        <f>21044+80</f>
        <v>21124</v>
      </c>
      <c r="H617" s="130"/>
      <c r="I617" s="149"/>
    </row>
    <row r="618" spans="1:9" ht="47.25">
      <c r="A618" s="33" t="s">
        <v>796</v>
      </c>
      <c r="B618" s="17">
        <v>906</v>
      </c>
      <c r="C618" s="21" t="s">
        <v>317</v>
      </c>
      <c r="D618" s="21" t="s">
        <v>268</v>
      </c>
      <c r="E618" s="21" t="s">
        <v>501</v>
      </c>
      <c r="F618" s="21"/>
      <c r="G618" s="28">
        <f>G619</f>
        <v>355.9</v>
      </c>
      <c r="H618" s="205"/>
      <c r="I618" s="139"/>
    </row>
    <row r="619" spans="1:9" ht="31.5">
      <c r="A619" s="47" t="s">
        <v>797</v>
      </c>
      <c r="B619" s="17">
        <v>906</v>
      </c>
      <c r="C619" s="21" t="s">
        <v>317</v>
      </c>
      <c r="D619" s="21" t="s">
        <v>268</v>
      </c>
      <c r="E619" s="21" t="s">
        <v>798</v>
      </c>
      <c r="F619" s="21"/>
      <c r="G619" s="28">
        <f>G620</f>
        <v>355.9</v>
      </c>
      <c r="H619" s="205"/>
      <c r="I619" s="139"/>
    </row>
    <row r="620" spans="1:9" ht="47.25">
      <c r="A620" s="33" t="s">
        <v>325</v>
      </c>
      <c r="B620" s="17">
        <v>906</v>
      </c>
      <c r="C620" s="21" t="s">
        <v>317</v>
      </c>
      <c r="D620" s="21" t="s">
        <v>268</v>
      </c>
      <c r="E620" s="21" t="s">
        <v>798</v>
      </c>
      <c r="F620" s="21" t="s">
        <v>326</v>
      </c>
      <c r="G620" s="28">
        <f>G621</f>
        <v>355.9</v>
      </c>
      <c r="H620" s="130"/>
      <c r="I620" s="139"/>
    </row>
    <row r="621" spans="1:9" ht="15.75">
      <c r="A621" s="33" t="s">
        <v>327</v>
      </c>
      <c r="B621" s="17">
        <v>906</v>
      </c>
      <c r="C621" s="21" t="s">
        <v>317</v>
      </c>
      <c r="D621" s="21" t="s">
        <v>268</v>
      </c>
      <c r="E621" s="21" t="s">
        <v>798</v>
      </c>
      <c r="F621" s="21" t="s">
        <v>328</v>
      </c>
      <c r="G621" s="28">
        <v>355.9</v>
      </c>
      <c r="H621" s="205"/>
      <c r="I621" s="139"/>
    </row>
    <row r="622" spans="1:9" ht="15.75">
      <c r="A622" s="26" t="s">
        <v>519</v>
      </c>
      <c r="B622" s="17">
        <v>906</v>
      </c>
      <c r="C622" s="21" t="s">
        <v>317</v>
      </c>
      <c r="D622" s="21" t="s">
        <v>268</v>
      </c>
      <c r="E622" s="21" t="s">
        <v>175</v>
      </c>
      <c r="F622" s="21"/>
      <c r="G622" s="28">
        <f>G623</f>
        <v>1582.2</v>
      </c>
      <c r="H622" s="205"/>
      <c r="I622" s="139"/>
    </row>
    <row r="623" spans="1:9" ht="31.5">
      <c r="A623" s="26" t="s">
        <v>238</v>
      </c>
      <c r="B623" s="17">
        <v>906</v>
      </c>
      <c r="C623" s="21" t="s">
        <v>317</v>
      </c>
      <c r="D623" s="21" t="s">
        <v>268</v>
      </c>
      <c r="E623" s="21" t="s">
        <v>239</v>
      </c>
      <c r="F623" s="21"/>
      <c r="G623" s="28">
        <f>G624+G627+G630</f>
        <v>1582.2</v>
      </c>
      <c r="H623" s="205"/>
      <c r="I623" s="139"/>
    </row>
    <row r="624" spans="1:9" ht="63">
      <c r="A624" s="33" t="s">
        <v>342</v>
      </c>
      <c r="B624" s="17">
        <v>906</v>
      </c>
      <c r="C624" s="21" t="s">
        <v>317</v>
      </c>
      <c r="D624" s="21" t="s">
        <v>268</v>
      </c>
      <c r="E624" s="21" t="s">
        <v>343</v>
      </c>
      <c r="F624" s="21"/>
      <c r="G624" s="28">
        <f>G625</f>
        <v>110</v>
      </c>
      <c r="H624" s="205"/>
      <c r="I624" s="139"/>
    </row>
    <row r="625" spans="1:9" ht="47.25">
      <c r="A625" s="26" t="s">
        <v>325</v>
      </c>
      <c r="B625" s="17">
        <v>906</v>
      </c>
      <c r="C625" s="21" t="s">
        <v>317</v>
      </c>
      <c r="D625" s="21" t="s">
        <v>268</v>
      </c>
      <c r="E625" s="21" t="s">
        <v>343</v>
      </c>
      <c r="F625" s="21" t="s">
        <v>326</v>
      </c>
      <c r="G625" s="28">
        <f>G626</f>
        <v>110</v>
      </c>
      <c r="H625" s="205"/>
      <c r="I625" s="139"/>
    </row>
    <row r="626" spans="1:9" ht="15.75">
      <c r="A626" s="26" t="s">
        <v>327</v>
      </c>
      <c r="B626" s="17">
        <v>906</v>
      </c>
      <c r="C626" s="21" t="s">
        <v>317</v>
      </c>
      <c r="D626" s="21" t="s">
        <v>268</v>
      </c>
      <c r="E626" s="21" t="s">
        <v>343</v>
      </c>
      <c r="F626" s="21" t="s">
        <v>328</v>
      </c>
      <c r="G626" s="28">
        <v>110</v>
      </c>
      <c r="H626" s="205"/>
      <c r="I626" s="139"/>
    </row>
    <row r="627" spans="1:9" ht="78.75">
      <c r="A627" s="33" t="s">
        <v>344</v>
      </c>
      <c r="B627" s="17">
        <v>906</v>
      </c>
      <c r="C627" s="21" t="s">
        <v>317</v>
      </c>
      <c r="D627" s="21" t="s">
        <v>268</v>
      </c>
      <c r="E627" s="21" t="s">
        <v>345</v>
      </c>
      <c r="F627" s="21"/>
      <c r="G627" s="28">
        <f>G628</f>
        <v>572.20000000000005</v>
      </c>
      <c r="H627" s="205"/>
      <c r="I627" s="139"/>
    </row>
    <row r="628" spans="1:9" ht="47.25">
      <c r="A628" s="26" t="s">
        <v>325</v>
      </c>
      <c r="B628" s="17">
        <v>906</v>
      </c>
      <c r="C628" s="21" t="s">
        <v>317</v>
      </c>
      <c r="D628" s="21" t="s">
        <v>268</v>
      </c>
      <c r="E628" s="21" t="s">
        <v>345</v>
      </c>
      <c r="F628" s="21" t="s">
        <v>326</v>
      </c>
      <c r="G628" s="28">
        <f>G629</f>
        <v>572.20000000000005</v>
      </c>
      <c r="H628" s="205"/>
      <c r="I628" s="139"/>
    </row>
    <row r="629" spans="1:9" ht="15.75">
      <c r="A629" s="26" t="s">
        <v>327</v>
      </c>
      <c r="B629" s="17">
        <v>906</v>
      </c>
      <c r="C629" s="21" t="s">
        <v>317</v>
      </c>
      <c r="D629" s="21" t="s">
        <v>268</v>
      </c>
      <c r="E629" s="21" t="s">
        <v>345</v>
      </c>
      <c r="F629" s="21" t="s">
        <v>328</v>
      </c>
      <c r="G629" s="28">
        <v>572.20000000000005</v>
      </c>
      <c r="H629" s="205"/>
      <c r="I629" s="139"/>
    </row>
    <row r="630" spans="1:9" ht="110.25">
      <c r="A630" s="33" t="s">
        <v>346</v>
      </c>
      <c r="B630" s="17">
        <v>906</v>
      </c>
      <c r="C630" s="21" t="s">
        <v>317</v>
      </c>
      <c r="D630" s="21" t="s">
        <v>268</v>
      </c>
      <c r="E630" s="21" t="s">
        <v>347</v>
      </c>
      <c r="F630" s="21"/>
      <c r="G630" s="28">
        <f>G631</f>
        <v>900</v>
      </c>
      <c r="H630" s="205"/>
      <c r="I630" s="139"/>
    </row>
    <row r="631" spans="1:9" ht="47.25">
      <c r="A631" s="26" t="s">
        <v>325</v>
      </c>
      <c r="B631" s="17">
        <v>906</v>
      </c>
      <c r="C631" s="21" t="s">
        <v>317</v>
      </c>
      <c r="D631" s="21" t="s">
        <v>268</v>
      </c>
      <c r="E631" s="21" t="s">
        <v>347</v>
      </c>
      <c r="F631" s="21" t="s">
        <v>326</v>
      </c>
      <c r="G631" s="28">
        <f>G632</f>
        <v>900</v>
      </c>
      <c r="H631" s="205"/>
      <c r="I631" s="139"/>
    </row>
    <row r="632" spans="1:9" ht="15.75">
      <c r="A632" s="26" t="s">
        <v>327</v>
      </c>
      <c r="B632" s="17">
        <v>906</v>
      </c>
      <c r="C632" s="21" t="s">
        <v>317</v>
      </c>
      <c r="D632" s="21" t="s">
        <v>268</v>
      </c>
      <c r="E632" s="21" t="s">
        <v>347</v>
      </c>
      <c r="F632" s="21" t="s">
        <v>328</v>
      </c>
      <c r="G632" s="28">
        <v>900</v>
      </c>
      <c r="H632" s="205"/>
      <c r="I632" s="139"/>
    </row>
    <row r="633" spans="1:9" ht="31.5">
      <c r="A633" s="24" t="s">
        <v>520</v>
      </c>
      <c r="B633" s="20">
        <v>906</v>
      </c>
      <c r="C633" s="25" t="s">
        <v>317</v>
      </c>
      <c r="D633" s="25" t="s">
        <v>317</v>
      </c>
      <c r="E633" s="25"/>
      <c r="F633" s="25"/>
      <c r="G633" s="22">
        <f>G634+G639</f>
        <v>4788.6000000000004</v>
      </c>
      <c r="H633" s="205"/>
    </row>
    <row r="634" spans="1:9" ht="47.25">
      <c r="A634" s="26" t="s">
        <v>480</v>
      </c>
      <c r="B634" s="17">
        <v>906</v>
      </c>
      <c r="C634" s="21" t="s">
        <v>317</v>
      </c>
      <c r="D634" s="21" t="s">
        <v>317</v>
      </c>
      <c r="E634" s="21" t="s">
        <v>460</v>
      </c>
      <c r="F634" s="21"/>
      <c r="G634" s="27">
        <f>G635</f>
        <v>3484.8</v>
      </c>
      <c r="H634" s="205"/>
    </row>
    <row r="635" spans="1:9" ht="31.5">
      <c r="A635" s="26" t="s">
        <v>521</v>
      </c>
      <c r="B635" s="17">
        <v>906</v>
      </c>
      <c r="C635" s="21" t="s">
        <v>317</v>
      </c>
      <c r="D635" s="21" t="s">
        <v>522</v>
      </c>
      <c r="E635" s="21" t="s">
        <v>523</v>
      </c>
      <c r="F635" s="21"/>
      <c r="G635" s="27">
        <f t="shared" ref="G635" si="118">G636</f>
        <v>3484.8</v>
      </c>
      <c r="H635" s="205"/>
    </row>
    <row r="636" spans="1:9" ht="47.25">
      <c r="A636" s="26" t="s">
        <v>524</v>
      </c>
      <c r="B636" s="17">
        <v>906</v>
      </c>
      <c r="C636" s="21" t="s">
        <v>317</v>
      </c>
      <c r="D636" s="21" t="s">
        <v>317</v>
      </c>
      <c r="E636" s="21" t="s">
        <v>525</v>
      </c>
      <c r="F636" s="21"/>
      <c r="G636" s="27">
        <f>G637</f>
        <v>3484.8</v>
      </c>
      <c r="H636" s="205"/>
    </row>
    <row r="637" spans="1:9" ht="47.25">
      <c r="A637" s="26" t="s">
        <v>325</v>
      </c>
      <c r="B637" s="17">
        <v>906</v>
      </c>
      <c r="C637" s="21" t="s">
        <v>317</v>
      </c>
      <c r="D637" s="21" t="s">
        <v>317</v>
      </c>
      <c r="E637" s="21" t="s">
        <v>525</v>
      </c>
      <c r="F637" s="21" t="s">
        <v>326</v>
      </c>
      <c r="G637" s="27">
        <f t="shared" ref="G637:G642" si="119">G638</f>
        <v>3484.8</v>
      </c>
      <c r="H637" s="205"/>
    </row>
    <row r="638" spans="1:9" ht="15.75">
      <c r="A638" s="26" t="s">
        <v>327</v>
      </c>
      <c r="B638" s="17">
        <v>906</v>
      </c>
      <c r="C638" s="21" t="s">
        <v>317</v>
      </c>
      <c r="D638" s="21" t="s">
        <v>317</v>
      </c>
      <c r="E638" s="21" t="s">
        <v>525</v>
      </c>
      <c r="F638" s="21" t="s">
        <v>328</v>
      </c>
      <c r="G638" s="28">
        <v>3484.8</v>
      </c>
      <c r="H638" s="205"/>
    </row>
    <row r="639" spans="1:9" ht="15.75">
      <c r="A639" s="26" t="s">
        <v>174</v>
      </c>
      <c r="B639" s="17">
        <v>906</v>
      </c>
      <c r="C639" s="21" t="s">
        <v>317</v>
      </c>
      <c r="D639" s="21" t="s">
        <v>317</v>
      </c>
      <c r="E639" s="21" t="s">
        <v>175</v>
      </c>
      <c r="F639" s="21"/>
      <c r="G639" s="27">
        <f t="shared" ref="G639" si="120">G640</f>
        <v>1303.8000000000002</v>
      </c>
      <c r="H639" s="205"/>
    </row>
    <row r="640" spans="1:9" ht="31.5">
      <c r="A640" s="26" t="s">
        <v>238</v>
      </c>
      <c r="B640" s="17">
        <v>906</v>
      </c>
      <c r="C640" s="21" t="s">
        <v>317</v>
      </c>
      <c r="D640" s="21" t="s">
        <v>317</v>
      </c>
      <c r="E640" s="21" t="s">
        <v>239</v>
      </c>
      <c r="F640" s="21"/>
      <c r="G640" s="27">
        <f>G642</f>
        <v>1303.8000000000002</v>
      </c>
      <c r="H640" s="205"/>
    </row>
    <row r="641" spans="1:9" ht="63" hidden="1">
      <c r="A641" s="26" t="s">
        <v>526</v>
      </c>
      <c r="B641" s="17">
        <v>906</v>
      </c>
      <c r="C641" s="21" t="s">
        <v>317</v>
      </c>
      <c r="D641" s="21" t="s">
        <v>317</v>
      </c>
      <c r="E641" s="21" t="s">
        <v>527</v>
      </c>
      <c r="F641" s="21"/>
      <c r="G641" s="27">
        <f t="shared" si="119"/>
        <v>1303.8000000000002</v>
      </c>
      <c r="H641" s="205"/>
    </row>
    <row r="642" spans="1:9" ht="31.5">
      <c r="A642" s="33" t="s">
        <v>528</v>
      </c>
      <c r="B642" s="17">
        <v>906</v>
      </c>
      <c r="C642" s="21" t="s">
        <v>317</v>
      </c>
      <c r="D642" s="21" t="s">
        <v>317</v>
      </c>
      <c r="E642" s="21" t="s">
        <v>529</v>
      </c>
      <c r="F642" s="21"/>
      <c r="G642" s="27">
        <f t="shared" si="119"/>
        <v>1303.8000000000002</v>
      </c>
      <c r="H642" s="205"/>
    </row>
    <row r="643" spans="1:9" ht="47.25">
      <c r="A643" s="26" t="s">
        <v>325</v>
      </c>
      <c r="B643" s="17">
        <v>906</v>
      </c>
      <c r="C643" s="21" t="s">
        <v>317</v>
      </c>
      <c r="D643" s="21" t="s">
        <v>317</v>
      </c>
      <c r="E643" s="21" t="s">
        <v>529</v>
      </c>
      <c r="F643" s="21" t="s">
        <v>326</v>
      </c>
      <c r="G643" s="27">
        <f>G644</f>
        <v>1303.8000000000002</v>
      </c>
      <c r="H643" s="205"/>
    </row>
    <row r="644" spans="1:9" ht="15.75">
      <c r="A644" s="26" t="s">
        <v>327</v>
      </c>
      <c r="B644" s="17">
        <v>906</v>
      </c>
      <c r="C644" s="21" t="s">
        <v>317</v>
      </c>
      <c r="D644" s="21" t="s">
        <v>317</v>
      </c>
      <c r="E644" s="21" t="s">
        <v>529</v>
      </c>
      <c r="F644" s="21" t="s">
        <v>328</v>
      </c>
      <c r="G644" s="28">
        <f>1660.4-356.6</f>
        <v>1303.8000000000002</v>
      </c>
      <c r="H644" s="205"/>
      <c r="I644" s="139"/>
    </row>
    <row r="645" spans="1:9" ht="15.75">
      <c r="A645" s="24" t="s">
        <v>348</v>
      </c>
      <c r="B645" s="20">
        <v>906</v>
      </c>
      <c r="C645" s="25" t="s">
        <v>317</v>
      </c>
      <c r="D645" s="25" t="s">
        <v>272</v>
      </c>
      <c r="E645" s="25"/>
      <c r="F645" s="25"/>
      <c r="G645" s="22">
        <f>G646+G655</f>
        <v>18322.300000000003</v>
      </c>
      <c r="H645" s="205"/>
    </row>
    <row r="646" spans="1:9" ht="47.25">
      <c r="A646" s="26" t="s">
        <v>387</v>
      </c>
      <c r="B646" s="17">
        <v>906</v>
      </c>
      <c r="C646" s="21" t="s">
        <v>317</v>
      </c>
      <c r="D646" s="21" t="s">
        <v>272</v>
      </c>
      <c r="E646" s="21" t="s">
        <v>388</v>
      </c>
      <c r="F646" s="21"/>
      <c r="G646" s="27">
        <f>G647+G650</f>
        <v>20</v>
      </c>
      <c r="H646" s="205"/>
      <c r="I646" s="139"/>
    </row>
    <row r="647" spans="1:9" ht="31.5" hidden="1">
      <c r="A647" s="26" t="s">
        <v>389</v>
      </c>
      <c r="B647" s="17">
        <v>906</v>
      </c>
      <c r="C647" s="21" t="s">
        <v>317</v>
      </c>
      <c r="D647" s="21" t="s">
        <v>272</v>
      </c>
      <c r="E647" s="21" t="s">
        <v>390</v>
      </c>
      <c r="F647" s="21"/>
      <c r="G647" s="27">
        <f>G648</f>
        <v>0</v>
      </c>
      <c r="H647" s="205"/>
    </row>
    <row r="648" spans="1:9" ht="31.5" hidden="1">
      <c r="A648" s="26" t="s">
        <v>184</v>
      </c>
      <c r="B648" s="17">
        <v>906</v>
      </c>
      <c r="C648" s="21" t="s">
        <v>317</v>
      </c>
      <c r="D648" s="21" t="s">
        <v>272</v>
      </c>
      <c r="E648" s="21" t="s">
        <v>390</v>
      </c>
      <c r="F648" s="21" t="s">
        <v>185</v>
      </c>
      <c r="G648" s="27">
        <f>G649</f>
        <v>0</v>
      </c>
      <c r="H648" s="205"/>
    </row>
    <row r="649" spans="1:9" ht="47.25" hidden="1">
      <c r="A649" s="26" t="s">
        <v>186</v>
      </c>
      <c r="B649" s="17">
        <v>906</v>
      </c>
      <c r="C649" s="21" t="s">
        <v>317</v>
      </c>
      <c r="D649" s="21" t="s">
        <v>272</v>
      </c>
      <c r="E649" s="21" t="s">
        <v>390</v>
      </c>
      <c r="F649" s="21" t="s">
        <v>187</v>
      </c>
      <c r="G649" s="27">
        <f>50-50</f>
        <v>0</v>
      </c>
      <c r="H649" s="130"/>
      <c r="I649" s="148"/>
    </row>
    <row r="650" spans="1:9" ht="63">
      <c r="A650" s="26" t="s">
        <v>530</v>
      </c>
      <c r="B650" s="17">
        <v>906</v>
      </c>
      <c r="C650" s="21" t="s">
        <v>317</v>
      </c>
      <c r="D650" s="21" t="s">
        <v>272</v>
      </c>
      <c r="E650" s="21" t="s">
        <v>531</v>
      </c>
      <c r="F650" s="21"/>
      <c r="G650" s="27">
        <f>G651+G653</f>
        <v>20</v>
      </c>
      <c r="H650" s="205"/>
    </row>
    <row r="651" spans="1:9" ht="94.5">
      <c r="A651" s="26" t="s">
        <v>180</v>
      </c>
      <c r="B651" s="17">
        <v>906</v>
      </c>
      <c r="C651" s="21" t="s">
        <v>317</v>
      </c>
      <c r="D651" s="21" t="s">
        <v>272</v>
      </c>
      <c r="E651" s="21" t="s">
        <v>531</v>
      </c>
      <c r="F651" s="21" t="s">
        <v>181</v>
      </c>
      <c r="G651" s="27">
        <f>G652</f>
        <v>5</v>
      </c>
      <c r="H651" s="205"/>
    </row>
    <row r="652" spans="1:9" ht="31.5">
      <c r="A652" s="26" t="s">
        <v>395</v>
      </c>
      <c r="B652" s="17">
        <v>906</v>
      </c>
      <c r="C652" s="21" t="s">
        <v>317</v>
      </c>
      <c r="D652" s="21" t="s">
        <v>272</v>
      </c>
      <c r="E652" s="21" t="s">
        <v>531</v>
      </c>
      <c r="F652" s="21" t="s">
        <v>262</v>
      </c>
      <c r="G652" s="27">
        <v>5</v>
      </c>
      <c r="H652" s="205"/>
    </row>
    <row r="653" spans="1:9" ht="31.5">
      <c r="A653" s="26" t="s">
        <v>184</v>
      </c>
      <c r="B653" s="17">
        <v>906</v>
      </c>
      <c r="C653" s="21" t="s">
        <v>317</v>
      </c>
      <c r="D653" s="21" t="s">
        <v>272</v>
      </c>
      <c r="E653" s="21" t="s">
        <v>531</v>
      </c>
      <c r="F653" s="21" t="s">
        <v>185</v>
      </c>
      <c r="G653" s="27">
        <f>G654</f>
        <v>15</v>
      </c>
      <c r="H653" s="205"/>
    </row>
    <row r="654" spans="1:9" ht="47.25">
      <c r="A654" s="26" t="s">
        <v>186</v>
      </c>
      <c r="B654" s="17">
        <v>906</v>
      </c>
      <c r="C654" s="21" t="s">
        <v>317</v>
      </c>
      <c r="D654" s="21" t="s">
        <v>272</v>
      </c>
      <c r="E654" s="21" t="s">
        <v>531</v>
      </c>
      <c r="F654" s="21" t="s">
        <v>187</v>
      </c>
      <c r="G654" s="27">
        <v>15</v>
      </c>
      <c r="H654" s="205"/>
    </row>
    <row r="655" spans="1:9" ht="15.75">
      <c r="A655" s="26" t="s">
        <v>174</v>
      </c>
      <c r="B655" s="17">
        <v>906</v>
      </c>
      <c r="C655" s="21" t="s">
        <v>317</v>
      </c>
      <c r="D655" s="21" t="s">
        <v>272</v>
      </c>
      <c r="E655" s="21" t="s">
        <v>175</v>
      </c>
      <c r="F655" s="21"/>
      <c r="G655" s="27">
        <f>G656+G662</f>
        <v>18302.300000000003</v>
      </c>
      <c r="H655" s="205"/>
    </row>
    <row r="656" spans="1:9" ht="31.5">
      <c r="A656" s="26" t="s">
        <v>176</v>
      </c>
      <c r="B656" s="17">
        <v>906</v>
      </c>
      <c r="C656" s="21" t="s">
        <v>317</v>
      </c>
      <c r="D656" s="21" t="s">
        <v>272</v>
      </c>
      <c r="E656" s="21" t="s">
        <v>177</v>
      </c>
      <c r="F656" s="21"/>
      <c r="G656" s="27">
        <f t="shared" ref="G656" si="121">G657</f>
        <v>5138.7</v>
      </c>
      <c r="H656" s="205"/>
    </row>
    <row r="657" spans="1:11" ht="47.25">
      <c r="A657" s="26" t="s">
        <v>178</v>
      </c>
      <c r="B657" s="17">
        <v>906</v>
      </c>
      <c r="C657" s="21" t="s">
        <v>317</v>
      </c>
      <c r="D657" s="21" t="s">
        <v>272</v>
      </c>
      <c r="E657" s="21" t="s">
        <v>179</v>
      </c>
      <c r="F657" s="21"/>
      <c r="G657" s="27">
        <f>G658+G660</f>
        <v>5138.7</v>
      </c>
      <c r="H657" s="205"/>
    </row>
    <row r="658" spans="1:11" ht="94.5">
      <c r="A658" s="26" t="s">
        <v>180</v>
      </c>
      <c r="B658" s="17">
        <v>906</v>
      </c>
      <c r="C658" s="21" t="s">
        <v>317</v>
      </c>
      <c r="D658" s="21" t="s">
        <v>272</v>
      </c>
      <c r="E658" s="21" t="s">
        <v>179</v>
      </c>
      <c r="F658" s="21" t="s">
        <v>181</v>
      </c>
      <c r="G658" s="27">
        <f t="shared" ref="G658" si="122">G659</f>
        <v>4981.5</v>
      </c>
      <c r="H658" s="205"/>
    </row>
    <row r="659" spans="1:11" ht="31.5">
      <c r="A659" s="26" t="s">
        <v>182</v>
      </c>
      <c r="B659" s="17">
        <v>906</v>
      </c>
      <c r="C659" s="21" t="s">
        <v>317</v>
      </c>
      <c r="D659" s="21" t="s">
        <v>272</v>
      </c>
      <c r="E659" s="21" t="s">
        <v>179</v>
      </c>
      <c r="F659" s="21" t="s">
        <v>183</v>
      </c>
      <c r="G659" s="183">
        <f>4975.7+5.8</f>
        <v>4981.5</v>
      </c>
      <c r="H659" s="184" t="s">
        <v>827</v>
      </c>
    </row>
    <row r="660" spans="1:11" ht="31.5">
      <c r="A660" s="26" t="s">
        <v>184</v>
      </c>
      <c r="B660" s="17">
        <v>906</v>
      </c>
      <c r="C660" s="21" t="s">
        <v>317</v>
      </c>
      <c r="D660" s="21" t="s">
        <v>272</v>
      </c>
      <c r="E660" s="21" t="s">
        <v>179</v>
      </c>
      <c r="F660" s="21" t="s">
        <v>185</v>
      </c>
      <c r="G660" s="27">
        <f t="shared" ref="G660" si="123">G661</f>
        <v>157.19999999999999</v>
      </c>
      <c r="H660" s="205"/>
    </row>
    <row r="661" spans="1:11" ht="47.25">
      <c r="A661" s="26" t="s">
        <v>186</v>
      </c>
      <c r="B661" s="17">
        <v>906</v>
      </c>
      <c r="C661" s="21" t="s">
        <v>317</v>
      </c>
      <c r="D661" s="21" t="s">
        <v>272</v>
      </c>
      <c r="E661" s="21" t="s">
        <v>179</v>
      </c>
      <c r="F661" s="21" t="s">
        <v>187</v>
      </c>
      <c r="G661" s="185">
        <f>163-5.8</f>
        <v>157.19999999999999</v>
      </c>
      <c r="H661" s="184" t="s">
        <v>826</v>
      </c>
    </row>
    <row r="662" spans="1:11" ht="15.75">
      <c r="A662" s="26" t="s">
        <v>194</v>
      </c>
      <c r="B662" s="17">
        <v>906</v>
      </c>
      <c r="C662" s="21" t="s">
        <v>317</v>
      </c>
      <c r="D662" s="21" t="s">
        <v>272</v>
      </c>
      <c r="E662" s="21" t="s">
        <v>195</v>
      </c>
      <c r="F662" s="21"/>
      <c r="G662" s="27">
        <f>G666+G663</f>
        <v>13163.600000000002</v>
      </c>
      <c r="H662" s="205"/>
    </row>
    <row r="663" spans="1:11" ht="15.75">
      <c r="A663" s="26" t="s">
        <v>532</v>
      </c>
      <c r="B663" s="17">
        <v>906</v>
      </c>
      <c r="C663" s="21" t="s">
        <v>317</v>
      </c>
      <c r="D663" s="21" t="s">
        <v>272</v>
      </c>
      <c r="E663" s="21" t="s">
        <v>533</v>
      </c>
      <c r="F663" s="21"/>
      <c r="G663" s="27">
        <f>G664</f>
        <v>375</v>
      </c>
      <c r="H663" s="205"/>
    </row>
    <row r="664" spans="1:11" ht="31.5">
      <c r="A664" s="26" t="s">
        <v>184</v>
      </c>
      <c r="B664" s="17">
        <v>906</v>
      </c>
      <c r="C664" s="21" t="s">
        <v>317</v>
      </c>
      <c r="D664" s="21" t="s">
        <v>272</v>
      </c>
      <c r="E664" s="21" t="s">
        <v>533</v>
      </c>
      <c r="F664" s="21" t="s">
        <v>185</v>
      </c>
      <c r="G664" s="27">
        <f>G665</f>
        <v>375</v>
      </c>
      <c r="H664" s="205"/>
    </row>
    <row r="665" spans="1:11" ht="47.25">
      <c r="A665" s="26" t="s">
        <v>186</v>
      </c>
      <c r="B665" s="17">
        <v>906</v>
      </c>
      <c r="C665" s="21" t="s">
        <v>317</v>
      </c>
      <c r="D665" s="21" t="s">
        <v>272</v>
      </c>
      <c r="E665" s="21" t="s">
        <v>533</v>
      </c>
      <c r="F665" s="21" t="s">
        <v>187</v>
      </c>
      <c r="G665" s="189">
        <f>206.3+143.7+25</f>
        <v>375</v>
      </c>
      <c r="H665" s="184" t="s">
        <v>844</v>
      </c>
      <c r="I665" s="139"/>
    </row>
    <row r="666" spans="1:11" ht="31.5">
      <c r="A666" s="26" t="s">
        <v>393</v>
      </c>
      <c r="B666" s="17">
        <v>906</v>
      </c>
      <c r="C666" s="21" t="s">
        <v>317</v>
      </c>
      <c r="D666" s="21" t="s">
        <v>272</v>
      </c>
      <c r="E666" s="21" t="s">
        <v>394</v>
      </c>
      <c r="F666" s="21"/>
      <c r="G666" s="27">
        <f>G667+G669+G671</f>
        <v>12788.600000000002</v>
      </c>
      <c r="H666" s="205"/>
      <c r="J666" s="311"/>
      <c r="K666" s="311"/>
    </row>
    <row r="667" spans="1:11" ht="94.5">
      <c r="A667" s="26" t="s">
        <v>180</v>
      </c>
      <c r="B667" s="17">
        <v>906</v>
      </c>
      <c r="C667" s="21" t="s">
        <v>317</v>
      </c>
      <c r="D667" s="21" t="s">
        <v>272</v>
      </c>
      <c r="E667" s="21" t="s">
        <v>394</v>
      </c>
      <c r="F667" s="21" t="s">
        <v>181</v>
      </c>
      <c r="G667" s="27">
        <f>G668</f>
        <v>11519.300000000001</v>
      </c>
      <c r="H667" s="205"/>
      <c r="J667" s="311"/>
      <c r="K667" s="311"/>
    </row>
    <row r="668" spans="1:11" ht="31.5">
      <c r="A668" s="26" t="s">
        <v>395</v>
      </c>
      <c r="B668" s="17">
        <v>906</v>
      </c>
      <c r="C668" s="21" t="s">
        <v>317</v>
      </c>
      <c r="D668" s="21" t="s">
        <v>272</v>
      </c>
      <c r="E668" s="21" t="s">
        <v>394</v>
      </c>
      <c r="F668" s="21" t="s">
        <v>262</v>
      </c>
      <c r="G668" s="28">
        <f>11988.7-469.4</f>
        <v>11519.300000000001</v>
      </c>
      <c r="H668" s="130"/>
      <c r="I668" s="148"/>
      <c r="J668" s="311"/>
      <c r="K668" s="311"/>
    </row>
    <row r="669" spans="1:11" ht="31.5">
      <c r="A669" s="26" t="s">
        <v>184</v>
      </c>
      <c r="B669" s="17">
        <v>906</v>
      </c>
      <c r="C669" s="21" t="s">
        <v>317</v>
      </c>
      <c r="D669" s="21" t="s">
        <v>272</v>
      </c>
      <c r="E669" s="21" t="s">
        <v>394</v>
      </c>
      <c r="F669" s="21" t="s">
        <v>185</v>
      </c>
      <c r="G669" s="27">
        <f>G670</f>
        <v>1264.0999999999999</v>
      </c>
      <c r="H669" s="205"/>
      <c r="J669" s="311"/>
      <c r="K669" s="311"/>
    </row>
    <row r="670" spans="1:11" ht="47.25">
      <c r="A670" s="26" t="s">
        <v>186</v>
      </c>
      <c r="B670" s="17">
        <v>906</v>
      </c>
      <c r="C670" s="21" t="s">
        <v>317</v>
      </c>
      <c r="D670" s="21" t="s">
        <v>272</v>
      </c>
      <c r="E670" s="21" t="s">
        <v>394</v>
      </c>
      <c r="F670" s="21" t="s">
        <v>187</v>
      </c>
      <c r="G670" s="27">
        <f>1416.8-152.7</f>
        <v>1264.0999999999999</v>
      </c>
      <c r="H670" s="130"/>
      <c r="I670" s="148"/>
      <c r="J670" s="311"/>
      <c r="K670" s="311"/>
    </row>
    <row r="671" spans="1:11" ht="15.75">
      <c r="A671" s="26" t="s">
        <v>188</v>
      </c>
      <c r="B671" s="17">
        <v>906</v>
      </c>
      <c r="C671" s="21" t="s">
        <v>317</v>
      </c>
      <c r="D671" s="21" t="s">
        <v>272</v>
      </c>
      <c r="E671" s="21" t="s">
        <v>394</v>
      </c>
      <c r="F671" s="21" t="s">
        <v>198</v>
      </c>
      <c r="G671" s="27">
        <f>G672</f>
        <v>5.2</v>
      </c>
      <c r="H671" s="205"/>
      <c r="J671" s="311"/>
      <c r="K671" s="311"/>
    </row>
    <row r="672" spans="1:11" ht="15.75">
      <c r="A672" s="26" t="s">
        <v>622</v>
      </c>
      <c r="B672" s="17">
        <v>906</v>
      </c>
      <c r="C672" s="21" t="s">
        <v>317</v>
      </c>
      <c r="D672" s="21" t="s">
        <v>272</v>
      </c>
      <c r="E672" s="21" t="s">
        <v>394</v>
      </c>
      <c r="F672" s="21" t="s">
        <v>191</v>
      </c>
      <c r="G672" s="27">
        <f>7-1.8</f>
        <v>5.2</v>
      </c>
      <c r="H672" s="130"/>
      <c r="I672" s="148"/>
      <c r="J672" s="311"/>
      <c r="K672" s="311"/>
    </row>
    <row r="673" spans="1:10" ht="47.25">
      <c r="A673" s="20" t="s">
        <v>534</v>
      </c>
      <c r="B673" s="20">
        <v>907</v>
      </c>
      <c r="C673" s="21"/>
      <c r="D673" s="21"/>
      <c r="E673" s="21"/>
      <c r="F673" s="21"/>
      <c r="G673" s="22">
        <f t="shared" ref="G673" si="124">G674+G704</f>
        <v>46187.799999999996</v>
      </c>
      <c r="H673" s="205"/>
    </row>
    <row r="674" spans="1:10" ht="15.75">
      <c r="A674" s="24" t="s">
        <v>316</v>
      </c>
      <c r="B674" s="20">
        <v>907</v>
      </c>
      <c r="C674" s="25" t="s">
        <v>522</v>
      </c>
      <c r="D674" s="25"/>
      <c r="E674" s="25"/>
      <c r="F674" s="25"/>
      <c r="G674" s="22">
        <f>G675</f>
        <v>11485.1</v>
      </c>
      <c r="H674" s="205"/>
    </row>
    <row r="675" spans="1:10" ht="15.75">
      <c r="A675" s="24" t="s">
        <v>318</v>
      </c>
      <c r="B675" s="20">
        <v>907</v>
      </c>
      <c r="C675" s="25" t="s">
        <v>317</v>
      </c>
      <c r="D675" s="25" t="s">
        <v>268</v>
      </c>
      <c r="E675" s="25"/>
      <c r="F675" s="25"/>
      <c r="G675" s="22">
        <f t="shared" ref="G675" si="125">G676+G693</f>
        <v>11485.1</v>
      </c>
      <c r="H675" s="205"/>
      <c r="J675" s="140"/>
    </row>
    <row r="676" spans="1:10" ht="47.25">
      <c r="A676" s="26" t="s">
        <v>535</v>
      </c>
      <c r="B676" s="17">
        <v>907</v>
      </c>
      <c r="C676" s="21" t="s">
        <v>317</v>
      </c>
      <c r="D676" s="21" t="s">
        <v>268</v>
      </c>
      <c r="E676" s="21" t="s">
        <v>536</v>
      </c>
      <c r="F676" s="21"/>
      <c r="G676" s="27">
        <f>G677</f>
        <v>10758</v>
      </c>
      <c r="H676" s="205"/>
    </row>
    <row r="677" spans="1:10" ht="47.25">
      <c r="A677" s="26" t="s">
        <v>537</v>
      </c>
      <c r="B677" s="17">
        <v>907</v>
      </c>
      <c r="C677" s="21" t="s">
        <v>317</v>
      </c>
      <c r="D677" s="21" t="s">
        <v>268</v>
      </c>
      <c r="E677" s="21" t="s">
        <v>538</v>
      </c>
      <c r="F677" s="21"/>
      <c r="G677" s="27">
        <f t="shared" ref="G677" si="126">G678+G681+G684+G690+G687</f>
        <v>10758</v>
      </c>
      <c r="H677" s="205"/>
    </row>
    <row r="678" spans="1:10" ht="47.25">
      <c r="A678" s="26" t="s">
        <v>323</v>
      </c>
      <c r="B678" s="17">
        <v>907</v>
      </c>
      <c r="C678" s="21" t="s">
        <v>317</v>
      </c>
      <c r="D678" s="21" t="s">
        <v>268</v>
      </c>
      <c r="E678" s="21" t="s">
        <v>539</v>
      </c>
      <c r="F678" s="21"/>
      <c r="G678" s="27">
        <f>G679</f>
        <v>10722</v>
      </c>
      <c r="H678" s="205"/>
    </row>
    <row r="679" spans="1:10" ht="47.25">
      <c r="A679" s="26" t="s">
        <v>325</v>
      </c>
      <c r="B679" s="17">
        <v>907</v>
      </c>
      <c r="C679" s="21" t="s">
        <v>317</v>
      </c>
      <c r="D679" s="21" t="s">
        <v>268</v>
      </c>
      <c r="E679" s="21" t="s">
        <v>539</v>
      </c>
      <c r="F679" s="21" t="s">
        <v>326</v>
      </c>
      <c r="G679" s="27">
        <f t="shared" ref="G679" si="127">G680</f>
        <v>10722</v>
      </c>
      <c r="H679" s="205"/>
    </row>
    <row r="680" spans="1:10" ht="15.75">
      <c r="A680" s="26" t="s">
        <v>327</v>
      </c>
      <c r="B680" s="17">
        <v>907</v>
      </c>
      <c r="C680" s="21" t="s">
        <v>317</v>
      </c>
      <c r="D680" s="21" t="s">
        <v>268</v>
      </c>
      <c r="E680" s="21" t="s">
        <v>539</v>
      </c>
      <c r="F680" s="21" t="s">
        <v>328</v>
      </c>
      <c r="G680" s="28">
        <f>10500+753.9-531.9</f>
        <v>10722</v>
      </c>
      <c r="H680" s="130"/>
      <c r="I680" s="149"/>
    </row>
    <row r="681" spans="1:10" ht="47.25" hidden="1">
      <c r="A681" s="26" t="s">
        <v>331</v>
      </c>
      <c r="B681" s="17">
        <v>907</v>
      </c>
      <c r="C681" s="21" t="s">
        <v>317</v>
      </c>
      <c r="D681" s="21" t="s">
        <v>266</v>
      </c>
      <c r="E681" s="21" t="s">
        <v>540</v>
      </c>
      <c r="F681" s="21"/>
      <c r="G681" s="27">
        <f t="shared" ref="G681:G682" si="128">G682</f>
        <v>0</v>
      </c>
      <c r="H681" s="205"/>
    </row>
    <row r="682" spans="1:10" ht="47.25" hidden="1">
      <c r="A682" s="26" t="s">
        <v>325</v>
      </c>
      <c r="B682" s="17">
        <v>907</v>
      </c>
      <c r="C682" s="21" t="s">
        <v>317</v>
      </c>
      <c r="D682" s="21" t="s">
        <v>266</v>
      </c>
      <c r="E682" s="21" t="s">
        <v>540</v>
      </c>
      <c r="F682" s="21" t="s">
        <v>326</v>
      </c>
      <c r="G682" s="27">
        <f t="shared" si="128"/>
        <v>0</v>
      </c>
      <c r="H682" s="205"/>
    </row>
    <row r="683" spans="1:10" ht="15.75" hidden="1">
      <c r="A683" s="26" t="s">
        <v>327</v>
      </c>
      <c r="B683" s="17">
        <v>907</v>
      </c>
      <c r="C683" s="21" t="s">
        <v>317</v>
      </c>
      <c r="D683" s="21" t="s">
        <v>266</v>
      </c>
      <c r="E683" s="21" t="s">
        <v>540</v>
      </c>
      <c r="F683" s="21" t="s">
        <v>328</v>
      </c>
      <c r="G683" s="27">
        <v>0</v>
      </c>
      <c r="H683" s="205"/>
    </row>
    <row r="684" spans="1:10" ht="31.5" hidden="1">
      <c r="A684" s="26" t="s">
        <v>333</v>
      </c>
      <c r="B684" s="17">
        <v>907</v>
      </c>
      <c r="C684" s="21" t="s">
        <v>317</v>
      </c>
      <c r="D684" s="21" t="s">
        <v>266</v>
      </c>
      <c r="E684" s="21" t="s">
        <v>541</v>
      </c>
      <c r="F684" s="21"/>
      <c r="G684" s="27">
        <f t="shared" ref="G684:G685" si="129">G685</f>
        <v>0</v>
      </c>
      <c r="H684" s="205"/>
    </row>
    <row r="685" spans="1:10" ht="47.25" hidden="1">
      <c r="A685" s="26" t="s">
        <v>325</v>
      </c>
      <c r="B685" s="17">
        <v>907</v>
      </c>
      <c r="C685" s="21" t="s">
        <v>317</v>
      </c>
      <c r="D685" s="21" t="s">
        <v>266</v>
      </c>
      <c r="E685" s="21" t="s">
        <v>541</v>
      </c>
      <c r="F685" s="21" t="s">
        <v>326</v>
      </c>
      <c r="G685" s="27">
        <f t="shared" si="129"/>
        <v>0</v>
      </c>
      <c r="H685" s="205"/>
    </row>
    <row r="686" spans="1:10" ht="15.75" hidden="1">
      <c r="A686" s="26" t="s">
        <v>327</v>
      </c>
      <c r="B686" s="17">
        <v>907</v>
      </c>
      <c r="C686" s="21" t="s">
        <v>317</v>
      </c>
      <c r="D686" s="21" t="s">
        <v>266</v>
      </c>
      <c r="E686" s="21" t="s">
        <v>541</v>
      </c>
      <c r="F686" s="21" t="s">
        <v>328</v>
      </c>
      <c r="G686" s="27">
        <v>0</v>
      </c>
      <c r="H686" s="205"/>
    </row>
    <row r="687" spans="1:10" ht="47.25">
      <c r="A687" s="26" t="s">
        <v>335</v>
      </c>
      <c r="B687" s="17">
        <v>907</v>
      </c>
      <c r="C687" s="21" t="s">
        <v>317</v>
      </c>
      <c r="D687" s="21" t="s">
        <v>268</v>
      </c>
      <c r="E687" s="21" t="s">
        <v>542</v>
      </c>
      <c r="F687" s="21"/>
      <c r="G687" s="27">
        <f t="shared" ref="G687" si="130">G688</f>
        <v>36</v>
      </c>
      <c r="H687" s="205"/>
    </row>
    <row r="688" spans="1:10" ht="47.25">
      <c r="A688" s="26" t="s">
        <v>325</v>
      </c>
      <c r="B688" s="17">
        <v>907</v>
      </c>
      <c r="C688" s="21" t="s">
        <v>317</v>
      </c>
      <c r="D688" s="21" t="s">
        <v>268</v>
      </c>
      <c r="E688" s="21" t="s">
        <v>542</v>
      </c>
      <c r="F688" s="21" t="s">
        <v>326</v>
      </c>
      <c r="G688" s="27">
        <f>G689</f>
        <v>36</v>
      </c>
      <c r="H688" s="205"/>
    </row>
    <row r="689" spans="1:10" ht="15.75">
      <c r="A689" s="26" t="s">
        <v>327</v>
      </c>
      <c r="B689" s="17">
        <v>907</v>
      </c>
      <c r="C689" s="21" t="s">
        <v>317</v>
      </c>
      <c r="D689" s="21" t="s">
        <v>268</v>
      </c>
      <c r="E689" s="21" t="s">
        <v>542</v>
      </c>
      <c r="F689" s="21" t="s">
        <v>328</v>
      </c>
      <c r="G689" s="27">
        <v>36</v>
      </c>
      <c r="H689" s="205"/>
    </row>
    <row r="690" spans="1:10" ht="31.5" hidden="1">
      <c r="A690" s="26" t="s">
        <v>337</v>
      </c>
      <c r="B690" s="17">
        <v>907</v>
      </c>
      <c r="C690" s="21" t="s">
        <v>317</v>
      </c>
      <c r="D690" s="21" t="s">
        <v>266</v>
      </c>
      <c r="E690" s="21" t="s">
        <v>543</v>
      </c>
      <c r="F690" s="21"/>
      <c r="G690" s="27">
        <f t="shared" ref="G690:G691" si="131">G691</f>
        <v>0</v>
      </c>
      <c r="H690" s="205"/>
    </row>
    <row r="691" spans="1:10" ht="47.25" hidden="1">
      <c r="A691" s="26" t="s">
        <v>325</v>
      </c>
      <c r="B691" s="17">
        <v>907</v>
      </c>
      <c r="C691" s="21" t="s">
        <v>317</v>
      </c>
      <c r="D691" s="21" t="s">
        <v>266</v>
      </c>
      <c r="E691" s="21" t="s">
        <v>543</v>
      </c>
      <c r="F691" s="21" t="s">
        <v>326</v>
      </c>
      <c r="G691" s="27">
        <f t="shared" si="131"/>
        <v>0</v>
      </c>
      <c r="H691" s="205"/>
    </row>
    <row r="692" spans="1:10" ht="15.75" hidden="1">
      <c r="A692" s="26" t="s">
        <v>327</v>
      </c>
      <c r="B692" s="17">
        <v>907</v>
      </c>
      <c r="C692" s="21" t="s">
        <v>317</v>
      </c>
      <c r="D692" s="21" t="s">
        <v>266</v>
      </c>
      <c r="E692" s="21" t="s">
        <v>543</v>
      </c>
      <c r="F692" s="21" t="s">
        <v>328</v>
      </c>
      <c r="G692" s="27">
        <v>0</v>
      </c>
      <c r="H692" s="205"/>
    </row>
    <row r="693" spans="1:10" ht="15.75">
      <c r="A693" s="26" t="s">
        <v>174</v>
      </c>
      <c r="B693" s="17">
        <v>907</v>
      </c>
      <c r="C693" s="21" t="s">
        <v>317</v>
      </c>
      <c r="D693" s="21" t="s">
        <v>268</v>
      </c>
      <c r="E693" s="21" t="s">
        <v>175</v>
      </c>
      <c r="F693" s="21"/>
      <c r="G693" s="27">
        <f>G694</f>
        <v>727.1</v>
      </c>
      <c r="H693" s="205"/>
    </row>
    <row r="694" spans="1:10" ht="31.5">
      <c r="A694" s="26" t="s">
        <v>238</v>
      </c>
      <c r="B694" s="17">
        <v>907</v>
      </c>
      <c r="C694" s="21" t="s">
        <v>317</v>
      </c>
      <c r="D694" s="21" t="s">
        <v>268</v>
      </c>
      <c r="E694" s="21" t="s">
        <v>239</v>
      </c>
      <c r="F694" s="21"/>
      <c r="G694" s="27">
        <f>G695+G698+G701</f>
        <v>727.1</v>
      </c>
      <c r="H694" s="205"/>
    </row>
    <row r="695" spans="1:10" ht="63">
      <c r="A695" s="33" t="s">
        <v>342</v>
      </c>
      <c r="B695" s="17">
        <v>907</v>
      </c>
      <c r="C695" s="21" t="s">
        <v>317</v>
      </c>
      <c r="D695" s="21" t="s">
        <v>268</v>
      </c>
      <c r="E695" s="21" t="s">
        <v>343</v>
      </c>
      <c r="F695" s="21"/>
      <c r="G695" s="27">
        <f>G696</f>
        <v>50</v>
      </c>
      <c r="H695" s="205"/>
    </row>
    <row r="696" spans="1:10" ht="47.25">
      <c r="A696" s="26" t="s">
        <v>325</v>
      </c>
      <c r="B696" s="17">
        <v>907</v>
      </c>
      <c r="C696" s="21" t="s">
        <v>317</v>
      </c>
      <c r="D696" s="21" t="s">
        <v>268</v>
      </c>
      <c r="E696" s="21" t="s">
        <v>343</v>
      </c>
      <c r="F696" s="21" t="s">
        <v>326</v>
      </c>
      <c r="G696" s="27">
        <f t="shared" ref="G696" si="132">G697</f>
        <v>50</v>
      </c>
      <c r="H696" s="205"/>
    </row>
    <row r="697" spans="1:10" ht="15.75">
      <c r="A697" s="26" t="s">
        <v>327</v>
      </c>
      <c r="B697" s="17">
        <v>907</v>
      </c>
      <c r="C697" s="21" t="s">
        <v>317</v>
      </c>
      <c r="D697" s="21" t="s">
        <v>268</v>
      </c>
      <c r="E697" s="21" t="s">
        <v>343</v>
      </c>
      <c r="F697" s="21" t="s">
        <v>328</v>
      </c>
      <c r="G697" s="27">
        <v>50</v>
      </c>
      <c r="H697" s="205"/>
    </row>
    <row r="698" spans="1:10" ht="78.75">
      <c r="A698" s="33" t="s">
        <v>344</v>
      </c>
      <c r="B698" s="17">
        <v>907</v>
      </c>
      <c r="C698" s="21" t="s">
        <v>317</v>
      </c>
      <c r="D698" s="21" t="s">
        <v>268</v>
      </c>
      <c r="E698" s="21" t="s">
        <v>345</v>
      </c>
      <c r="F698" s="21"/>
      <c r="G698" s="27">
        <f t="shared" ref="G698:G702" si="133">G699</f>
        <v>197.3</v>
      </c>
      <c r="H698" s="205"/>
    </row>
    <row r="699" spans="1:10" ht="47.25">
      <c r="A699" s="26" t="s">
        <v>325</v>
      </c>
      <c r="B699" s="17">
        <v>907</v>
      </c>
      <c r="C699" s="21" t="s">
        <v>317</v>
      </c>
      <c r="D699" s="21" t="s">
        <v>268</v>
      </c>
      <c r="E699" s="21" t="s">
        <v>345</v>
      </c>
      <c r="F699" s="21" t="s">
        <v>326</v>
      </c>
      <c r="G699" s="27">
        <f>G700</f>
        <v>197.3</v>
      </c>
      <c r="H699" s="205"/>
    </row>
    <row r="700" spans="1:10" ht="15.75">
      <c r="A700" s="26" t="s">
        <v>327</v>
      </c>
      <c r="B700" s="17">
        <v>907</v>
      </c>
      <c r="C700" s="21" t="s">
        <v>317</v>
      </c>
      <c r="D700" s="21" t="s">
        <v>268</v>
      </c>
      <c r="E700" s="21" t="s">
        <v>345</v>
      </c>
      <c r="F700" s="21" t="s">
        <v>328</v>
      </c>
      <c r="G700" s="27">
        <f>200-2.7</f>
        <v>197.3</v>
      </c>
      <c r="H700" s="205"/>
      <c r="I700" s="139"/>
      <c r="J700" s="140"/>
    </row>
    <row r="701" spans="1:10" ht="110.25">
      <c r="A701" s="33" t="s">
        <v>518</v>
      </c>
      <c r="B701" s="17">
        <v>907</v>
      </c>
      <c r="C701" s="21" t="s">
        <v>317</v>
      </c>
      <c r="D701" s="21" t="s">
        <v>268</v>
      </c>
      <c r="E701" s="21" t="s">
        <v>347</v>
      </c>
      <c r="F701" s="21"/>
      <c r="G701" s="27">
        <f>G702</f>
        <v>479.8</v>
      </c>
      <c r="H701" s="205"/>
    </row>
    <row r="702" spans="1:10" ht="47.25">
      <c r="A702" s="26" t="s">
        <v>325</v>
      </c>
      <c r="B702" s="17">
        <v>907</v>
      </c>
      <c r="C702" s="21" t="s">
        <v>317</v>
      </c>
      <c r="D702" s="21" t="s">
        <v>268</v>
      </c>
      <c r="E702" s="21" t="s">
        <v>347</v>
      </c>
      <c r="F702" s="21" t="s">
        <v>326</v>
      </c>
      <c r="G702" s="27">
        <f t="shared" si="133"/>
        <v>479.8</v>
      </c>
      <c r="H702" s="205"/>
    </row>
    <row r="703" spans="1:10" ht="15.75">
      <c r="A703" s="26" t="s">
        <v>327</v>
      </c>
      <c r="B703" s="17">
        <v>907</v>
      </c>
      <c r="C703" s="21" t="s">
        <v>317</v>
      </c>
      <c r="D703" s="21" t="s">
        <v>268</v>
      </c>
      <c r="E703" s="21" t="s">
        <v>347</v>
      </c>
      <c r="F703" s="21" t="s">
        <v>328</v>
      </c>
      <c r="G703" s="27">
        <f>500-20.2</f>
        <v>479.8</v>
      </c>
      <c r="H703" s="205"/>
      <c r="I703" s="139"/>
    </row>
    <row r="704" spans="1:10" ht="15.75">
      <c r="A704" s="24" t="s">
        <v>544</v>
      </c>
      <c r="B704" s="20">
        <v>907</v>
      </c>
      <c r="C704" s="25" t="s">
        <v>545</v>
      </c>
      <c r="D704" s="21"/>
      <c r="E704" s="21"/>
      <c r="F704" s="21"/>
      <c r="G704" s="22">
        <f t="shared" ref="G704" si="134">G705+G725</f>
        <v>34702.699999999997</v>
      </c>
      <c r="H704" s="205"/>
    </row>
    <row r="705" spans="1:9" ht="15.75">
      <c r="A705" s="24" t="s">
        <v>546</v>
      </c>
      <c r="B705" s="20">
        <v>907</v>
      </c>
      <c r="C705" s="25" t="s">
        <v>545</v>
      </c>
      <c r="D705" s="25" t="s">
        <v>171</v>
      </c>
      <c r="E705" s="21"/>
      <c r="F705" s="21"/>
      <c r="G705" s="22">
        <f>G706+G721</f>
        <v>23173.9</v>
      </c>
      <c r="H705" s="205"/>
    </row>
    <row r="706" spans="1:9" ht="47.25">
      <c r="A706" s="26" t="s">
        <v>535</v>
      </c>
      <c r="B706" s="17">
        <v>907</v>
      </c>
      <c r="C706" s="21" t="s">
        <v>545</v>
      </c>
      <c r="D706" s="21" t="s">
        <v>171</v>
      </c>
      <c r="E706" s="21" t="s">
        <v>536</v>
      </c>
      <c r="F706" s="21"/>
      <c r="G706" s="27">
        <f>G707</f>
        <v>22673.9</v>
      </c>
      <c r="H706" s="205"/>
    </row>
    <row r="707" spans="1:9" ht="47.25">
      <c r="A707" s="26" t="s">
        <v>547</v>
      </c>
      <c r="B707" s="17">
        <v>907</v>
      </c>
      <c r="C707" s="21" t="s">
        <v>545</v>
      </c>
      <c r="D707" s="21" t="s">
        <v>171</v>
      </c>
      <c r="E707" s="21" t="s">
        <v>548</v>
      </c>
      <c r="F707" s="21"/>
      <c r="G707" s="27">
        <f>G708+G711+G714+G717</f>
        <v>22673.9</v>
      </c>
      <c r="H707" s="205"/>
    </row>
    <row r="708" spans="1:9" ht="47.25">
      <c r="A708" s="26" t="s">
        <v>549</v>
      </c>
      <c r="B708" s="17">
        <v>907</v>
      </c>
      <c r="C708" s="21" t="s">
        <v>545</v>
      </c>
      <c r="D708" s="21" t="s">
        <v>171</v>
      </c>
      <c r="E708" s="21" t="s">
        <v>550</v>
      </c>
      <c r="F708" s="21"/>
      <c r="G708" s="27">
        <f>G709</f>
        <v>22376.400000000001</v>
      </c>
      <c r="H708" s="205"/>
    </row>
    <row r="709" spans="1:9" ht="47.25">
      <c r="A709" s="26" t="s">
        <v>325</v>
      </c>
      <c r="B709" s="17">
        <v>907</v>
      </c>
      <c r="C709" s="21" t="s">
        <v>545</v>
      </c>
      <c r="D709" s="21" t="s">
        <v>171</v>
      </c>
      <c r="E709" s="21" t="s">
        <v>550</v>
      </c>
      <c r="F709" s="21" t="s">
        <v>326</v>
      </c>
      <c r="G709" s="27">
        <f t="shared" ref="G709" si="135">G710</f>
        <v>22376.400000000001</v>
      </c>
      <c r="H709" s="205"/>
    </row>
    <row r="710" spans="1:9" ht="15.75">
      <c r="A710" s="26" t="s">
        <v>327</v>
      </c>
      <c r="B710" s="17">
        <v>907</v>
      </c>
      <c r="C710" s="21" t="s">
        <v>545</v>
      </c>
      <c r="D710" s="21" t="s">
        <v>171</v>
      </c>
      <c r="E710" s="21" t="s">
        <v>550</v>
      </c>
      <c r="F710" s="21" t="s">
        <v>328</v>
      </c>
      <c r="G710" s="190">
        <f>10890+1490.1+9887.3-199+308</f>
        <v>22376.400000000001</v>
      </c>
      <c r="H710" s="130" t="s">
        <v>837</v>
      </c>
      <c r="I710" s="149"/>
    </row>
    <row r="711" spans="1:9" ht="47.25">
      <c r="A711" s="26" t="s">
        <v>331</v>
      </c>
      <c r="B711" s="17">
        <v>907</v>
      </c>
      <c r="C711" s="21" t="s">
        <v>545</v>
      </c>
      <c r="D711" s="21" t="s">
        <v>171</v>
      </c>
      <c r="E711" s="21" t="s">
        <v>551</v>
      </c>
      <c r="F711" s="21"/>
      <c r="G711" s="27">
        <f t="shared" ref="G711:G712" si="136">G712</f>
        <v>297.5</v>
      </c>
      <c r="H711" s="205"/>
    </row>
    <row r="712" spans="1:9" ht="47.25">
      <c r="A712" s="26" t="s">
        <v>325</v>
      </c>
      <c r="B712" s="17">
        <v>907</v>
      </c>
      <c r="C712" s="21" t="s">
        <v>545</v>
      </c>
      <c r="D712" s="21" t="s">
        <v>171</v>
      </c>
      <c r="E712" s="21" t="s">
        <v>551</v>
      </c>
      <c r="F712" s="21" t="s">
        <v>326</v>
      </c>
      <c r="G712" s="27">
        <f t="shared" si="136"/>
        <v>297.5</v>
      </c>
      <c r="H712" s="205"/>
    </row>
    <row r="713" spans="1:9" ht="15.75">
      <c r="A713" s="26" t="s">
        <v>327</v>
      </c>
      <c r="B713" s="17">
        <v>907</v>
      </c>
      <c r="C713" s="21" t="s">
        <v>545</v>
      </c>
      <c r="D713" s="21" t="s">
        <v>171</v>
      </c>
      <c r="E713" s="21" t="s">
        <v>551</v>
      </c>
      <c r="F713" s="21" t="s">
        <v>328</v>
      </c>
      <c r="G713" s="185">
        <f>797.5-500</f>
        <v>297.5</v>
      </c>
      <c r="H713" s="184" t="s">
        <v>835</v>
      </c>
    </row>
    <row r="714" spans="1:9" ht="31.5" hidden="1">
      <c r="A714" s="26" t="s">
        <v>333</v>
      </c>
      <c r="B714" s="17">
        <v>907</v>
      </c>
      <c r="C714" s="21" t="s">
        <v>545</v>
      </c>
      <c r="D714" s="21" t="s">
        <v>171</v>
      </c>
      <c r="E714" s="21" t="s">
        <v>552</v>
      </c>
      <c r="F714" s="21"/>
      <c r="G714" s="27">
        <f t="shared" ref="G714:G715" si="137">G715</f>
        <v>0</v>
      </c>
      <c r="H714" s="205"/>
    </row>
    <row r="715" spans="1:9" ht="47.25" hidden="1">
      <c r="A715" s="26" t="s">
        <v>325</v>
      </c>
      <c r="B715" s="17">
        <v>907</v>
      </c>
      <c r="C715" s="21" t="s">
        <v>545</v>
      </c>
      <c r="D715" s="21" t="s">
        <v>171</v>
      </c>
      <c r="E715" s="21" t="s">
        <v>552</v>
      </c>
      <c r="F715" s="21" t="s">
        <v>326</v>
      </c>
      <c r="G715" s="27">
        <f t="shared" si="137"/>
        <v>0</v>
      </c>
      <c r="H715" s="205"/>
    </row>
    <row r="716" spans="1:9" ht="15.75" hidden="1">
      <c r="A716" s="26" t="s">
        <v>327</v>
      </c>
      <c r="B716" s="17">
        <v>907</v>
      </c>
      <c r="C716" s="21" t="s">
        <v>545</v>
      </c>
      <c r="D716" s="21" t="s">
        <v>171</v>
      </c>
      <c r="E716" s="21" t="s">
        <v>552</v>
      </c>
      <c r="F716" s="21" t="s">
        <v>328</v>
      </c>
      <c r="G716" s="27">
        <v>0</v>
      </c>
      <c r="H716" s="205"/>
    </row>
    <row r="717" spans="1:9" ht="31.5" hidden="1">
      <c r="A717" s="26" t="s">
        <v>337</v>
      </c>
      <c r="B717" s="17">
        <v>907</v>
      </c>
      <c r="C717" s="21" t="s">
        <v>545</v>
      </c>
      <c r="D717" s="21" t="s">
        <v>171</v>
      </c>
      <c r="E717" s="21" t="s">
        <v>553</v>
      </c>
      <c r="F717" s="21"/>
      <c r="G717" s="27">
        <f t="shared" ref="G717:G718" si="138">G718</f>
        <v>0</v>
      </c>
      <c r="H717" s="205"/>
    </row>
    <row r="718" spans="1:9" ht="47.25" hidden="1">
      <c r="A718" s="26" t="s">
        <v>325</v>
      </c>
      <c r="B718" s="17">
        <v>907</v>
      </c>
      <c r="C718" s="21" t="s">
        <v>545</v>
      </c>
      <c r="D718" s="21" t="s">
        <v>171</v>
      </c>
      <c r="E718" s="21" t="s">
        <v>553</v>
      </c>
      <c r="F718" s="21" t="s">
        <v>326</v>
      </c>
      <c r="G718" s="27">
        <f t="shared" si="138"/>
        <v>0</v>
      </c>
      <c r="H718" s="205"/>
    </row>
    <row r="719" spans="1:9" ht="15.75" hidden="1">
      <c r="A719" s="26" t="s">
        <v>327</v>
      </c>
      <c r="B719" s="17">
        <v>907</v>
      </c>
      <c r="C719" s="21" t="s">
        <v>545</v>
      </c>
      <c r="D719" s="21" t="s">
        <v>171</v>
      </c>
      <c r="E719" s="21" t="s">
        <v>553</v>
      </c>
      <c r="F719" s="21" t="s">
        <v>328</v>
      </c>
      <c r="G719" s="27">
        <v>0</v>
      </c>
      <c r="H719" s="205"/>
    </row>
    <row r="720" spans="1:9" ht="15.75">
      <c r="A720" s="26" t="s">
        <v>174</v>
      </c>
      <c r="B720" s="17">
        <v>907</v>
      </c>
      <c r="C720" s="21" t="s">
        <v>545</v>
      </c>
      <c r="D720" s="21" t="s">
        <v>171</v>
      </c>
      <c r="E720" s="21" t="s">
        <v>175</v>
      </c>
      <c r="F720" s="21"/>
      <c r="G720" s="27">
        <f>G721</f>
        <v>500</v>
      </c>
      <c r="H720" s="205"/>
    </row>
    <row r="721" spans="1:9" ht="31.5">
      <c r="A721" s="26" t="s">
        <v>238</v>
      </c>
      <c r="B721" s="17">
        <v>907</v>
      </c>
      <c r="C721" s="21" t="s">
        <v>545</v>
      </c>
      <c r="D721" s="21" t="s">
        <v>171</v>
      </c>
      <c r="E721" s="21" t="s">
        <v>239</v>
      </c>
      <c r="F721" s="21"/>
      <c r="G721" s="27">
        <f>G722</f>
        <v>500</v>
      </c>
      <c r="H721" s="205"/>
    </row>
    <row r="722" spans="1:9" ht="31.5">
      <c r="A722" s="26" t="s">
        <v>834</v>
      </c>
      <c r="B722" s="17">
        <v>907</v>
      </c>
      <c r="C722" s="21" t="s">
        <v>545</v>
      </c>
      <c r="D722" s="21" t="s">
        <v>171</v>
      </c>
      <c r="E722" s="21" t="s">
        <v>832</v>
      </c>
      <c r="F722" s="21"/>
      <c r="G722" s="27">
        <f>G724</f>
        <v>500</v>
      </c>
      <c r="H722" s="205"/>
    </row>
    <row r="723" spans="1:9" ht="47.25">
      <c r="A723" s="26" t="s">
        <v>325</v>
      </c>
      <c r="B723" s="17">
        <v>907</v>
      </c>
      <c r="C723" s="21" t="s">
        <v>545</v>
      </c>
      <c r="D723" s="21" t="s">
        <v>171</v>
      </c>
      <c r="E723" s="21" t="s">
        <v>832</v>
      </c>
      <c r="F723" s="21" t="s">
        <v>326</v>
      </c>
      <c r="G723" s="27">
        <f>G724</f>
        <v>500</v>
      </c>
      <c r="H723" s="205"/>
    </row>
    <row r="724" spans="1:9" ht="15.75">
      <c r="A724" s="26" t="s">
        <v>327</v>
      </c>
      <c r="B724" s="17">
        <v>907</v>
      </c>
      <c r="C724" s="21" t="s">
        <v>545</v>
      </c>
      <c r="D724" s="21" t="s">
        <v>171</v>
      </c>
      <c r="E724" s="21" t="s">
        <v>832</v>
      </c>
      <c r="F724" s="21" t="s">
        <v>328</v>
      </c>
      <c r="G724" s="185">
        <v>500</v>
      </c>
      <c r="H724" s="184" t="s">
        <v>836</v>
      </c>
    </row>
    <row r="725" spans="1:9" ht="31.5">
      <c r="A725" s="24" t="s">
        <v>554</v>
      </c>
      <c r="B725" s="20">
        <v>907</v>
      </c>
      <c r="C725" s="25" t="s">
        <v>545</v>
      </c>
      <c r="D725" s="25" t="s">
        <v>287</v>
      </c>
      <c r="E725" s="25"/>
      <c r="F725" s="25"/>
      <c r="G725" s="22">
        <f t="shared" ref="G725" si="139">G733+G726</f>
        <v>11528.8</v>
      </c>
      <c r="H725" s="205"/>
    </row>
    <row r="726" spans="1:9" ht="47.25">
      <c r="A726" s="31" t="s">
        <v>535</v>
      </c>
      <c r="B726" s="17">
        <v>907</v>
      </c>
      <c r="C726" s="21" t="s">
        <v>545</v>
      </c>
      <c r="D726" s="21" t="s">
        <v>287</v>
      </c>
      <c r="E726" s="42" t="s">
        <v>536</v>
      </c>
      <c r="F726" s="21"/>
      <c r="G726" s="27">
        <f t="shared" ref="G726:G727" si="140">G727</f>
        <v>3047</v>
      </c>
      <c r="H726" s="205"/>
    </row>
    <row r="727" spans="1:9" ht="47.25">
      <c r="A727" s="47" t="s">
        <v>555</v>
      </c>
      <c r="B727" s="17">
        <v>907</v>
      </c>
      <c r="C727" s="21" t="s">
        <v>545</v>
      </c>
      <c r="D727" s="21" t="s">
        <v>287</v>
      </c>
      <c r="E727" s="42" t="s">
        <v>556</v>
      </c>
      <c r="F727" s="21"/>
      <c r="G727" s="27">
        <f t="shared" si="140"/>
        <v>3047</v>
      </c>
      <c r="H727" s="205"/>
    </row>
    <row r="728" spans="1:9" ht="31.5">
      <c r="A728" s="31" t="s">
        <v>210</v>
      </c>
      <c r="B728" s="17">
        <v>907</v>
      </c>
      <c r="C728" s="21" t="s">
        <v>545</v>
      </c>
      <c r="D728" s="21" t="s">
        <v>287</v>
      </c>
      <c r="E728" s="42" t="s">
        <v>557</v>
      </c>
      <c r="F728" s="21"/>
      <c r="G728" s="27">
        <f>G731+G729</f>
        <v>3047</v>
      </c>
      <c r="H728" s="205"/>
    </row>
    <row r="729" spans="1:9" ht="94.5">
      <c r="A729" s="26" t="s">
        <v>180</v>
      </c>
      <c r="B729" s="17">
        <v>907</v>
      </c>
      <c r="C729" s="21" t="s">
        <v>545</v>
      </c>
      <c r="D729" s="21" t="s">
        <v>287</v>
      </c>
      <c r="E729" s="42" t="s">
        <v>557</v>
      </c>
      <c r="F729" s="21" t="s">
        <v>181</v>
      </c>
      <c r="G729" s="27">
        <f>G730</f>
        <v>2111</v>
      </c>
      <c r="H729" s="205"/>
    </row>
    <row r="730" spans="1:9" ht="31.5">
      <c r="A730" s="26" t="s">
        <v>182</v>
      </c>
      <c r="B730" s="17">
        <v>907</v>
      </c>
      <c r="C730" s="21" t="s">
        <v>545</v>
      </c>
      <c r="D730" s="21" t="s">
        <v>287</v>
      </c>
      <c r="E730" s="42" t="s">
        <v>557</v>
      </c>
      <c r="F730" s="21" t="s">
        <v>183</v>
      </c>
      <c r="G730" s="27">
        <v>2111</v>
      </c>
      <c r="H730" s="205"/>
      <c r="I730" s="139"/>
    </row>
    <row r="731" spans="1:9" ht="31.5">
      <c r="A731" s="31" t="s">
        <v>184</v>
      </c>
      <c r="B731" s="17">
        <v>907</v>
      </c>
      <c r="C731" s="21" t="s">
        <v>545</v>
      </c>
      <c r="D731" s="21" t="s">
        <v>287</v>
      </c>
      <c r="E731" s="42" t="s">
        <v>557</v>
      </c>
      <c r="F731" s="21" t="s">
        <v>185</v>
      </c>
      <c r="G731" s="27">
        <f t="shared" ref="G731" si="141">G732</f>
        <v>936</v>
      </c>
      <c r="H731" s="205"/>
    </row>
    <row r="732" spans="1:9" ht="47.25">
      <c r="A732" s="31" t="s">
        <v>186</v>
      </c>
      <c r="B732" s="17">
        <v>907</v>
      </c>
      <c r="C732" s="21" t="s">
        <v>545</v>
      </c>
      <c r="D732" s="21" t="s">
        <v>287</v>
      </c>
      <c r="E732" s="42" t="s">
        <v>557</v>
      </c>
      <c r="F732" s="21" t="s">
        <v>187</v>
      </c>
      <c r="G732" s="27">
        <f>3047-2111</f>
        <v>936</v>
      </c>
      <c r="H732" s="205"/>
      <c r="I732" s="139"/>
    </row>
    <row r="733" spans="1:9" ht="15.75">
      <c r="A733" s="26" t="s">
        <v>174</v>
      </c>
      <c r="B733" s="17">
        <v>907</v>
      </c>
      <c r="C733" s="21" t="s">
        <v>545</v>
      </c>
      <c r="D733" s="21" t="s">
        <v>287</v>
      </c>
      <c r="E733" s="21" t="s">
        <v>175</v>
      </c>
      <c r="F733" s="21"/>
      <c r="G733" s="27">
        <f>G734+G740</f>
        <v>8481.7999999999993</v>
      </c>
      <c r="H733" s="205"/>
    </row>
    <row r="734" spans="1:9" ht="31.5">
      <c r="A734" s="26" t="s">
        <v>176</v>
      </c>
      <c r="B734" s="17">
        <v>907</v>
      </c>
      <c r="C734" s="21" t="s">
        <v>545</v>
      </c>
      <c r="D734" s="21" t="s">
        <v>287</v>
      </c>
      <c r="E734" s="21" t="s">
        <v>177</v>
      </c>
      <c r="F734" s="21"/>
      <c r="G734" s="27">
        <f>G735</f>
        <v>3599.8</v>
      </c>
      <c r="H734" s="205"/>
    </row>
    <row r="735" spans="1:9" ht="47.25">
      <c r="A735" s="26" t="s">
        <v>178</v>
      </c>
      <c r="B735" s="17">
        <v>907</v>
      </c>
      <c r="C735" s="21" t="s">
        <v>545</v>
      </c>
      <c r="D735" s="21" t="s">
        <v>287</v>
      </c>
      <c r="E735" s="21" t="s">
        <v>179</v>
      </c>
      <c r="F735" s="21"/>
      <c r="G735" s="27">
        <f t="shared" ref="G735" si="142">G736+G738</f>
        <v>3599.8</v>
      </c>
      <c r="H735" s="205"/>
    </row>
    <row r="736" spans="1:9" ht="94.5">
      <c r="A736" s="26" t="s">
        <v>180</v>
      </c>
      <c r="B736" s="17">
        <v>907</v>
      </c>
      <c r="C736" s="21" t="s">
        <v>545</v>
      </c>
      <c r="D736" s="21" t="s">
        <v>287</v>
      </c>
      <c r="E736" s="21" t="s">
        <v>179</v>
      </c>
      <c r="F736" s="21" t="s">
        <v>181</v>
      </c>
      <c r="G736" s="27">
        <f>G737</f>
        <v>3599.8</v>
      </c>
      <c r="H736" s="205"/>
    </row>
    <row r="737" spans="1:12" ht="31.5">
      <c r="A737" s="26" t="s">
        <v>182</v>
      </c>
      <c r="B737" s="17">
        <v>907</v>
      </c>
      <c r="C737" s="21" t="s">
        <v>545</v>
      </c>
      <c r="D737" s="21" t="s">
        <v>287</v>
      </c>
      <c r="E737" s="21" t="s">
        <v>179</v>
      </c>
      <c r="F737" s="21" t="s">
        <v>183</v>
      </c>
      <c r="G737" s="28">
        <v>3599.8</v>
      </c>
      <c r="H737" s="205"/>
    </row>
    <row r="738" spans="1:12" ht="31.5" hidden="1">
      <c r="A738" s="26" t="s">
        <v>184</v>
      </c>
      <c r="B738" s="17">
        <v>907</v>
      </c>
      <c r="C738" s="21" t="s">
        <v>545</v>
      </c>
      <c r="D738" s="21" t="s">
        <v>287</v>
      </c>
      <c r="E738" s="21" t="s">
        <v>179</v>
      </c>
      <c r="F738" s="21" t="s">
        <v>185</v>
      </c>
      <c r="G738" s="27">
        <f t="shared" ref="G738" si="143">G739</f>
        <v>0</v>
      </c>
      <c r="H738" s="205"/>
    </row>
    <row r="739" spans="1:12" ht="47.25" hidden="1">
      <c r="A739" s="26" t="s">
        <v>186</v>
      </c>
      <c r="B739" s="17">
        <v>907</v>
      </c>
      <c r="C739" s="21" t="s">
        <v>545</v>
      </c>
      <c r="D739" s="21" t="s">
        <v>287</v>
      </c>
      <c r="E739" s="21" t="s">
        <v>179</v>
      </c>
      <c r="F739" s="21" t="s">
        <v>187</v>
      </c>
      <c r="G739" s="27"/>
      <c r="H739" s="205"/>
    </row>
    <row r="740" spans="1:12" ht="15.75">
      <c r="A740" s="26" t="s">
        <v>194</v>
      </c>
      <c r="B740" s="17">
        <v>907</v>
      </c>
      <c r="C740" s="21" t="s">
        <v>545</v>
      </c>
      <c r="D740" s="21" t="s">
        <v>287</v>
      </c>
      <c r="E740" s="21" t="s">
        <v>195</v>
      </c>
      <c r="F740" s="21"/>
      <c r="G740" s="27">
        <f>G741</f>
        <v>4882</v>
      </c>
      <c r="H740" s="205"/>
    </row>
    <row r="741" spans="1:12" ht="31.5">
      <c r="A741" s="26" t="s">
        <v>393</v>
      </c>
      <c r="B741" s="17">
        <v>907</v>
      </c>
      <c r="C741" s="21" t="s">
        <v>545</v>
      </c>
      <c r="D741" s="21" t="s">
        <v>287</v>
      </c>
      <c r="E741" s="21" t="s">
        <v>394</v>
      </c>
      <c r="F741" s="21"/>
      <c r="G741" s="27">
        <f>G742+G744+G746</f>
        <v>4882</v>
      </c>
      <c r="H741" s="205"/>
      <c r="J741" s="311"/>
      <c r="K741" s="311"/>
    </row>
    <row r="742" spans="1:12" ht="94.5">
      <c r="A742" s="26" t="s">
        <v>180</v>
      </c>
      <c r="B742" s="17">
        <v>907</v>
      </c>
      <c r="C742" s="21" t="s">
        <v>545</v>
      </c>
      <c r="D742" s="21" t="s">
        <v>287</v>
      </c>
      <c r="E742" s="21" t="s">
        <v>394</v>
      </c>
      <c r="F742" s="21" t="s">
        <v>181</v>
      </c>
      <c r="G742" s="27">
        <f>G743</f>
        <v>3660.7</v>
      </c>
      <c r="H742" s="205"/>
      <c r="J742" s="311"/>
      <c r="K742" s="311"/>
    </row>
    <row r="743" spans="1:12" ht="31.5">
      <c r="A743" s="26" t="s">
        <v>395</v>
      </c>
      <c r="B743" s="17">
        <v>907</v>
      </c>
      <c r="C743" s="21" t="s">
        <v>545</v>
      </c>
      <c r="D743" s="21" t="s">
        <v>287</v>
      </c>
      <c r="E743" s="21" t="s">
        <v>394</v>
      </c>
      <c r="F743" s="21" t="s">
        <v>262</v>
      </c>
      <c r="G743" s="28">
        <f>4240.2-579.5</f>
        <v>3660.7</v>
      </c>
      <c r="H743" s="130"/>
      <c r="I743" s="148"/>
      <c r="J743" s="311"/>
      <c r="K743" s="311"/>
    </row>
    <row r="744" spans="1:12" ht="31.5">
      <c r="A744" s="26" t="s">
        <v>184</v>
      </c>
      <c r="B744" s="17">
        <v>907</v>
      </c>
      <c r="C744" s="21" t="s">
        <v>545</v>
      </c>
      <c r="D744" s="21" t="s">
        <v>287</v>
      </c>
      <c r="E744" s="21" t="s">
        <v>394</v>
      </c>
      <c r="F744" s="21" t="s">
        <v>185</v>
      </c>
      <c r="G744" s="27">
        <f>G745</f>
        <v>1194.1999999999998</v>
      </c>
      <c r="H744" s="205"/>
      <c r="J744" s="311"/>
      <c r="K744" s="311"/>
    </row>
    <row r="745" spans="1:12" ht="47.25">
      <c r="A745" s="26" t="s">
        <v>186</v>
      </c>
      <c r="B745" s="17">
        <v>907</v>
      </c>
      <c r="C745" s="21" t="s">
        <v>545</v>
      </c>
      <c r="D745" s="21" t="s">
        <v>287</v>
      </c>
      <c r="E745" s="21" t="s">
        <v>394</v>
      </c>
      <c r="F745" s="21" t="s">
        <v>187</v>
      </c>
      <c r="G745" s="28">
        <f>1339.6-145.4</f>
        <v>1194.1999999999998</v>
      </c>
      <c r="H745" s="130"/>
      <c r="I745" s="148"/>
      <c r="J745" s="311"/>
      <c r="K745" s="311"/>
    </row>
    <row r="746" spans="1:12" ht="15.75">
      <c r="A746" s="26" t="s">
        <v>188</v>
      </c>
      <c r="B746" s="17">
        <v>907</v>
      </c>
      <c r="C746" s="21" t="s">
        <v>545</v>
      </c>
      <c r="D746" s="21" t="s">
        <v>287</v>
      </c>
      <c r="E746" s="21" t="s">
        <v>394</v>
      </c>
      <c r="F746" s="21" t="s">
        <v>198</v>
      </c>
      <c r="G746" s="27">
        <f>G747</f>
        <v>27.1</v>
      </c>
      <c r="H746" s="205"/>
      <c r="J746" s="311"/>
      <c r="K746" s="311"/>
    </row>
    <row r="747" spans="1:12" ht="15.75">
      <c r="A747" s="26" t="s">
        <v>622</v>
      </c>
      <c r="B747" s="17">
        <v>907</v>
      </c>
      <c r="C747" s="21" t="s">
        <v>545</v>
      </c>
      <c r="D747" s="21" t="s">
        <v>287</v>
      </c>
      <c r="E747" s="21" t="s">
        <v>394</v>
      </c>
      <c r="F747" s="21" t="s">
        <v>191</v>
      </c>
      <c r="G747" s="27">
        <f>27.1</f>
        <v>27.1</v>
      </c>
      <c r="H747" s="130"/>
      <c r="I747" s="148"/>
      <c r="J747" s="311"/>
      <c r="K747" s="311"/>
    </row>
    <row r="748" spans="1:12" ht="47.25">
      <c r="A748" s="20" t="s">
        <v>558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5"/>
      <c r="L748" s="140"/>
    </row>
    <row r="749" spans="1:12" ht="15.75">
      <c r="A749" s="36" t="s">
        <v>170</v>
      </c>
      <c r="B749" s="20">
        <v>908</v>
      </c>
      <c r="C749" s="25" t="s">
        <v>171</v>
      </c>
      <c r="D749" s="21"/>
      <c r="E749" s="21"/>
      <c r="F749" s="21"/>
      <c r="G749" s="22">
        <f>G750</f>
        <v>16714.8</v>
      </c>
      <c r="H749" s="205"/>
      <c r="L749" s="140"/>
    </row>
    <row r="750" spans="1:12" ht="15.75">
      <c r="A750" s="36" t="s">
        <v>192</v>
      </c>
      <c r="B750" s="20">
        <v>908</v>
      </c>
      <c r="C750" s="25" t="s">
        <v>171</v>
      </c>
      <c r="D750" s="25" t="s">
        <v>193</v>
      </c>
      <c r="E750" s="21"/>
      <c r="F750" s="21"/>
      <c r="G750" s="22">
        <f>G752+G755</f>
        <v>16714.8</v>
      </c>
      <c r="H750" s="205"/>
      <c r="L750" s="140"/>
    </row>
    <row r="751" spans="1:12" ht="15.75">
      <c r="A751" s="26" t="s">
        <v>194</v>
      </c>
      <c r="B751" s="17">
        <v>908</v>
      </c>
      <c r="C751" s="21" t="s">
        <v>171</v>
      </c>
      <c r="D751" s="21" t="s">
        <v>193</v>
      </c>
      <c r="E751" s="21" t="s">
        <v>195</v>
      </c>
      <c r="F751" s="21"/>
      <c r="G751" s="27">
        <f>G752</f>
        <v>262.5</v>
      </c>
      <c r="H751" s="205"/>
      <c r="L751" s="140"/>
    </row>
    <row r="752" spans="1:12" ht="15.75">
      <c r="A752" s="26" t="s">
        <v>196</v>
      </c>
      <c r="B752" s="17">
        <v>908</v>
      </c>
      <c r="C752" s="21" t="s">
        <v>171</v>
      </c>
      <c r="D752" s="21" t="s">
        <v>193</v>
      </c>
      <c r="E752" s="21" t="s">
        <v>197</v>
      </c>
      <c r="F752" s="21"/>
      <c r="G752" s="27">
        <f>G753</f>
        <v>262.5</v>
      </c>
      <c r="H752" s="205"/>
      <c r="L752" s="140"/>
    </row>
    <row r="753" spans="1:12" ht="15.75">
      <c r="A753" s="26" t="s">
        <v>188</v>
      </c>
      <c r="B753" s="17">
        <v>908</v>
      </c>
      <c r="C753" s="21" t="s">
        <v>171</v>
      </c>
      <c r="D753" s="21" t="s">
        <v>193</v>
      </c>
      <c r="E753" s="21" t="s">
        <v>197</v>
      </c>
      <c r="F753" s="21" t="s">
        <v>198</v>
      </c>
      <c r="G753" s="27">
        <f>G754</f>
        <v>262.5</v>
      </c>
      <c r="H753" s="205"/>
      <c r="L753" s="140"/>
    </row>
    <row r="754" spans="1:12" ht="15.75">
      <c r="A754" s="26" t="s">
        <v>622</v>
      </c>
      <c r="B754" s="17">
        <v>908</v>
      </c>
      <c r="C754" s="21" t="s">
        <v>171</v>
      </c>
      <c r="D754" s="21" t="s">
        <v>193</v>
      </c>
      <c r="E754" s="21" t="s">
        <v>197</v>
      </c>
      <c r="F754" s="21" t="s">
        <v>191</v>
      </c>
      <c r="G754" s="27">
        <v>262.5</v>
      </c>
      <c r="H754" s="130"/>
      <c r="I754" s="148"/>
      <c r="L754" s="140"/>
    </row>
    <row r="755" spans="1:12" ht="31.5">
      <c r="A755" s="26" t="s">
        <v>638</v>
      </c>
      <c r="B755" s="17">
        <v>908</v>
      </c>
      <c r="C755" s="21" t="s">
        <v>171</v>
      </c>
      <c r="D755" s="21" t="s">
        <v>193</v>
      </c>
      <c r="E755" s="21" t="s">
        <v>639</v>
      </c>
      <c r="F755" s="21"/>
      <c r="G755" s="28">
        <f>G756</f>
        <v>16452.3</v>
      </c>
      <c r="H755" s="205"/>
    </row>
    <row r="756" spans="1:12" ht="31.5">
      <c r="A756" s="26" t="s">
        <v>363</v>
      </c>
      <c r="B756" s="17">
        <v>908</v>
      </c>
      <c r="C756" s="21" t="s">
        <v>171</v>
      </c>
      <c r="D756" s="21" t="s">
        <v>193</v>
      </c>
      <c r="E756" s="21" t="s">
        <v>640</v>
      </c>
      <c r="F756" s="21"/>
      <c r="G756" s="28">
        <f>G757+G759+G761</f>
        <v>16452.3</v>
      </c>
      <c r="H756" s="205"/>
    </row>
    <row r="757" spans="1:12" ht="94.5">
      <c r="A757" s="26" t="s">
        <v>180</v>
      </c>
      <c r="B757" s="17">
        <v>908</v>
      </c>
      <c r="C757" s="21" t="s">
        <v>171</v>
      </c>
      <c r="D757" s="21" t="s">
        <v>193</v>
      </c>
      <c r="E757" s="21" t="s">
        <v>640</v>
      </c>
      <c r="F757" s="21" t="s">
        <v>181</v>
      </c>
      <c r="G757" s="28">
        <f>G758</f>
        <v>13760</v>
      </c>
      <c r="H757" s="205"/>
    </row>
    <row r="758" spans="1:12" ht="31.5">
      <c r="A758" s="48" t="s">
        <v>395</v>
      </c>
      <c r="B758" s="17">
        <v>908</v>
      </c>
      <c r="C758" s="21" t="s">
        <v>171</v>
      </c>
      <c r="D758" s="21" t="s">
        <v>193</v>
      </c>
      <c r="E758" s="21" t="s">
        <v>640</v>
      </c>
      <c r="F758" s="21" t="s">
        <v>262</v>
      </c>
      <c r="G758" s="193">
        <f>13403.8+356.2</f>
        <v>13760</v>
      </c>
      <c r="H758" s="130" t="s">
        <v>846</v>
      </c>
      <c r="I758" s="148"/>
      <c r="L758" s="140"/>
    </row>
    <row r="759" spans="1:12" ht="31.5">
      <c r="A759" s="26" t="s">
        <v>184</v>
      </c>
      <c r="B759" s="17">
        <v>908</v>
      </c>
      <c r="C759" s="21" t="s">
        <v>171</v>
      </c>
      <c r="D759" s="21" t="s">
        <v>193</v>
      </c>
      <c r="E759" s="21" t="s">
        <v>640</v>
      </c>
      <c r="F759" s="21" t="s">
        <v>185</v>
      </c>
      <c r="G759" s="28">
        <f>G760</f>
        <v>2678</v>
      </c>
      <c r="H759" s="205"/>
      <c r="L759" s="140"/>
    </row>
    <row r="760" spans="1:12" ht="47.25">
      <c r="A760" s="26" t="s">
        <v>186</v>
      </c>
      <c r="B760" s="17">
        <v>908</v>
      </c>
      <c r="C760" s="21" t="s">
        <v>171</v>
      </c>
      <c r="D760" s="21" t="s">
        <v>193</v>
      </c>
      <c r="E760" s="21" t="s">
        <v>640</v>
      </c>
      <c r="F760" s="21" t="s">
        <v>187</v>
      </c>
      <c r="G760" s="193">
        <f>3034.2-356.2</f>
        <v>2678</v>
      </c>
      <c r="H760" s="130" t="s">
        <v>847</v>
      </c>
      <c r="I760" s="148"/>
      <c r="L760" s="140"/>
    </row>
    <row r="761" spans="1:12" ht="15.75">
      <c r="A761" s="26" t="s">
        <v>188</v>
      </c>
      <c r="B761" s="17">
        <v>908</v>
      </c>
      <c r="C761" s="21" t="s">
        <v>171</v>
      </c>
      <c r="D761" s="21" t="s">
        <v>193</v>
      </c>
      <c r="E761" s="21" t="s">
        <v>640</v>
      </c>
      <c r="F761" s="21" t="s">
        <v>198</v>
      </c>
      <c r="G761" s="28">
        <f>G762</f>
        <v>14.3</v>
      </c>
      <c r="H761" s="205"/>
      <c r="L761" s="140"/>
    </row>
    <row r="762" spans="1:12" ht="15.75">
      <c r="A762" s="26" t="s">
        <v>803</v>
      </c>
      <c r="B762" s="17">
        <v>908</v>
      </c>
      <c r="C762" s="21" t="s">
        <v>171</v>
      </c>
      <c r="D762" s="21" t="s">
        <v>193</v>
      </c>
      <c r="E762" s="21" t="s">
        <v>640</v>
      </c>
      <c r="F762" s="21" t="s">
        <v>191</v>
      </c>
      <c r="G762" s="28">
        <v>14.3</v>
      </c>
      <c r="H762" s="130"/>
      <c r="I762" s="148"/>
      <c r="L762" s="140"/>
    </row>
    <row r="763" spans="1:12" ht="31.5">
      <c r="A763" s="24" t="s">
        <v>275</v>
      </c>
      <c r="B763" s="20">
        <v>908</v>
      </c>
      <c r="C763" s="25" t="s">
        <v>268</v>
      </c>
      <c r="D763" s="25"/>
      <c r="E763" s="25"/>
      <c r="F763" s="25"/>
      <c r="G763" s="22">
        <f t="shared" ref="G763:G768" si="144">G764</f>
        <v>50</v>
      </c>
      <c r="H763" s="205"/>
    </row>
    <row r="764" spans="1:12" ht="63">
      <c r="A764" s="24" t="s">
        <v>276</v>
      </c>
      <c r="B764" s="20">
        <v>908</v>
      </c>
      <c r="C764" s="25" t="s">
        <v>268</v>
      </c>
      <c r="D764" s="25" t="s">
        <v>272</v>
      </c>
      <c r="E764" s="25"/>
      <c r="F764" s="25"/>
      <c r="G764" s="22">
        <f t="shared" si="144"/>
        <v>50</v>
      </c>
      <c r="H764" s="205"/>
    </row>
    <row r="765" spans="1:12" ht="21.75" customHeight="1">
      <c r="A765" s="26" t="s">
        <v>174</v>
      </c>
      <c r="B765" s="17">
        <v>908</v>
      </c>
      <c r="C765" s="21" t="s">
        <v>268</v>
      </c>
      <c r="D765" s="21" t="s">
        <v>272</v>
      </c>
      <c r="E765" s="21" t="s">
        <v>175</v>
      </c>
      <c r="F765" s="21"/>
      <c r="G765" s="27">
        <f t="shared" si="144"/>
        <v>50</v>
      </c>
      <c r="H765" s="205"/>
    </row>
    <row r="766" spans="1:12" ht="15.75">
      <c r="A766" s="26" t="s">
        <v>194</v>
      </c>
      <c r="B766" s="17">
        <v>908</v>
      </c>
      <c r="C766" s="21" t="s">
        <v>268</v>
      </c>
      <c r="D766" s="21" t="s">
        <v>272</v>
      </c>
      <c r="E766" s="21" t="s">
        <v>195</v>
      </c>
      <c r="F766" s="21"/>
      <c r="G766" s="27">
        <f t="shared" si="144"/>
        <v>50</v>
      </c>
      <c r="H766" s="205"/>
    </row>
    <row r="767" spans="1:12" ht="15.75">
      <c r="A767" s="26" t="s">
        <v>283</v>
      </c>
      <c r="B767" s="17">
        <v>908</v>
      </c>
      <c r="C767" s="21" t="s">
        <v>268</v>
      </c>
      <c r="D767" s="21" t="s">
        <v>272</v>
      </c>
      <c r="E767" s="21" t="s">
        <v>284</v>
      </c>
      <c r="F767" s="21"/>
      <c r="G767" s="27">
        <f t="shared" si="144"/>
        <v>50</v>
      </c>
      <c r="H767" s="205"/>
    </row>
    <row r="768" spans="1:12" ht="31.5">
      <c r="A768" s="26" t="s">
        <v>184</v>
      </c>
      <c r="B768" s="17">
        <v>908</v>
      </c>
      <c r="C768" s="21" t="s">
        <v>268</v>
      </c>
      <c r="D768" s="21" t="s">
        <v>272</v>
      </c>
      <c r="E768" s="21" t="s">
        <v>284</v>
      </c>
      <c r="F768" s="21" t="s">
        <v>185</v>
      </c>
      <c r="G768" s="27">
        <f t="shared" si="144"/>
        <v>50</v>
      </c>
      <c r="H768" s="205"/>
    </row>
    <row r="769" spans="1:9" ht="47.25">
      <c r="A769" s="26" t="s">
        <v>186</v>
      </c>
      <c r="B769" s="17">
        <v>908</v>
      </c>
      <c r="C769" s="21" t="s">
        <v>268</v>
      </c>
      <c r="D769" s="21" t="s">
        <v>272</v>
      </c>
      <c r="E769" s="21" t="s">
        <v>284</v>
      </c>
      <c r="F769" s="21" t="s">
        <v>187</v>
      </c>
      <c r="G769" s="27">
        <v>50</v>
      </c>
      <c r="H769" s="205"/>
    </row>
    <row r="770" spans="1:9" ht="15.75">
      <c r="A770" s="24" t="s">
        <v>285</v>
      </c>
      <c r="B770" s="20">
        <v>908</v>
      </c>
      <c r="C770" s="25" t="s">
        <v>203</v>
      </c>
      <c r="D770" s="25"/>
      <c r="E770" s="25"/>
      <c r="F770" s="25"/>
      <c r="G770" s="22">
        <f>G771+G777</f>
        <v>18331.8</v>
      </c>
      <c r="H770" s="205"/>
    </row>
    <row r="771" spans="1:9" ht="15.75">
      <c r="A771" s="24" t="s">
        <v>559</v>
      </c>
      <c r="B771" s="20">
        <v>908</v>
      </c>
      <c r="C771" s="25" t="s">
        <v>203</v>
      </c>
      <c r="D771" s="25" t="s">
        <v>352</v>
      </c>
      <c r="E771" s="25"/>
      <c r="F771" s="25"/>
      <c r="G771" s="22">
        <f>G772</f>
        <v>3207.7</v>
      </c>
      <c r="H771" s="205"/>
    </row>
    <row r="772" spans="1:9" ht="15.75">
      <c r="A772" s="26" t="s">
        <v>174</v>
      </c>
      <c r="B772" s="17">
        <v>908</v>
      </c>
      <c r="C772" s="21" t="s">
        <v>203</v>
      </c>
      <c r="D772" s="21" t="s">
        <v>352</v>
      </c>
      <c r="E772" s="21" t="s">
        <v>175</v>
      </c>
      <c r="F772" s="25"/>
      <c r="G772" s="27">
        <f>G773</f>
        <v>3207.7</v>
      </c>
      <c r="H772" s="205"/>
    </row>
    <row r="773" spans="1:9" ht="15.75">
      <c r="A773" s="26" t="s">
        <v>194</v>
      </c>
      <c r="B773" s="17">
        <v>908</v>
      </c>
      <c r="C773" s="21" t="s">
        <v>203</v>
      </c>
      <c r="D773" s="21" t="s">
        <v>352</v>
      </c>
      <c r="E773" s="21" t="s">
        <v>195</v>
      </c>
      <c r="F773" s="25"/>
      <c r="G773" s="27">
        <f>G774</f>
        <v>3207.7</v>
      </c>
      <c r="H773" s="205"/>
    </row>
    <row r="774" spans="1:9" ht="39" customHeight="1">
      <c r="A774" s="26" t="s">
        <v>560</v>
      </c>
      <c r="B774" s="17">
        <v>908</v>
      </c>
      <c r="C774" s="21" t="s">
        <v>203</v>
      </c>
      <c r="D774" s="21" t="s">
        <v>352</v>
      </c>
      <c r="E774" s="21" t="s">
        <v>561</v>
      </c>
      <c r="F774" s="21"/>
      <c r="G774" s="27">
        <f>G775</f>
        <v>3207.7</v>
      </c>
      <c r="H774" s="205"/>
    </row>
    <row r="775" spans="1:9" ht="31.5">
      <c r="A775" s="26" t="s">
        <v>184</v>
      </c>
      <c r="B775" s="17">
        <v>908</v>
      </c>
      <c r="C775" s="21" t="s">
        <v>203</v>
      </c>
      <c r="D775" s="21" t="s">
        <v>352</v>
      </c>
      <c r="E775" s="21" t="s">
        <v>561</v>
      </c>
      <c r="F775" s="21" t="s">
        <v>185</v>
      </c>
      <c r="G775" s="27">
        <f>G776</f>
        <v>3207.7</v>
      </c>
      <c r="H775" s="205"/>
    </row>
    <row r="776" spans="1:9" ht="47.25">
      <c r="A776" s="26" t="s">
        <v>186</v>
      </c>
      <c r="B776" s="17">
        <v>908</v>
      </c>
      <c r="C776" s="21" t="s">
        <v>203</v>
      </c>
      <c r="D776" s="21" t="s">
        <v>352</v>
      </c>
      <c r="E776" s="21" t="s">
        <v>561</v>
      </c>
      <c r="F776" s="21" t="s">
        <v>187</v>
      </c>
      <c r="G776" s="27">
        <v>3207.7</v>
      </c>
      <c r="H776" s="205"/>
    </row>
    <row r="777" spans="1:9" ht="15.75">
      <c r="A777" s="24" t="s">
        <v>562</v>
      </c>
      <c r="B777" s="20">
        <v>908</v>
      </c>
      <c r="C777" s="25" t="s">
        <v>203</v>
      </c>
      <c r="D777" s="25" t="s">
        <v>272</v>
      </c>
      <c r="E777" s="21"/>
      <c r="F777" s="25"/>
      <c r="G777" s="22">
        <f>G778</f>
        <v>15124.1</v>
      </c>
      <c r="H777" s="205"/>
    </row>
    <row r="778" spans="1:9" ht="47.25">
      <c r="A778" s="33" t="s">
        <v>563</v>
      </c>
      <c r="B778" s="17">
        <v>908</v>
      </c>
      <c r="C778" s="21" t="s">
        <v>203</v>
      </c>
      <c r="D778" s="21" t="s">
        <v>272</v>
      </c>
      <c r="E778" s="21" t="s">
        <v>564</v>
      </c>
      <c r="F778" s="21"/>
      <c r="G778" s="27">
        <f>G779</f>
        <v>15124.1</v>
      </c>
      <c r="H778" s="205"/>
    </row>
    <row r="779" spans="1:9" ht="15.75">
      <c r="A779" s="31" t="s">
        <v>565</v>
      </c>
      <c r="B779" s="17">
        <v>908</v>
      </c>
      <c r="C779" s="21" t="s">
        <v>203</v>
      </c>
      <c r="D779" s="21" t="s">
        <v>272</v>
      </c>
      <c r="E779" s="42" t="s">
        <v>566</v>
      </c>
      <c r="F779" s="21"/>
      <c r="G779" s="27">
        <f>G780+G782</f>
        <v>15124.1</v>
      </c>
      <c r="H779" s="205"/>
    </row>
    <row r="780" spans="1:9" ht="31.5">
      <c r="A780" s="26" t="s">
        <v>184</v>
      </c>
      <c r="B780" s="17">
        <v>908</v>
      </c>
      <c r="C780" s="21" t="s">
        <v>203</v>
      </c>
      <c r="D780" s="21" t="s">
        <v>272</v>
      </c>
      <c r="E780" s="42" t="s">
        <v>566</v>
      </c>
      <c r="F780" s="21" t="s">
        <v>185</v>
      </c>
      <c r="G780" s="27">
        <f>G781</f>
        <v>15108.1</v>
      </c>
      <c r="H780" s="205"/>
    </row>
    <row r="781" spans="1:9" ht="47.25">
      <c r="A781" s="26" t="s">
        <v>186</v>
      </c>
      <c r="B781" s="17">
        <v>908</v>
      </c>
      <c r="C781" s="21" t="s">
        <v>203</v>
      </c>
      <c r="D781" s="21" t="s">
        <v>272</v>
      </c>
      <c r="E781" s="42" t="s">
        <v>566</v>
      </c>
      <c r="F781" s="21" t="s">
        <v>187</v>
      </c>
      <c r="G781" s="27">
        <f>15124.1-10-6</f>
        <v>15108.1</v>
      </c>
      <c r="H781" s="144" t="s">
        <v>868</v>
      </c>
    </row>
    <row r="782" spans="1:9" ht="15.75">
      <c r="A782" s="26" t="s">
        <v>188</v>
      </c>
      <c r="B782" s="17">
        <v>908</v>
      </c>
      <c r="C782" s="21" t="s">
        <v>203</v>
      </c>
      <c r="D782" s="21" t="s">
        <v>272</v>
      </c>
      <c r="E782" s="42" t="s">
        <v>566</v>
      </c>
      <c r="F782" s="21" t="s">
        <v>198</v>
      </c>
      <c r="G782" s="27">
        <f>G783</f>
        <v>16</v>
      </c>
      <c r="H782" s="205"/>
    </row>
    <row r="783" spans="1:9" ht="15.75">
      <c r="A783" s="26" t="s">
        <v>622</v>
      </c>
      <c r="B783" s="17">
        <v>908</v>
      </c>
      <c r="C783" s="21" t="s">
        <v>203</v>
      </c>
      <c r="D783" s="21" t="s">
        <v>272</v>
      </c>
      <c r="E783" s="42" t="s">
        <v>566</v>
      </c>
      <c r="F783" s="21" t="s">
        <v>191</v>
      </c>
      <c r="G783" s="27">
        <f>10+6</f>
        <v>16</v>
      </c>
      <c r="H783" s="184" t="s">
        <v>869</v>
      </c>
    </row>
    <row r="784" spans="1:9" ht="15.75">
      <c r="A784" s="24" t="s">
        <v>444</v>
      </c>
      <c r="B784" s="20">
        <v>908</v>
      </c>
      <c r="C784" s="25" t="s">
        <v>287</v>
      </c>
      <c r="D784" s="25"/>
      <c r="E784" s="25"/>
      <c r="F784" s="25"/>
      <c r="G784" s="22">
        <f>G785+G800+G847+G899</f>
        <v>108065.79000000001</v>
      </c>
      <c r="H784" s="205"/>
      <c r="I784" s="138"/>
    </row>
    <row r="785" spans="1:12" ht="15.75">
      <c r="A785" s="24" t="s">
        <v>445</v>
      </c>
      <c r="B785" s="20">
        <v>908</v>
      </c>
      <c r="C785" s="25" t="s">
        <v>287</v>
      </c>
      <c r="D785" s="25" t="s">
        <v>171</v>
      </c>
      <c r="E785" s="25"/>
      <c r="F785" s="25"/>
      <c r="G785" s="22">
        <f>G786</f>
        <v>7765.4000000000005</v>
      </c>
      <c r="H785" s="205"/>
    </row>
    <row r="786" spans="1:12" ht="15.75">
      <c r="A786" s="26" t="s">
        <v>174</v>
      </c>
      <c r="B786" s="17">
        <v>908</v>
      </c>
      <c r="C786" s="21" t="s">
        <v>287</v>
      </c>
      <c r="D786" s="21" t="s">
        <v>171</v>
      </c>
      <c r="E786" s="21" t="s">
        <v>175</v>
      </c>
      <c r="F786" s="21"/>
      <c r="G786" s="27">
        <f>G791</f>
        <v>7765.4000000000005</v>
      </c>
      <c r="H786" s="205"/>
    </row>
    <row r="787" spans="1:12" ht="31.5" hidden="1">
      <c r="A787" s="26" t="s">
        <v>238</v>
      </c>
      <c r="B787" s="17">
        <v>908</v>
      </c>
      <c r="C787" s="21" t="s">
        <v>287</v>
      </c>
      <c r="D787" s="21" t="s">
        <v>171</v>
      </c>
      <c r="E787" s="21" t="s">
        <v>239</v>
      </c>
      <c r="F787" s="21"/>
      <c r="G787" s="27">
        <f t="shared" ref="G787:G789" si="145">G788</f>
        <v>0</v>
      </c>
      <c r="H787" s="205"/>
    </row>
    <row r="788" spans="1:12" ht="15.75" hidden="1">
      <c r="A788" s="26" t="s">
        <v>567</v>
      </c>
      <c r="B788" s="17">
        <v>908</v>
      </c>
      <c r="C788" s="21" t="s">
        <v>287</v>
      </c>
      <c r="D788" s="21" t="s">
        <v>171</v>
      </c>
      <c r="E788" s="21" t="s">
        <v>568</v>
      </c>
      <c r="F788" s="21"/>
      <c r="G788" s="27">
        <f t="shared" si="145"/>
        <v>0</v>
      </c>
      <c r="H788" s="205"/>
    </row>
    <row r="789" spans="1:12" ht="15.75" hidden="1">
      <c r="A789" s="26" t="s">
        <v>188</v>
      </c>
      <c r="B789" s="17">
        <v>908</v>
      </c>
      <c r="C789" s="21" t="s">
        <v>287</v>
      </c>
      <c r="D789" s="21" t="s">
        <v>171</v>
      </c>
      <c r="E789" s="21" t="s">
        <v>568</v>
      </c>
      <c r="F789" s="21" t="s">
        <v>198</v>
      </c>
      <c r="G789" s="27">
        <f t="shared" si="145"/>
        <v>0</v>
      </c>
      <c r="H789" s="205"/>
    </row>
    <row r="790" spans="1:12" ht="63" hidden="1">
      <c r="A790" s="26" t="s">
        <v>237</v>
      </c>
      <c r="B790" s="17">
        <v>908</v>
      </c>
      <c r="C790" s="21" t="s">
        <v>287</v>
      </c>
      <c r="D790" s="21" t="s">
        <v>171</v>
      </c>
      <c r="E790" s="21" t="s">
        <v>568</v>
      </c>
      <c r="F790" s="21" t="s">
        <v>213</v>
      </c>
      <c r="G790" s="27">
        <v>0</v>
      </c>
      <c r="H790" s="205"/>
    </row>
    <row r="791" spans="1:12" ht="15.75">
      <c r="A791" s="26" t="s">
        <v>194</v>
      </c>
      <c r="B791" s="17">
        <v>908</v>
      </c>
      <c r="C791" s="21" t="s">
        <v>287</v>
      </c>
      <c r="D791" s="21" t="s">
        <v>171</v>
      </c>
      <c r="E791" s="21" t="s">
        <v>195</v>
      </c>
      <c r="F791" s="25"/>
      <c r="G791" s="27">
        <f>G792+G797</f>
        <v>7765.4000000000005</v>
      </c>
      <c r="H791" s="205"/>
    </row>
    <row r="792" spans="1:12" ht="15.75">
      <c r="A792" s="26" t="s">
        <v>569</v>
      </c>
      <c r="B792" s="17">
        <v>908</v>
      </c>
      <c r="C792" s="21" t="s">
        <v>287</v>
      </c>
      <c r="D792" s="21" t="s">
        <v>171</v>
      </c>
      <c r="E792" s="21" t="s">
        <v>570</v>
      </c>
      <c r="F792" s="25"/>
      <c r="G792" s="27">
        <f>G795+G793</f>
        <v>3531.3</v>
      </c>
      <c r="H792" s="205"/>
    </row>
    <row r="793" spans="1:12" ht="31.5">
      <c r="A793" s="26" t="s">
        <v>184</v>
      </c>
      <c r="B793" s="17">
        <v>908</v>
      </c>
      <c r="C793" s="21" t="s">
        <v>287</v>
      </c>
      <c r="D793" s="21" t="s">
        <v>171</v>
      </c>
      <c r="E793" s="21" t="s">
        <v>570</v>
      </c>
      <c r="F793" s="21" t="s">
        <v>185</v>
      </c>
      <c r="G793" s="27">
        <f>G794</f>
        <v>1131.3</v>
      </c>
      <c r="H793" s="205"/>
    </row>
    <row r="794" spans="1:12" ht="47.25">
      <c r="A794" s="26" t="s">
        <v>186</v>
      </c>
      <c r="B794" s="17">
        <v>908</v>
      </c>
      <c r="C794" s="21" t="s">
        <v>287</v>
      </c>
      <c r="D794" s="21" t="s">
        <v>171</v>
      </c>
      <c r="E794" s="21" t="s">
        <v>570</v>
      </c>
      <c r="F794" s="21" t="s">
        <v>187</v>
      </c>
      <c r="G794" s="27">
        <v>1131.3</v>
      </c>
      <c r="H794" s="130"/>
      <c r="I794" s="149"/>
    </row>
    <row r="795" spans="1:12" ht="15.75">
      <c r="A795" s="26" t="s">
        <v>188</v>
      </c>
      <c r="B795" s="17">
        <v>908</v>
      </c>
      <c r="C795" s="21" t="s">
        <v>287</v>
      </c>
      <c r="D795" s="21" t="s">
        <v>171</v>
      </c>
      <c r="E795" s="21" t="s">
        <v>570</v>
      </c>
      <c r="F795" s="21" t="s">
        <v>198</v>
      </c>
      <c r="G795" s="27">
        <f>G796</f>
        <v>2400</v>
      </c>
      <c r="H795" s="205"/>
    </row>
    <row r="796" spans="1:12" ht="63">
      <c r="A796" s="26" t="s">
        <v>237</v>
      </c>
      <c r="B796" s="17">
        <v>908</v>
      </c>
      <c r="C796" s="21" t="s">
        <v>287</v>
      </c>
      <c r="D796" s="21" t="s">
        <v>171</v>
      </c>
      <c r="E796" s="21" t="s">
        <v>570</v>
      </c>
      <c r="F796" s="21" t="s">
        <v>213</v>
      </c>
      <c r="G796" s="27">
        <f>1500+900</f>
        <v>2400</v>
      </c>
      <c r="H796" s="205"/>
      <c r="I796" s="139"/>
    </row>
    <row r="797" spans="1:12" ht="31.5">
      <c r="A797" s="31" t="s">
        <v>452</v>
      </c>
      <c r="B797" s="17">
        <v>908</v>
      </c>
      <c r="C797" s="21" t="s">
        <v>287</v>
      </c>
      <c r="D797" s="21" t="s">
        <v>171</v>
      </c>
      <c r="E797" s="21" t="s">
        <v>453</v>
      </c>
      <c r="F797" s="25"/>
      <c r="G797" s="27">
        <f>G798</f>
        <v>4234.1000000000004</v>
      </c>
      <c r="H797" s="205"/>
    </row>
    <row r="798" spans="1:12" ht="31.5">
      <c r="A798" s="26" t="s">
        <v>184</v>
      </c>
      <c r="B798" s="17">
        <v>908</v>
      </c>
      <c r="C798" s="21" t="s">
        <v>287</v>
      </c>
      <c r="D798" s="21" t="s">
        <v>171</v>
      </c>
      <c r="E798" s="21" t="s">
        <v>453</v>
      </c>
      <c r="F798" s="21" t="s">
        <v>185</v>
      </c>
      <c r="G798" s="27">
        <f>G799</f>
        <v>4234.1000000000004</v>
      </c>
      <c r="H798" s="205"/>
    </row>
    <row r="799" spans="1:12" ht="47.25">
      <c r="A799" s="26" t="s">
        <v>186</v>
      </c>
      <c r="B799" s="17">
        <v>908</v>
      </c>
      <c r="C799" s="21" t="s">
        <v>287</v>
      </c>
      <c r="D799" s="21" t="s">
        <v>171</v>
      </c>
      <c r="E799" s="21" t="s">
        <v>453</v>
      </c>
      <c r="F799" s="21" t="s">
        <v>187</v>
      </c>
      <c r="G799" s="28">
        <f>3811.8+422.3</f>
        <v>4234.1000000000004</v>
      </c>
      <c r="H799" s="205"/>
    </row>
    <row r="800" spans="1:12" ht="15.75">
      <c r="A800" s="24" t="s">
        <v>571</v>
      </c>
      <c r="B800" s="20">
        <v>908</v>
      </c>
      <c r="C800" s="25" t="s">
        <v>287</v>
      </c>
      <c r="D800" s="25" t="s">
        <v>266</v>
      </c>
      <c r="E800" s="25"/>
      <c r="F800" s="25"/>
      <c r="G800" s="22">
        <f>G801+G826</f>
        <v>53711.1</v>
      </c>
      <c r="H800" s="205"/>
      <c r="I800" s="139"/>
      <c r="L800" s="140"/>
    </row>
    <row r="801" spans="1:10" ht="82.5" customHeight="1">
      <c r="A801" s="26" t="s">
        <v>657</v>
      </c>
      <c r="B801" s="17">
        <v>908</v>
      </c>
      <c r="C801" s="21" t="s">
        <v>287</v>
      </c>
      <c r="D801" s="21" t="s">
        <v>266</v>
      </c>
      <c r="E801" s="21" t="s">
        <v>572</v>
      </c>
      <c r="F801" s="25"/>
      <c r="G801" s="27">
        <f>G805+G808+G811+G814+G817+G823</f>
        <v>5567.9000000000005</v>
      </c>
      <c r="H801" s="207"/>
      <c r="I801" s="139"/>
    </row>
    <row r="802" spans="1:10" ht="47.25" hidden="1">
      <c r="A802" s="37" t="s">
        <v>573</v>
      </c>
      <c r="B802" s="17">
        <v>908</v>
      </c>
      <c r="C802" s="21" t="s">
        <v>287</v>
      </c>
      <c r="D802" s="21" t="s">
        <v>266</v>
      </c>
      <c r="E802" s="21" t="s">
        <v>574</v>
      </c>
      <c r="F802" s="21"/>
      <c r="G802" s="27">
        <f t="shared" ref="G802:G803" si="146">G803</f>
        <v>0</v>
      </c>
      <c r="H802" s="205"/>
    </row>
    <row r="803" spans="1:10" ht="31.5" hidden="1">
      <c r="A803" s="26" t="s">
        <v>184</v>
      </c>
      <c r="B803" s="17">
        <v>908</v>
      </c>
      <c r="C803" s="21" t="s">
        <v>287</v>
      </c>
      <c r="D803" s="21" t="s">
        <v>266</v>
      </c>
      <c r="E803" s="21" t="s">
        <v>574</v>
      </c>
      <c r="F803" s="21" t="s">
        <v>185</v>
      </c>
      <c r="G803" s="27">
        <f t="shared" si="146"/>
        <v>0</v>
      </c>
      <c r="H803" s="205"/>
    </row>
    <row r="804" spans="1:10" ht="47.25" hidden="1">
      <c r="A804" s="26" t="s">
        <v>186</v>
      </c>
      <c r="B804" s="17">
        <v>908</v>
      </c>
      <c r="C804" s="21" t="s">
        <v>287</v>
      </c>
      <c r="D804" s="21" t="s">
        <v>266</v>
      </c>
      <c r="E804" s="21" t="s">
        <v>574</v>
      </c>
      <c r="F804" s="21" t="s">
        <v>187</v>
      </c>
      <c r="G804" s="27">
        <v>0</v>
      </c>
      <c r="H804" s="205"/>
    </row>
    <row r="805" spans="1:10" ht="15.75">
      <c r="A805" s="47" t="s">
        <v>575</v>
      </c>
      <c r="B805" s="17">
        <v>908</v>
      </c>
      <c r="C805" s="42" t="s">
        <v>287</v>
      </c>
      <c r="D805" s="42" t="s">
        <v>266</v>
      </c>
      <c r="E805" s="21" t="s">
        <v>576</v>
      </c>
      <c r="F805" s="42"/>
      <c r="G805" s="27">
        <f>G806</f>
        <v>450</v>
      </c>
      <c r="H805" s="205"/>
    </row>
    <row r="806" spans="1:10" ht="31.5">
      <c r="A806" s="33" t="s">
        <v>184</v>
      </c>
      <c r="B806" s="17">
        <v>908</v>
      </c>
      <c r="C806" s="42" t="s">
        <v>287</v>
      </c>
      <c r="D806" s="42" t="s">
        <v>266</v>
      </c>
      <c r="E806" s="21" t="s">
        <v>576</v>
      </c>
      <c r="F806" s="42" t="s">
        <v>185</v>
      </c>
      <c r="G806" s="27">
        <f>G807</f>
        <v>450</v>
      </c>
      <c r="H806" s="205"/>
    </row>
    <row r="807" spans="1:10" ht="47.25">
      <c r="A807" s="33" t="s">
        <v>186</v>
      </c>
      <c r="B807" s="17">
        <v>908</v>
      </c>
      <c r="C807" s="42" t="s">
        <v>287</v>
      </c>
      <c r="D807" s="42" t="s">
        <v>266</v>
      </c>
      <c r="E807" s="21" t="s">
        <v>576</v>
      </c>
      <c r="F807" s="42" t="s">
        <v>187</v>
      </c>
      <c r="G807" s="27">
        <v>450</v>
      </c>
      <c r="H807" s="205"/>
    </row>
    <row r="808" spans="1:10" ht="15.75">
      <c r="A808" s="47" t="s">
        <v>577</v>
      </c>
      <c r="B808" s="17">
        <v>908</v>
      </c>
      <c r="C808" s="42" t="s">
        <v>287</v>
      </c>
      <c r="D808" s="42" t="s">
        <v>266</v>
      </c>
      <c r="E808" s="21" t="s">
        <v>578</v>
      </c>
      <c r="F808" s="42"/>
      <c r="G808" s="27">
        <f>G809</f>
        <v>3107</v>
      </c>
      <c r="H808" s="205"/>
    </row>
    <row r="809" spans="1:10" ht="31.5">
      <c r="A809" s="33" t="s">
        <v>184</v>
      </c>
      <c r="B809" s="17">
        <v>908</v>
      </c>
      <c r="C809" s="42" t="s">
        <v>287</v>
      </c>
      <c r="D809" s="42" t="s">
        <v>266</v>
      </c>
      <c r="E809" s="21" t="s">
        <v>578</v>
      </c>
      <c r="F809" s="42" t="s">
        <v>185</v>
      </c>
      <c r="G809" s="27">
        <f>G810</f>
        <v>3107</v>
      </c>
      <c r="H809" s="205"/>
    </row>
    <row r="810" spans="1:10" ht="47.25">
      <c r="A810" s="33" t="s">
        <v>186</v>
      </c>
      <c r="B810" s="17">
        <v>908</v>
      </c>
      <c r="C810" s="42" t="s">
        <v>287</v>
      </c>
      <c r="D810" s="42" t="s">
        <v>266</v>
      </c>
      <c r="E810" s="21" t="s">
        <v>578</v>
      </c>
      <c r="F810" s="42" t="s">
        <v>187</v>
      </c>
      <c r="G810" s="194">
        <f>110+20+2977</f>
        <v>3107</v>
      </c>
      <c r="H810" s="188" t="s">
        <v>848</v>
      </c>
    </row>
    <row r="811" spans="1:10" ht="15.75">
      <c r="A811" s="47" t="s">
        <v>579</v>
      </c>
      <c r="B811" s="17">
        <v>908</v>
      </c>
      <c r="C811" s="42" t="s">
        <v>287</v>
      </c>
      <c r="D811" s="42" t="s">
        <v>266</v>
      </c>
      <c r="E811" s="21" t="s">
        <v>580</v>
      </c>
      <c r="F811" s="42"/>
      <c r="G811" s="27">
        <f>G812</f>
        <v>1374.6</v>
      </c>
      <c r="H811" s="205"/>
    </row>
    <row r="812" spans="1:10" ht="31.5">
      <c r="A812" s="33" t="s">
        <v>184</v>
      </c>
      <c r="B812" s="17">
        <v>908</v>
      </c>
      <c r="C812" s="42" t="s">
        <v>287</v>
      </c>
      <c r="D812" s="42" t="s">
        <v>266</v>
      </c>
      <c r="E812" s="21" t="s">
        <v>580</v>
      </c>
      <c r="F812" s="42" t="s">
        <v>185</v>
      </c>
      <c r="G812" s="27">
        <f>G813</f>
        <v>1374.6</v>
      </c>
      <c r="H812" s="205"/>
    </row>
    <row r="813" spans="1:10" ht="47.25">
      <c r="A813" s="33" t="s">
        <v>186</v>
      </c>
      <c r="B813" s="17">
        <v>908</v>
      </c>
      <c r="C813" s="42" t="s">
        <v>287</v>
      </c>
      <c r="D813" s="42" t="s">
        <v>266</v>
      </c>
      <c r="E813" s="21" t="s">
        <v>580</v>
      </c>
      <c r="F813" s="42" t="s">
        <v>187</v>
      </c>
      <c r="G813" s="194">
        <f>10+30+3534.6-2200</f>
        <v>1374.6</v>
      </c>
      <c r="H813" s="137" t="s">
        <v>856</v>
      </c>
      <c r="J813" s="197" t="s">
        <v>857</v>
      </c>
    </row>
    <row r="814" spans="1:10" ht="15.75">
      <c r="A814" s="47" t="s">
        <v>581</v>
      </c>
      <c r="B814" s="17">
        <v>908</v>
      </c>
      <c r="C814" s="42" t="s">
        <v>287</v>
      </c>
      <c r="D814" s="42" t="s">
        <v>266</v>
      </c>
      <c r="E814" s="21" t="s">
        <v>582</v>
      </c>
      <c r="F814" s="42"/>
      <c r="G814" s="27">
        <f>G815</f>
        <v>159.10000000000002</v>
      </c>
      <c r="H814" s="205"/>
    </row>
    <row r="815" spans="1:10" ht="31.5">
      <c r="A815" s="33" t="s">
        <v>184</v>
      </c>
      <c r="B815" s="17">
        <v>908</v>
      </c>
      <c r="C815" s="42" t="s">
        <v>287</v>
      </c>
      <c r="D815" s="42" t="s">
        <v>266</v>
      </c>
      <c r="E815" s="21" t="s">
        <v>582</v>
      </c>
      <c r="F815" s="42" t="s">
        <v>185</v>
      </c>
      <c r="G815" s="27">
        <f>G816</f>
        <v>159.10000000000002</v>
      </c>
      <c r="H815" s="205"/>
    </row>
    <row r="816" spans="1:10" ht="47.25">
      <c r="A816" s="33" t="s">
        <v>186</v>
      </c>
      <c r="B816" s="17">
        <v>908</v>
      </c>
      <c r="C816" s="42" t="s">
        <v>287</v>
      </c>
      <c r="D816" s="42" t="s">
        <v>266</v>
      </c>
      <c r="E816" s="21" t="s">
        <v>582</v>
      </c>
      <c r="F816" s="42" t="s">
        <v>187</v>
      </c>
      <c r="G816" s="194">
        <f>250+5+681.1-522-255</f>
        <v>159.10000000000002</v>
      </c>
      <c r="H816" s="137" t="s">
        <v>849</v>
      </c>
    </row>
    <row r="817" spans="1:10" ht="15.75">
      <c r="A817" s="47" t="s">
        <v>583</v>
      </c>
      <c r="B817" s="17">
        <v>908</v>
      </c>
      <c r="C817" s="42" t="s">
        <v>287</v>
      </c>
      <c r="D817" s="42" t="s">
        <v>266</v>
      </c>
      <c r="E817" s="21" t="s">
        <v>584</v>
      </c>
      <c r="F817" s="42"/>
      <c r="G817" s="27">
        <f>G818</f>
        <v>288.2</v>
      </c>
      <c r="H817" s="205"/>
    </row>
    <row r="818" spans="1:10" ht="31.5">
      <c r="A818" s="33" t="s">
        <v>184</v>
      </c>
      <c r="B818" s="17">
        <v>908</v>
      </c>
      <c r="C818" s="42" t="s">
        <v>287</v>
      </c>
      <c r="D818" s="42" t="s">
        <v>266</v>
      </c>
      <c r="E818" s="21" t="s">
        <v>584</v>
      </c>
      <c r="F818" s="42" t="s">
        <v>185</v>
      </c>
      <c r="G818" s="27">
        <f>G819</f>
        <v>288.2</v>
      </c>
      <c r="H818" s="205"/>
    </row>
    <row r="819" spans="1:10" ht="47.25">
      <c r="A819" s="33" t="s">
        <v>186</v>
      </c>
      <c r="B819" s="17">
        <v>908</v>
      </c>
      <c r="C819" s="42" t="s">
        <v>287</v>
      </c>
      <c r="D819" s="42" t="s">
        <v>266</v>
      </c>
      <c r="E819" s="21" t="s">
        <v>584</v>
      </c>
      <c r="F819" s="42" t="s">
        <v>187</v>
      </c>
      <c r="G819" s="27">
        <f>2+286.2</f>
        <v>288.2</v>
      </c>
      <c r="H819" s="137"/>
      <c r="J819" s="198" t="s">
        <v>858</v>
      </c>
    </row>
    <row r="820" spans="1:10" ht="31.5" hidden="1">
      <c r="A820" s="206" t="s">
        <v>585</v>
      </c>
      <c r="B820" s="17">
        <v>908</v>
      </c>
      <c r="C820" s="42" t="s">
        <v>287</v>
      </c>
      <c r="D820" s="42" t="s">
        <v>266</v>
      </c>
      <c r="E820" s="21" t="s">
        <v>586</v>
      </c>
      <c r="F820" s="42"/>
      <c r="G820" s="27">
        <f>G821</f>
        <v>0</v>
      </c>
      <c r="H820" s="205"/>
    </row>
    <row r="821" spans="1:10" ht="31.5" hidden="1">
      <c r="A821" s="33" t="s">
        <v>184</v>
      </c>
      <c r="B821" s="17">
        <v>908</v>
      </c>
      <c r="C821" s="42" t="s">
        <v>287</v>
      </c>
      <c r="D821" s="42" t="s">
        <v>266</v>
      </c>
      <c r="E821" s="21" t="s">
        <v>586</v>
      </c>
      <c r="F821" s="42" t="s">
        <v>185</v>
      </c>
      <c r="G821" s="27">
        <f>G822</f>
        <v>0</v>
      </c>
      <c r="H821" s="205"/>
    </row>
    <row r="822" spans="1:10" ht="47.25" hidden="1">
      <c r="A822" s="33" t="s">
        <v>186</v>
      </c>
      <c r="B822" s="17">
        <v>908</v>
      </c>
      <c r="C822" s="42" t="s">
        <v>287</v>
      </c>
      <c r="D822" s="42" t="s">
        <v>266</v>
      </c>
      <c r="E822" s="21" t="s">
        <v>586</v>
      </c>
      <c r="F822" s="42" t="s">
        <v>187</v>
      </c>
      <c r="G822" s="27">
        <v>0</v>
      </c>
      <c r="H822" s="205"/>
    </row>
    <row r="823" spans="1:10" ht="15.75">
      <c r="A823" s="206" t="s">
        <v>587</v>
      </c>
      <c r="B823" s="17">
        <v>908</v>
      </c>
      <c r="C823" s="42" t="s">
        <v>287</v>
      </c>
      <c r="D823" s="42" t="s">
        <v>266</v>
      </c>
      <c r="E823" s="21" t="s">
        <v>588</v>
      </c>
      <c r="F823" s="42"/>
      <c r="G823" s="27">
        <f>G824</f>
        <v>189</v>
      </c>
      <c r="H823" s="205"/>
    </row>
    <row r="824" spans="1:10" ht="31.5">
      <c r="A824" s="26" t="s">
        <v>184</v>
      </c>
      <c r="B824" s="17">
        <v>908</v>
      </c>
      <c r="C824" s="42" t="s">
        <v>287</v>
      </c>
      <c r="D824" s="42" t="s">
        <v>266</v>
      </c>
      <c r="E824" s="21" t="s">
        <v>588</v>
      </c>
      <c r="F824" s="42" t="s">
        <v>185</v>
      </c>
      <c r="G824" s="27">
        <f>G825</f>
        <v>189</v>
      </c>
      <c r="H824" s="205"/>
    </row>
    <row r="825" spans="1:10" ht="47.25">
      <c r="A825" s="26" t="s">
        <v>186</v>
      </c>
      <c r="B825" s="17">
        <v>908</v>
      </c>
      <c r="C825" s="42" t="s">
        <v>287</v>
      </c>
      <c r="D825" s="42" t="s">
        <v>266</v>
      </c>
      <c r="E825" s="21" t="s">
        <v>588</v>
      </c>
      <c r="F825" s="42" t="s">
        <v>187</v>
      </c>
      <c r="G825" s="27">
        <f>15+174</f>
        <v>189</v>
      </c>
      <c r="H825" s="137"/>
      <c r="J825" s="198" t="s">
        <v>859</v>
      </c>
    </row>
    <row r="826" spans="1:10" ht="15.75">
      <c r="A826" s="26" t="s">
        <v>174</v>
      </c>
      <c r="B826" s="17">
        <v>908</v>
      </c>
      <c r="C826" s="21" t="s">
        <v>287</v>
      </c>
      <c r="D826" s="21" t="s">
        <v>266</v>
      </c>
      <c r="E826" s="21" t="s">
        <v>175</v>
      </c>
      <c r="F826" s="21"/>
      <c r="G826" s="27">
        <f>G827+G837</f>
        <v>48143.199999999997</v>
      </c>
      <c r="H826" s="205"/>
    </row>
    <row r="827" spans="1:10" ht="31.5">
      <c r="A827" s="26" t="s">
        <v>238</v>
      </c>
      <c r="B827" s="17">
        <v>908</v>
      </c>
      <c r="C827" s="21" t="s">
        <v>287</v>
      </c>
      <c r="D827" s="21" t="s">
        <v>266</v>
      </c>
      <c r="E827" s="21" t="s">
        <v>239</v>
      </c>
      <c r="F827" s="21"/>
      <c r="G827" s="27">
        <f>G828+G831+G834</f>
        <v>25111.200000000001</v>
      </c>
      <c r="H827" s="205"/>
    </row>
    <row r="828" spans="1:10" ht="47.25">
      <c r="A828" s="124" t="s">
        <v>765</v>
      </c>
      <c r="B828" s="17">
        <v>908</v>
      </c>
      <c r="C828" s="21" t="s">
        <v>287</v>
      </c>
      <c r="D828" s="21" t="s">
        <v>266</v>
      </c>
      <c r="E828" s="21" t="s">
        <v>589</v>
      </c>
      <c r="F828" s="21"/>
      <c r="G828" s="27">
        <f>G829</f>
        <v>5000</v>
      </c>
      <c r="H828" s="205"/>
    </row>
    <row r="829" spans="1:10" ht="31.5">
      <c r="A829" s="26" t="s">
        <v>184</v>
      </c>
      <c r="B829" s="17">
        <v>908</v>
      </c>
      <c r="C829" s="21" t="s">
        <v>287</v>
      </c>
      <c r="D829" s="21" t="s">
        <v>266</v>
      </c>
      <c r="E829" s="21" t="s">
        <v>589</v>
      </c>
      <c r="F829" s="21" t="s">
        <v>185</v>
      </c>
      <c r="G829" s="27">
        <f>G830</f>
        <v>5000</v>
      </c>
      <c r="H829" s="205"/>
    </row>
    <row r="830" spans="1:10" ht="47.25">
      <c r="A830" s="26" t="s">
        <v>186</v>
      </c>
      <c r="B830" s="17">
        <v>908</v>
      </c>
      <c r="C830" s="21" t="s">
        <v>287</v>
      </c>
      <c r="D830" s="21" t="s">
        <v>266</v>
      </c>
      <c r="E830" s="21" t="s">
        <v>589</v>
      </c>
      <c r="F830" s="21" t="s">
        <v>187</v>
      </c>
      <c r="G830" s="27">
        <f>5000</f>
        <v>5000</v>
      </c>
      <c r="H830" s="205"/>
      <c r="I830" s="139"/>
    </row>
    <row r="831" spans="1:10" ht="31.5">
      <c r="A831" s="37" t="s">
        <v>771</v>
      </c>
      <c r="B831" s="17">
        <v>908</v>
      </c>
      <c r="C831" s="21" t="s">
        <v>287</v>
      </c>
      <c r="D831" s="21" t="s">
        <v>266</v>
      </c>
      <c r="E831" s="21" t="s">
        <v>590</v>
      </c>
      <c r="F831" s="21"/>
      <c r="G831" s="27">
        <f t="shared" ref="G831:G832" si="147">G832</f>
        <v>20000</v>
      </c>
      <c r="H831" s="205"/>
    </row>
    <row r="832" spans="1:10" ht="31.5">
      <c r="A832" s="26" t="s">
        <v>184</v>
      </c>
      <c r="B832" s="17">
        <v>908</v>
      </c>
      <c r="C832" s="21" t="s">
        <v>287</v>
      </c>
      <c r="D832" s="21" t="s">
        <v>266</v>
      </c>
      <c r="E832" s="21" t="s">
        <v>590</v>
      </c>
      <c r="F832" s="21" t="s">
        <v>185</v>
      </c>
      <c r="G832" s="27">
        <f t="shared" si="147"/>
        <v>20000</v>
      </c>
      <c r="H832" s="205"/>
    </row>
    <row r="833" spans="1:10" ht="47.25">
      <c r="A833" s="26" t="s">
        <v>186</v>
      </c>
      <c r="B833" s="17">
        <v>908</v>
      </c>
      <c r="C833" s="21" t="s">
        <v>287</v>
      </c>
      <c r="D833" s="21" t="s">
        <v>266</v>
      </c>
      <c r="E833" s="21" t="s">
        <v>590</v>
      </c>
      <c r="F833" s="21" t="s">
        <v>187</v>
      </c>
      <c r="G833" s="27">
        <v>20000</v>
      </c>
      <c r="H833" s="130"/>
    </row>
    <row r="834" spans="1:10" ht="47.25">
      <c r="A834" s="26" t="s">
        <v>772</v>
      </c>
      <c r="B834" s="17">
        <v>908</v>
      </c>
      <c r="C834" s="21" t="s">
        <v>287</v>
      </c>
      <c r="D834" s="21" t="s">
        <v>266</v>
      </c>
      <c r="E834" s="21" t="s">
        <v>773</v>
      </c>
      <c r="F834" s="21"/>
      <c r="G834" s="27">
        <f>G835</f>
        <v>111.2</v>
      </c>
      <c r="H834" s="132"/>
    </row>
    <row r="835" spans="1:10" ht="31.5">
      <c r="A835" s="26" t="s">
        <v>184</v>
      </c>
      <c r="B835" s="17">
        <v>908</v>
      </c>
      <c r="C835" s="21" t="s">
        <v>287</v>
      </c>
      <c r="D835" s="21" t="s">
        <v>266</v>
      </c>
      <c r="E835" s="21" t="s">
        <v>773</v>
      </c>
      <c r="F835" s="21" t="s">
        <v>185</v>
      </c>
      <c r="G835" s="27">
        <f>G836</f>
        <v>111.2</v>
      </c>
      <c r="H835" s="132"/>
    </row>
    <row r="836" spans="1:10" ht="47.25">
      <c r="A836" s="26" t="s">
        <v>186</v>
      </c>
      <c r="B836" s="17">
        <v>908</v>
      </c>
      <c r="C836" s="21" t="s">
        <v>287</v>
      </c>
      <c r="D836" s="21" t="s">
        <v>266</v>
      </c>
      <c r="E836" s="21" t="s">
        <v>773</v>
      </c>
      <c r="F836" s="21" t="s">
        <v>187</v>
      </c>
      <c r="G836" s="27">
        <v>111.2</v>
      </c>
      <c r="H836" s="132"/>
    </row>
    <row r="837" spans="1:10" ht="15.75">
      <c r="A837" s="26" t="s">
        <v>194</v>
      </c>
      <c r="B837" s="17">
        <v>908</v>
      </c>
      <c r="C837" s="21" t="s">
        <v>287</v>
      </c>
      <c r="D837" s="21" t="s">
        <v>266</v>
      </c>
      <c r="E837" s="21" t="s">
        <v>195</v>
      </c>
      <c r="F837" s="21"/>
      <c r="G837" s="27">
        <f>G838+G844</f>
        <v>23031.999999999996</v>
      </c>
      <c r="H837" s="205"/>
    </row>
    <row r="838" spans="1:10" ht="31.5">
      <c r="A838" s="37" t="s">
        <v>591</v>
      </c>
      <c r="B838" s="17">
        <v>908</v>
      </c>
      <c r="C838" s="21" t="s">
        <v>287</v>
      </c>
      <c r="D838" s="21" t="s">
        <v>266</v>
      </c>
      <c r="E838" s="21" t="s">
        <v>592</v>
      </c>
      <c r="F838" s="21"/>
      <c r="G838" s="27">
        <f>G839+G841</f>
        <v>20353.699999999997</v>
      </c>
      <c r="H838" s="205"/>
    </row>
    <row r="839" spans="1:10" ht="31.5">
      <c r="A839" s="26" t="s">
        <v>184</v>
      </c>
      <c r="B839" s="17">
        <v>908</v>
      </c>
      <c r="C839" s="21" t="s">
        <v>287</v>
      </c>
      <c r="D839" s="21" t="s">
        <v>266</v>
      </c>
      <c r="E839" s="21" t="s">
        <v>592</v>
      </c>
      <c r="F839" s="21" t="s">
        <v>185</v>
      </c>
      <c r="G839" s="27">
        <f>G840</f>
        <v>20322.099999999999</v>
      </c>
      <c r="H839" s="205"/>
    </row>
    <row r="840" spans="1:10" ht="47.25">
      <c r="A840" s="26" t="s">
        <v>186</v>
      </c>
      <c r="B840" s="17">
        <v>908</v>
      </c>
      <c r="C840" s="21" t="s">
        <v>287</v>
      </c>
      <c r="D840" s="21" t="s">
        <v>266</v>
      </c>
      <c r="E840" s="21" t="s">
        <v>592</v>
      </c>
      <c r="F840" s="21" t="s">
        <v>187</v>
      </c>
      <c r="G840" s="189">
        <f>10880-5000-2230+172.1+16500</f>
        <v>20322.099999999999</v>
      </c>
      <c r="H840" s="130" t="s">
        <v>855</v>
      </c>
      <c r="I840" s="139"/>
      <c r="J840" s="199" t="s">
        <v>821</v>
      </c>
    </row>
    <row r="841" spans="1:10" ht="15.75">
      <c r="A841" s="26" t="s">
        <v>188</v>
      </c>
      <c r="B841" s="17">
        <v>908</v>
      </c>
      <c r="C841" s="21" t="s">
        <v>287</v>
      </c>
      <c r="D841" s="21" t="s">
        <v>266</v>
      </c>
      <c r="E841" s="21" t="s">
        <v>592</v>
      </c>
      <c r="F841" s="21" t="s">
        <v>198</v>
      </c>
      <c r="G841" s="27">
        <f t="shared" ref="G841" si="148">G842+G843</f>
        <v>31.6</v>
      </c>
      <c r="H841" s="205"/>
    </row>
    <row r="842" spans="1:10" ht="63" hidden="1">
      <c r="A842" s="26" t="s">
        <v>237</v>
      </c>
      <c r="B842" s="17">
        <v>908</v>
      </c>
      <c r="C842" s="21" t="s">
        <v>287</v>
      </c>
      <c r="D842" s="21" t="s">
        <v>266</v>
      </c>
      <c r="E842" s="21" t="s">
        <v>592</v>
      </c>
      <c r="F842" s="21" t="s">
        <v>213</v>
      </c>
      <c r="G842" s="27">
        <v>0</v>
      </c>
      <c r="H842" s="205"/>
    </row>
    <row r="843" spans="1:10" ht="15.75">
      <c r="A843" s="26" t="s">
        <v>622</v>
      </c>
      <c r="B843" s="17">
        <v>908</v>
      </c>
      <c r="C843" s="21" t="s">
        <v>287</v>
      </c>
      <c r="D843" s="21" t="s">
        <v>266</v>
      </c>
      <c r="E843" s="21" t="s">
        <v>592</v>
      </c>
      <c r="F843" s="21" t="s">
        <v>191</v>
      </c>
      <c r="G843" s="27">
        <v>31.6</v>
      </c>
      <c r="H843" s="130"/>
      <c r="I843" s="148"/>
    </row>
    <row r="844" spans="1:10" ht="15.75">
      <c r="A844" s="26" t="s">
        <v>593</v>
      </c>
      <c r="B844" s="17">
        <v>908</v>
      </c>
      <c r="C844" s="21" t="s">
        <v>287</v>
      </c>
      <c r="D844" s="21" t="s">
        <v>266</v>
      </c>
      <c r="E844" s="21" t="s">
        <v>594</v>
      </c>
      <c r="F844" s="21"/>
      <c r="G844" s="27">
        <f>G845</f>
        <v>2678.3</v>
      </c>
      <c r="H844" s="205"/>
    </row>
    <row r="845" spans="1:10" ht="15.75">
      <c r="A845" s="26" t="s">
        <v>188</v>
      </c>
      <c r="B845" s="17">
        <v>908</v>
      </c>
      <c r="C845" s="21" t="s">
        <v>287</v>
      </c>
      <c r="D845" s="21" t="s">
        <v>266</v>
      </c>
      <c r="E845" s="21" t="s">
        <v>594</v>
      </c>
      <c r="F845" s="21" t="s">
        <v>198</v>
      </c>
      <c r="G845" s="27">
        <f>G846</f>
        <v>2678.3</v>
      </c>
      <c r="H845" s="205"/>
    </row>
    <row r="846" spans="1:10" ht="15.75">
      <c r="A846" s="26" t="s">
        <v>199</v>
      </c>
      <c r="B846" s="17">
        <v>908</v>
      </c>
      <c r="C846" s="21" t="s">
        <v>287</v>
      </c>
      <c r="D846" s="21" t="s">
        <v>266</v>
      </c>
      <c r="E846" s="21" t="s">
        <v>594</v>
      </c>
      <c r="F846" s="21" t="s">
        <v>200</v>
      </c>
      <c r="G846" s="27">
        <v>2678.3</v>
      </c>
      <c r="H846" s="205"/>
      <c r="I846" s="139"/>
    </row>
    <row r="847" spans="1:10" ht="15.75">
      <c r="A847" s="24" t="s">
        <v>595</v>
      </c>
      <c r="B847" s="20">
        <v>908</v>
      </c>
      <c r="C847" s="25" t="s">
        <v>287</v>
      </c>
      <c r="D847" s="25" t="s">
        <v>268</v>
      </c>
      <c r="E847" s="25"/>
      <c r="F847" s="25"/>
      <c r="G847" s="22">
        <f>G848++G878+G874</f>
        <v>25464.6</v>
      </c>
      <c r="H847" s="205"/>
    </row>
    <row r="848" spans="1:10" ht="47.25">
      <c r="A848" s="26" t="s">
        <v>596</v>
      </c>
      <c r="B848" s="17">
        <v>908</v>
      </c>
      <c r="C848" s="21" t="s">
        <v>287</v>
      </c>
      <c r="D848" s="21" t="s">
        <v>268</v>
      </c>
      <c r="E848" s="21" t="s">
        <v>597</v>
      </c>
      <c r="F848" s="21"/>
      <c r="G848" s="27">
        <f>G849+G859</f>
        <v>12375.499999999998</v>
      </c>
      <c r="H848" s="205"/>
    </row>
    <row r="849" spans="1:8" ht="47.25">
      <c r="A849" s="26" t="s">
        <v>598</v>
      </c>
      <c r="B849" s="17">
        <v>908</v>
      </c>
      <c r="C849" s="21" t="s">
        <v>287</v>
      </c>
      <c r="D849" s="21" t="s">
        <v>268</v>
      </c>
      <c r="E849" s="21" t="s">
        <v>599</v>
      </c>
      <c r="F849" s="21"/>
      <c r="G849" s="27">
        <f>G850+G853+G856</f>
        <v>8697.2999999999993</v>
      </c>
      <c r="H849" s="205"/>
    </row>
    <row r="850" spans="1:8" ht="31.5">
      <c r="A850" s="26" t="s">
        <v>600</v>
      </c>
      <c r="B850" s="17">
        <v>908</v>
      </c>
      <c r="C850" s="21" t="s">
        <v>287</v>
      </c>
      <c r="D850" s="21" t="s">
        <v>268</v>
      </c>
      <c r="E850" s="21" t="s">
        <v>601</v>
      </c>
      <c r="F850" s="21"/>
      <c r="G850" s="27">
        <f>G851</f>
        <v>253.4</v>
      </c>
      <c r="H850" s="205"/>
    </row>
    <row r="851" spans="1:8" ht="31.5">
      <c r="A851" s="26" t="s">
        <v>184</v>
      </c>
      <c r="B851" s="17">
        <v>908</v>
      </c>
      <c r="C851" s="21" t="s">
        <v>287</v>
      </c>
      <c r="D851" s="21" t="s">
        <v>268</v>
      </c>
      <c r="E851" s="21" t="s">
        <v>601</v>
      </c>
      <c r="F851" s="21" t="s">
        <v>185</v>
      </c>
      <c r="G851" s="27">
        <f>G852</f>
        <v>253.4</v>
      </c>
      <c r="H851" s="205"/>
    </row>
    <row r="852" spans="1:8" ht="47.25">
      <c r="A852" s="26" t="s">
        <v>186</v>
      </c>
      <c r="B852" s="17">
        <v>908</v>
      </c>
      <c r="C852" s="21" t="s">
        <v>287</v>
      </c>
      <c r="D852" s="21" t="s">
        <v>268</v>
      </c>
      <c r="E852" s="21" t="s">
        <v>601</v>
      </c>
      <c r="F852" s="21" t="s">
        <v>187</v>
      </c>
      <c r="G852" s="27">
        <v>253.4</v>
      </c>
      <c r="H852" s="205"/>
    </row>
    <row r="853" spans="1:8" ht="15.75">
      <c r="A853" s="26" t="s">
        <v>602</v>
      </c>
      <c r="B853" s="17">
        <v>908</v>
      </c>
      <c r="C853" s="21" t="s">
        <v>287</v>
      </c>
      <c r="D853" s="21" t="s">
        <v>268</v>
      </c>
      <c r="E853" s="21" t="s">
        <v>603</v>
      </c>
      <c r="F853" s="21"/>
      <c r="G853" s="27">
        <f>G854</f>
        <v>5258.6</v>
      </c>
      <c r="H853" s="205"/>
    </row>
    <row r="854" spans="1:8" ht="31.5">
      <c r="A854" s="26" t="s">
        <v>184</v>
      </c>
      <c r="B854" s="17">
        <v>908</v>
      </c>
      <c r="C854" s="21" t="s">
        <v>287</v>
      </c>
      <c r="D854" s="21" t="s">
        <v>268</v>
      </c>
      <c r="E854" s="21" t="s">
        <v>603</v>
      </c>
      <c r="F854" s="21" t="s">
        <v>185</v>
      </c>
      <c r="G854" s="27">
        <f>G855</f>
        <v>5258.6</v>
      </c>
      <c r="H854" s="205"/>
    </row>
    <row r="855" spans="1:8" ht="47.25">
      <c r="A855" s="26" t="s">
        <v>186</v>
      </c>
      <c r="B855" s="17">
        <v>908</v>
      </c>
      <c r="C855" s="21" t="s">
        <v>287</v>
      </c>
      <c r="D855" s="21" t="s">
        <v>268</v>
      </c>
      <c r="E855" s="21" t="s">
        <v>603</v>
      </c>
      <c r="F855" s="21" t="s">
        <v>187</v>
      </c>
      <c r="G855" s="27">
        <v>5258.6</v>
      </c>
      <c r="H855" s="205"/>
    </row>
    <row r="856" spans="1:8" ht="15.75">
      <c r="A856" s="26" t="s">
        <v>604</v>
      </c>
      <c r="B856" s="17">
        <v>908</v>
      </c>
      <c r="C856" s="21" t="s">
        <v>287</v>
      </c>
      <c r="D856" s="21" t="s">
        <v>268</v>
      </c>
      <c r="E856" s="21" t="s">
        <v>605</v>
      </c>
      <c r="F856" s="21"/>
      <c r="G856" s="27">
        <f>G857</f>
        <v>3185.3</v>
      </c>
      <c r="H856" s="205"/>
    </row>
    <row r="857" spans="1:8" ht="31.5">
      <c r="A857" s="26" t="s">
        <v>184</v>
      </c>
      <c r="B857" s="17">
        <v>908</v>
      </c>
      <c r="C857" s="21" t="s">
        <v>287</v>
      </c>
      <c r="D857" s="21" t="s">
        <v>268</v>
      </c>
      <c r="E857" s="21" t="s">
        <v>605</v>
      </c>
      <c r="F857" s="21" t="s">
        <v>185</v>
      </c>
      <c r="G857" s="27">
        <f>G858</f>
        <v>3185.3</v>
      </c>
      <c r="H857" s="205"/>
    </row>
    <row r="858" spans="1:8" ht="47.25">
      <c r="A858" s="26" t="s">
        <v>186</v>
      </c>
      <c r="B858" s="17">
        <v>908</v>
      </c>
      <c r="C858" s="21" t="s">
        <v>287</v>
      </c>
      <c r="D858" s="21" t="s">
        <v>268</v>
      </c>
      <c r="E858" s="21" t="s">
        <v>605</v>
      </c>
      <c r="F858" s="21" t="s">
        <v>187</v>
      </c>
      <c r="G858" s="27">
        <v>3185.3</v>
      </c>
      <c r="H858" s="205"/>
    </row>
    <row r="859" spans="1:8" ht="47.25">
      <c r="A859" s="26" t="s">
        <v>606</v>
      </c>
      <c r="B859" s="17">
        <v>908</v>
      </c>
      <c r="C859" s="21" t="s">
        <v>287</v>
      </c>
      <c r="D859" s="21" t="s">
        <v>268</v>
      </c>
      <c r="E859" s="21" t="s">
        <v>607</v>
      </c>
      <c r="F859" s="21"/>
      <c r="G859" s="27">
        <f>G860+G865+G868+G871</f>
        <v>3678.1999999999994</v>
      </c>
      <c r="H859" s="205"/>
    </row>
    <row r="860" spans="1:8" ht="15.75">
      <c r="A860" s="26" t="s">
        <v>604</v>
      </c>
      <c r="B860" s="17">
        <v>908</v>
      </c>
      <c r="C860" s="21" t="s">
        <v>287</v>
      </c>
      <c r="D860" s="21" t="s">
        <v>268</v>
      </c>
      <c r="E860" s="21" t="s">
        <v>608</v>
      </c>
      <c r="F860" s="21"/>
      <c r="G860" s="27">
        <f>G861+G863</f>
        <v>1112.3999999999999</v>
      </c>
      <c r="H860" s="205"/>
    </row>
    <row r="861" spans="1:8" ht="94.5">
      <c r="A861" s="26" t="s">
        <v>180</v>
      </c>
      <c r="B861" s="17">
        <v>908</v>
      </c>
      <c r="C861" s="21" t="s">
        <v>287</v>
      </c>
      <c r="D861" s="21" t="s">
        <v>268</v>
      </c>
      <c r="E861" s="21" t="s">
        <v>608</v>
      </c>
      <c r="F861" s="21" t="s">
        <v>181</v>
      </c>
      <c r="G861" s="27">
        <f>G862</f>
        <v>892.8</v>
      </c>
      <c r="H861" s="205"/>
    </row>
    <row r="862" spans="1:8" ht="31.5">
      <c r="A862" s="48" t="s">
        <v>395</v>
      </c>
      <c r="B862" s="17">
        <v>908</v>
      </c>
      <c r="C862" s="21" t="s">
        <v>287</v>
      </c>
      <c r="D862" s="21" t="s">
        <v>268</v>
      </c>
      <c r="E862" s="21" t="s">
        <v>608</v>
      </c>
      <c r="F862" s="21" t="s">
        <v>262</v>
      </c>
      <c r="G862" s="27">
        <f>801.5+91.3</f>
        <v>892.8</v>
      </c>
      <c r="H862" s="130"/>
    </row>
    <row r="863" spans="1:8" ht="31.5">
      <c r="A863" s="26" t="s">
        <v>184</v>
      </c>
      <c r="B863" s="17">
        <v>908</v>
      </c>
      <c r="C863" s="21" t="s">
        <v>287</v>
      </c>
      <c r="D863" s="21" t="s">
        <v>268</v>
      </c>
      <c r="E863" s="21" t="s">
        <v>608</v>
      </c>
      <c r="F863" s="21" t="s">
        <v>185</v>
      </c>
      <c r="G863" s="27">
        <f>G864</f>
        <v>219.6</v>
      </c>
      <c r="H863" s="205"/>
    </row>
    <row r="864" spans="1:8" ht="47.25">
      <c r="A864" s="26" t="s">
        <v>186</v>
      </c>
      <c r="B864" s="17">
        <v>908</v>
      </c>
      <c r="C864" s="21" t="s">
        <v>287</v>
      </c>
      <c r="D864" s="21" t="s">
        <v>268</v>
      </c>
      <c r="E864" s="21" t="s">
        <v>608</v>
      </c>
      <c r="F864" s="21" t="s">
        <v>187</v>
      </c>
      <c r="G864" s="27">
        <v>219.6</v>
      </c>
      <c r="H864" s="205"/>
    </row>
    <row r="865" spans="1:8" ht="15.75">
      <c r="A865" s="26" t="s">
        <v>609</v>
      </c>
      <c r="B865" s="17">
        <v>908</v>
      </c>
      <c r="C865" s="21" t="s">
        <v>287</v>
      </c>
      <c r="D865" s="21" t="s">
        <v>268</v>
      </c>
      <c r="E865" s="21" t="s">
        <v>610</v>
      </c>
      <c r="F865" s="21"/>
      <c r="G865" s="27">
        <f>G866</f>
        <v>86.6</v>
      </c>
      <c r="H865" s="205"/>
    </row>
    <row r="866" spans="1:8" ht="31.5">
      <c r="A866" s="26" t="s">
        <v>184</v>
      </c>
      <c r="B866" s="17">
        <v>908</v>
      </c>
      <c r="C866" s="21" t="s">
        <v>287</v>
      </c>
      <c r="D866" s="21" t="s">
        <v>268</v>
      </c>
      <c r="E866" s="21" t="s">
        <v>610</v>
      </c>
      <c r="F866" s="21" t="s">
        <v>185</v>
      </c>
      <c r="G866" s="27">
        <f>G867</f>
        <v>86.6</v>
      </c>
      <c r="H866" s="205"/>
    </row>
    <row r="867" spans="1:8" ht="47.25">
      <c r="A867" s="26" t="s">
        <v>186</v>
      </c>
      <c r="B867" s="17">
        <v>908</v>
      </c>
      <c r="C867" s="21" t="s">
        <v>287</v>
      </c>
      <c r="D867" s="21" t="s">
        <v>268</v>
      </c>
      <c r="E867" s="21" t="s">
        <v>610</v>
      </c>
      <c r="F867" s="21" t="s">
        <v>187</v>
      </c>
      <c r="G867" s="27">
        <v>86.6</v>
      </c>
      <c r="H867" s="205"/>
    </row>
    <row r="868" spans="1:8" ht="47.25">
      <c r="A868" s="47" t="s">
        <v>611</v>
      </c>
      <c r="B868" s="17">
        <v>908</v>
      </c>
      <c r="C868" s="21" t="s">
        <v>287</v>
      </c>
      <c r="D868" s="21" t="s">
        <v>268</v>
      </c>
      <c r="E868" s="21" t="s">
        <v>612</v>
      </c>
      <c r="F868" s="21"/>
      <c r="G868" s="27">
        <f>G869</f>
        <v>2130.6</v>
      </c>
      <c r="H868" s="205"/>
    </row>
    <row r="869" spans="1:8" ht="31.5">
      <c r="A869" s="26" t="s">
        <v>184</v>
      </c>
      <c r="B869" s="17">
        <v>908</v>
      </c>
      <c r="C869" s="21" t="s">
        <v>287</v>
      </c>
      <c r="D869" s="21" t="s">
        <v>268</v>
      </c>
      <c r="E869" s="21" t="s">
        <v>612</v>
      </c>
      <c r="F869" s="21" t="s">
        <v>185</v>
      </c>
      <c r="G869" s="27">
        <f>G870</f>
        <v>2130.6</v>
      </c>
      <c r="H869" s="205"/>
    </row>
    <row r="870" spans="1:8" ht="47.25">
      <c r="A870" s="26" t="s">
        <v>186</v>
      </c>
      <c r="B870" s="17">
        <v>908</v>
      </c>
      <c r="C870" s="21" t="s">
        <v>287</v>
      </c>
      <c r="D870" s="21" t="s">
        <v>268</v>
      </c>
      <c r="E870" s="21" t="s">
        <v>612</v>
      </c>
      <c r="F870" s="21" t="s">
        <v>187</v>
      </c>
      <c r="G870" s="27">
        <v>2130.6</v>
      </c>
      <c r="H870" s="205"/>
    </row>
    <row r="871" spans="1:8" ht="31.5">
      <c r="A871" s="47" t="s">
        <v>613</v>
      </c>
      <c r="B871" s="17">
        <v>908</v>
      </c>
      <c r="C871" s="21" t="s">
        <v>287</v>
      </c>
      <c r="D871" s="21" t="s">
        <v>268</v>
      </c>
      <c r="E871" s="21" t="s">
        <v>614</v>
      </c>
      <c r="F871" s="21"/>
      <c r="G871" s="27">
        <f>G872</f>
        <v>348.6</v>
      </c>
      <c r="H871" s="205"/>
    </row>
    <row r="872" spans="1:8" ht="31.5">
      <c r="A872" s="26" t="s">
        <v>184</v>
      </c>
      <c r="B872" s="17">
        <v>908</v>
      </c>
      <c r="C872" s="21" t="s">
        <v>287</v>
      </c>
      <c r="D872" s="21" t="s">
        <v>268</v>
      </c>
      <c r="E872" s="21" t="s">
        <v>614</v>
      </c>
      <c r="F872" s="21" t="s">
        <v>185</v>
      </c>
      <c r="G872" s="27">
        <f>G873</f>
        <v>348.6</v>
      </c>
      <c r="H872" s="205"/>
    </row>
    <row r="873" spans="1:8" ht="47.25">
      <c r="A873" s="26" t="s">
        <v>186</v>
      </c>
      <c r="B873" s="17">
        <v>908</v>
      </c>
      <c r="C873" s="21" t="s">
        <v>287</v>
      </c>
      <c r="D873" s="21" t="s">
        <v>268</v>
      </c>
      <c r="E873" s="21" t="s">
        <v>614</v>
      </c>
      <c r="F873" s="21" t="s">
        <v>187</v>
      </c>
      <c r="G873" s="27">
        <v>348.6</v>
      </c>
      <c r="H873" s="205"/>
    </row>
    <row r="874" spans="1:8" ht="63">
      <c r="A874" s="26" t="s">
        <v>809</v>
      </c>
      <c r="B874" s="17">
        <v>908</v>
      </c>
      <c r="C874" s="21" t="s">
        <v>287</v>
      </c>
      <c r="D874" s="21" t="s">
        <v>268</v>
      </c>
      <c r="E874" s="21" t="s">
        <v>811</v>
      </c>
      <c r="F874" s="21"/>
      <c r="G874" s="27">
        <f>G875</f>
        <v>600</v>
      </c>
      <c r="H874" s="205"/>
    </row>
    <row r="875" spans="1:8" ht="31.5">
      <c r="A875" s="94" t="s">
        <v>810</v>
      </c>
      <c r="B875" s="17">
        <v>908</v>
      </c>
      <c r="C875" s="21" t="s">
        <v>287</v>
      </c>
      <c r="D875" s="21" t="s">
        <v>268</v>
      </c>
      <c r="E875" s="21" t="s">
        <v>812</v>
      </c>
      <c r="F875" s="21"/>
      <c r="G875" s="27">
        <f>G876</f>
        <v>600</v>
      </c>
      <c r="H875" s="205"/>
    </row>
    <row r="876" spans="1:8" ht="31.5">
      <c r="A876" s="26" t="s">
        <v>184</v>
      </c>
      <c r="B876" s="17">
        <v>908</v>
      </c>
      <c r="C876" s="21" t="s">
        <v>287</v>
      </c>
      <c r="D876" s="21" t="s">
        <v>268</v>
      </c>
      <c r="E876" s="21" t="s">
        <v>812</v>
      </c>
      <c r="F876" s="21" t="s">
        <v>185</v>
      </c>
      <c r="G876" s="27">
        <f>G877</f>
        <v>600</v>
      </c>
      <c r="H876" s="205"/>
    </row>
    <row r="877" spans="1:8" ht="47.25">
      <c r="A877" s="26" t="s">
        <v>186</v>
      </c>
      <c r="B877" s="17">
        <v>908</v>
      </c>
      <c r="C877" s="21" t="s">
        <v>287</v>
      </c>
      <c r="D877" s="21" t="s">
        <v>268</v>
      </c>
      <c r="E877" s="21" t="s">
        <v>812</v>
      </c>
      <c r="F877" s="21" t="s">
        <v>187</v>
      </c>
      <c r="G877" s="27">
        <v>600</v>
      </c>
      <c r="H877" s="130"/>
    </row>
    <row r="878" spans="1:8" ht="15.75">
      <c r="A878" s="26" t="s">
        <v>174</v>
      </c>
      <c r="B878" s="17">
        <v>908</v>
      </c>
      <c r="C878" s="21" t="s">
        <v>287</v>
      </c>
      <c r="D878" s="21" t="s">
        <v>268</v>
      </c>
      <c r="E878" s="21" t="s">
        <v>175</v>
      </c>
      <c r="F878" s="21"/>
      <c r="G878" s="27">
        <f>G879+G892</f>
        <v>12489.099999999999</v>
      </c>
      <c r="H878" s="205"/>
    </row>
    <row r="879" spans="1:8" ht="31.5">
      <c r="A879" s="26" t="s">
        <v>238</v>
      </c>
      <c r="B879" s="17">
        <v>908</v>
      </c>
      <c r="C879" s="21" t="s">
        <v>287</v>
      </c>
      <c r="D879" s="21" t="s">
        <v>268</v>
      </c>
      <c r="E879" s="21" t="s">
        <v>239</v>
      </c>
      <c r="F879" s="21"/>
      <c r="G879" s="27">
        <f>G880+G883+G886+G889</f>
        <v>12033.199999999999</v>
      </c>
      <c r="H879" s="205"/>
    </row>
    <row r="880" spans="1:8" ht="31.5">
      <c r="A880" s="26" t="s">
        <v>615</v>
      </c>
      <c r="B880" s="17">
        <v>908</v>
      </c>
      <c r="C880" s="21" t="s">
        <v>287</v>
      </c>
      <c r="D880" s="21" t="s">
        <v>268</v>
      </c>
      <c r="E880" s="21" t="s">
        <v>616</v>
      </c>
      <c r="F880" s="21"/>
      <c r="G880" s="27">
        <f>G881</f>
        <v>6302.4</v>
      </c>
      <c r="H880" s="205"/>
    </row>
    <row r="881" spans="1:9" ht="31.5">
      <c r="A881" s="26" t="s">
        <v>184</v>
      </c>
      <c r="B881" s="17">
        <v>908</v>
      </c>
      <c r="C881" s="21" t="s">
        <v>287</v>
      </c>
      <c r="D881" s="21" t="s">
        <v>268</v>
      </c>
      <c r="E881" s="21" t="s">
        <v>616</v>
      </c>
      <c r="F881" s="21" t="s">
        <v>185</v>
      </c>
      <c r="G881" s="27">
        <f>G882</f>
        <v>6302.4</v>
      </c>
      <c r="H881" s="205"/>
    </row>
    <row r="882" spans="1:9" ht="47.25">
      <c r="A882" s="26" t="s">
        <v>186</v>
      </c>
      <c r="B882" s="17">
        <v>908</v>
      </c>
      <c r="C882" s="21" t="s">
        <v>287</v>
      </c>
      <c r="D882" s="21" t="s">
        <v>268</v>
      </c>
      <c r="E882" s="21" t="s">
        <v>616</v>
      </c>
      <c r="F882" s="21" t="s">
        <v>187</v>
      </c>
      <c r="G882" s="27">
        <f>3907.3-814.9+3210</f>
        <v>6302.4</v>
      </c>
      <c r="H882" s="130"/>
      <c r="I882" s="139"/>
    </row>
    <row r="883" spans="1:9" ht="47.25">
      <c r="A883" s="26" t="s">
        <v>774</v>
      </c>
      <c r="B883" s="17">
        <v>908</v>
      </c>
      <c r="C883" s="21" t="s">
        <v>287</v>
      </c>
      <c r="D883" s="21" t="s">
        <v>268</v>
      </c>
      <c r="E883" s="21" t="s">
        <v>775</v>
      </c>
      <c r="F883" s="21"/>
      <c r="G883" s="27">
        <f t="shared" ref="G883:G884" si="149">G884</f>
        <v>2132</v>
      </c>
      <c r="H883" s="205"/>
    </row>
    <row r="884" spans="1:9" ht="31.5">
      <c r="A884" s="26" t="s">
        <v>184</v>
      </c>
      <c r="B884" s="17">
        <v>908</v>
      </c>
      <c r="C884" s="21" t="s">
        <v>287</v>
      </c>
      <c r="D884" s="21" t="s">
        <v>268</v>
      </c>
      <c r="E884" s="21" t="s">
        <v>775</v>
      </c>
      <c r="F884" s="21" t="s">
        <v>185</v>
      </c>
      <c r="G884" s="27">
        <f t="shared" si="149"/>
        <v>2132</v>
      </c>
      <c r="H884" s="205"/>
    </row>
    <row r="885" spans="1:9" ht="47.25">
      <c r="A885" s="26" t="s">
        <v>186</v>
      </c>
      <c r="B885" s="17">
        <v>908</v>
      </c>
      <c r="C885" s="21" t="s">
        <v>287</v>
      </c>
      <c r="D885" s="21" t="s">
        <v>268</v>
      </c>
      <c r="E885" s="21" t="s">
        <v>775</v>
      </c>
      <c r="F885" s="21" t="s">
        <v>187</v>
      </c>
      <c r="G885" s="27">
        <v>2132</v>
      </c>
      <c r="H885" s="130"/>
    </row>
    <row r="886" spans="1:9" ht="47.25">
      <c r="A886" s="26" t="s">
        <v>776</v>
      </c>
      <c r="B886" s="17">
        <v>908</v>
      </c>
      <c r="C886" s="21" t="s">
        <v>287</v>
      </c>
      <c r="D886" s="21" t="s">
        <v>268</v>
      </c>
      <c r="E886" s="21" t="s">
        <v>617</v>
      </c>
      <c r="F886" s="21"/>
      <c r="G886" s="27">
        <f t="shared" ref="G886:G887" si="150">G887</f>
        <v>2000</v>
      </c>
      <c r="H886" s="205"/>
    </row>
    <row r="887" spans="1:9" ht="31.5">
      <c r="A887" s="26" t="s">
        <v>184</v>
      </c>
      <c r="B887" s="17">
        <v>908</v>
      </c>
      <c r="C887" s="21" t="s">
        <v>287</v>
      </c>
      <c r="D887" s="21" t="s">
        <v>268</v>
      </c>
      <c r="E887" s="21" t="s">
        <v>617</v>
      </c>
      <c r="F887" s="21" t="s">
        <v>185</v>
      </c>
      <c r="G887" s="27">
        <f t="shared" si="150"/>
        <v>2000</v>
      </c>
      <c r="H887" s="205"/>
    </row>
    <row r="888" spans="1:9" ht="47.25">
      <c r="A888" s="26" t="s">
        <v>186</v>
      </c>
      <c r="B888" s="17">
        <v>908</v>
      </c>
      <c r="C888" s="21" t="s">
        <v>287</v>
      </c>
      <c r="D888" s="21" t="s">
        <v>268</v>
      </c>
      <c r="E888" s="21" t="s">
        <v>617</v>
      </c>
      <c r="F888" s="21" t="s">
        <v>187</v>
      </c>
      <c r="G888" s="27">
        <v>2000</v>
      </c>
      <c r="H888" s="130"/>
    </row>
    <row r="889" spans="1:9" ht="63">
      <c r="A889" s="26" t="s">
        <v>777</v>
      </c>
      <c r="B889" s="17">
        <v>908</v>
      </c>
      <c r="C889" s="21" t="s">
        <v>287</v>
      </c>
      <c r="D889" s="21" t="s">
        <v>268</v>
      </c>
      <c r="E889" s="21" t="s">
        <v>778</v>
      </c>
      <c r="F889" s="21"/>
      <c r="G889" s="27">
        <f>G890</f>
        <v>1598.8</v>
      </c>
      <c r="H889" s="132"/>
    </row>
    <row r="890" spans="1:9" ht="31.5">
      <c r="A890" s="26" t="s">
        <v>184</v>
      </c>
      <c r="B890" s="17">
        <v>908</v>
      </c>
      <c r="C890" s="21" t="s">
        <v>287</v>
      </c>
      <c r="D890" s="21" t="s">
        <v>268</v>
      </c>
      <c r="E890" s="21" t="s">
        <v>778</v>
      </c>
      <c r="F890" s="21" t="s">
        <v>185</v>
      </c>
      <c r="G890" s="27">
        <f>G891</f>
        <v>1598.8</v>
      </c>
      <c r="H890" s="132"/>
    </row>
    <row r="891" spans="1:9" ht="47.25">
      <c r="A891" s="26" t="s">
        <v>186</v>
      </c>
      <c r="B891" s="17">
        <v>908</v>
      </c>
      <c r="C891" s="21" t="s">
        <v>287</v>
      </c>
      <c r="D891" s="21" t="s">
        <v>268</v>
      </c>
      <c r="E891" s="21" t="s">
        <v>778</v>
      </c>
      <c r="F891" s="21" t="s">
        <v>187</v>
      </c>
      <c r="G891" s="27">
        <v>1598.8</v>
      </c>
      <c r="H891" s="132"/>
    </row>
    <row r="892" spans="1:9" ht="15.75">
      <c r="A892" s="26" t="s">
        <v>194</v>
      </c>
      <c r="B892" s="17">
        <v>908</v>
      </c>
      <c r="C892" s="21" t="s">
        <v>287</v>
      </c>
      <c r="D892" s="21" t="s">
        <v>268</v>
      </c>
      <c r="E892" s="21" t="s">
        <v>195</v>
      </c>
      <c r="F892" s="21"/>
      <c r="G892" s="27">
        <f>G893</f>
        <v>455.9</v>
      </c>
      <c r="H892" s="205"/>
    </row>
    <row r="893" spans="1:9" ht="15.75">
      <c r="A893" s="26" t="s">
        <v>618</v>
      </c>
      <c r="B893" s="17">
        <v>908</v>
      </c>
      <c r="C893" s="21" t="s">
        <v>287</v>
      </c>
      <c r="D893" s="21" t="s">
        <v>268</v>
      </c>
      <c r="E893" s="21" t="s">
        <v>619</v>
      </c>
      <c r="F893" s="21"/>
      <c r="G893" s="27">
        <f>G894</f>
        <v>455.9</v>
      </c>
      <c r="H893" s="205"/>
    </row>
    <row r="894" spans="1:9" ht="31.5">
      <c r="A894" s="26" t="s">
        <v>184</v>
      </c>
      <c r="B894" s="17">
        <v>908</v>
      </c>
      <c r="C894" s="21" t="s">
        <v>287</v>
      </c>
      <c r="D894" s="21" t="s">
        <v>268</v>
      </c>
      <c r="E894" s="21" t="s">
        <v>619</v>
      </c>
      <c r="F894" s="21" t="s">
        <v>185</v>
      </c>
      <c r="G894" s="27">
        <f>G895</f>
        <v>455.9</v>
      </c>
      <c r="H894" s="205"/>
    </row>
    <row r="895" spans="1:9" ht="47.25">
      <c r="A895" s="26" t="s">
        <v>186</v>
      </c>
      <c r="B895" s="17">
        <v>908</v>
      </c>
      <c r="C895" s="21" t="s">
        <v>287</v>
      </c>
      <c r="D895" s="21" t="s">
        <v>268</v>
      </c>
      <c r="E895" s="21" t="s">
        <v>619</v>
      </c>
      <c r="F895" s="21" t="s">
        <v>187</v>
      </c>
      <c r="G895" s="28">
        <v>455.9</v>
      </c>
      <c r="H895" s="205"/>
    </row>
    <row r="896" spans="1:9" ht="15.75" hidden="1">
      <c r="A896" s="26" t="s">
        <v>620</v>
      </c>
      <c r="B896" s="17">
        <v>908</v>
      </c>
      <c r="C896" s="21" t="s">
        <v>287</v>
      </c>
      <c r="D896" s="21" t="s">
        <v>268</v>
      </c>
      <c r="E896" s="21" t="s">
        <v>621</v>
      </c>
      <c r="F896" s="21"/>
      <c r="G896" s="28">
        <f t="shared" ref="G896:G897" si="151">G897</f>
        <v>0</v>
      </c>
      <c r="H896" s="205"/>
    </row>
    <row r="897" spans="1:10" ht="15.75" hidden="1">
      <c r="A897" s="26" t="s">
        <v>188</v>
      </c>
      <c r="B897" s="17">
        <v>908</v>
      </c>
      <c r="C897" s="21" t="s">
        <v>287</v>
      </c>
      <c r="D897" s="21" t="s">
        <v>268</v>
      </c>
      <c r="E897" s="21" t="s">
        <v>621</v>
      </c>
      <c r="F897" s="21" t="s">
        <v>198</v>
      </c>
      <c r="G897" s="28">
        <f t="shared" si="151"/>
        <v>0</v>
      </c>
      <c r="H897" s="205"/>
    </row>
    <row r="898" spans="1:10" ht="15.75" hidden="1">
      <c r="A898" s="26" t="s">
        <v>622</v>
      </c>
      <c r="B898" s="17">
        <v>908</v>
      </c>
      <c r="C898" s="21" t="s">
        <v>287</v>
      </c>
      <c r="D898" s="21" t="s">
        <v>268</v>
      </c>
      <c r="E898" s="21" t="s">
        <v>621</v>
      </c>
      <c r="F898" s="21" t="s">
        <v>191</v>
      </c>
      <c r="G898" s="28">
        <v>0</v>
      </c>
      <c r="H898" s="205"/>
    </row>
    <row r="899" spans="1:10" ht="31.5">
      <c r="A899" s="24" t="s">
        <v>623</v>
      </c>
      <c r="B899" s="20">
        <v>908</v>
      </c>
      <c r="C899" s="25" t="s">
        <v>287</v>
      </c>
      <c r="D899" s="25" t="s">
        <v>287</v>
      </c>
      <c r="E899" s="25"/>
      <c r="F899" s="25"/>
      <c r="G899" s="22">
        <f>G900</f>
        <v>21124.69</v>
      </c>
      <c r="H899" s="205"/>
    </row>
    <row r="900" spans="1:10" ht="15.75">
      <c r="A900" s="26" t="s">
        <v>174</v>
      </c>
      <c r="B900" s="17">
        <v>908</v>
      </c>
      <c r="C900" s="21" t="s">
        <v>287</v>
      </c>
      <c r="D900" s="21" t="s">
        <v>287</v>
      </c>
      <c r="E900" s="21" t="s">
        <v>175</v>
      </c>
      <c r="F900" s="21"/>
      <c r="G900" s="27">
        <f>G901+G909</f>
        <v>21124.69</v>
      </c>
      <c r="H900" s="205"/>
    </row>
    <row r="901" spans="1:10" ht="31.5">
      <c r="A901" s="26" t="s">
        <v>176</v>
      </c>
      <c r="B901" s="17">
        <v>908</v>
      </c>
      <c r="C901" s="21" t="s">
        <v>287</v>
      </c>
      <c r="D901" s="21" t="s">
        <v>287</v>
      </c>
      <c r="E901" s="21" t="s">
        <v>177</v>
      </c>
      <c r="F901" s="21"/>
      <c r="G901" s="27">
        <f>G902</f>
        <v>13501.699999999999</v>
      </c>
      <c r="H901" s="205"/>
    </row>
    <row r="902" spans="1:10" ht="47.25">
      <c r="A902" s="26" t="s">
        <v>178</v>
      </c>
      <c r="B902" s="17">
        <v>908</v>
      </c>
      <c r="C902" s="21" t="s">
        <v>287</v>
      </c>
      <c r="D902" s="21" t="s">
        <v>287</v>
      </c>
      <c r="E902" s="21" t="s">
        <v>179</v>
      </c>
      <c r="F902" s="21"/>
      <c r="G902" s="27">
        <f>G903+G907+G905</f>
        <v>13501.699999999999</v>
      </c>
      <c r="H902" s="205"/>
    </row>
    <row r="903" spans="1:10" ht="94.5">
      <c r="A903" s="26" t="s">
        <v>180</v>
      </c>
      <c r="B903" s="17">
        <v>908</v>
      </c>
      <c r="C903" s="21" t="s">
        <v>287</v>
      </c>
      <c r="D903" s="21" t="s">
        <v>287</v>
      </c>
      <c r="E903" s="21" t="s">
        <v>179</v>
      </c>
      <c r="F903" s="21" t="s">
        <v>181</v>
      </c>
      <c r="G903" s="27">
        <f>G904</f>
        <v>13327.8</v>
      </c>
      <c r="H903" s="205"/>
    </row>
    <row r="904" spans="1:10" ht="31.5">
      <c r="A904" s="26" t="s">
        <v>182</v>
      </c>
      <c r="B904" s="17">
        <v>908</v>
      </c>
      <c r="C904" s="21" t="s">
        <v>287</v>
      </c>
      <c r="D904" s="21" t="s">
        <v>287</v>
      </c>
      <c r="E904" s="21" t="s">
        <v>179</v>
      </c>
      <c r="F904" s="21" t="s">
        <v>183</v>
      </c>
      <c r="G904" s="193">
        <f>13259.3+28.4+100-59.9</f>
        <v>13327.8</v>
      </c>
      <c r="H904" s="130" t="s">
        <v>851</v>
      </c>
      <c r="I904" s="148"/>
      <c r="J904" s="199" t="s">
        <v>860</v>
      </c>
    </row>
    <row r="905" spans="1:10" ht="31.5">
      <c r="A905" s="26" t="s">
        <v>184</v>
      </c>
      <c r="B905" s="17">
        <v>908</v>
      </c>
      <c r="C905" s="21" t="s">
        <v>287</v>
      </c>
      <c r="D905" s="21" t="s">
        <v>287</v>
      </c>
      <c r="E905" s="21" t="s">
        <v>179</v>
      </c>
      <c r="F905" s="21" t="s">
        <v>185</v>
      </c>
      <c r="G905" s="27">
        <f t="shared" ref="G905" si="152">G906</f>
        <v>25</v>
      </c>
      <c r="H905" s="205"/>
    </row>
    <row r="906" spans="1:10" ht="47.25">
      <c r="A906" s="26" t="s">
        <v>186</v>
      </c>
      <c r="B906" s="17">
        <v>908</v>
      </c>
      <c r="C906" s="21" t="s">
        <v>287</v>
      </c>
      <c r="D906" s="21" t="s">
        <v>287</v>
      </c>
      <c r="E906" s="21" t="s">
        <v>179</v>
      </c>
      <c r="F906" s="21" t="s">
        <v>187</v>
      </c>
      <c r="G906" s="28">
        <v>25</v>
      </c>
      <c r="H906" s="130"/>
      <c r="I906" s="148"/>
    </row>
    <row r="907" spans="1:10" ht="15.75">
      <c r="A907" s="26" t="s">
        <v>188</v>
      </c>
      <c r="B907" s="17">
        <v>908</v>
      </c>
      <c r="C907" s="21" t="s">
        <v>287</v>
      </c>
      <c r="D907" s="21" t="s">
        <v>287</v>
      </c>
      <c r="E907" s="21" t="s">
        <v>179</v>
      </c>
      <c r="F907" s="21" t="s">
        <v>198</v>
      </c>
      <c r="G907" s="27">
        <f>G908</f>
        <v>148.9</v>
      </c>
      <c r="H907" s="205"/>
    </row>
    <row r="908" spans="1:10" ht="15.75">
      <c r="A908" s="26" t="s">
        <v>622</v>
      </c>
      <c r="B908" s="17">
        <v>908</v>
      </c>
      <c r="C908" s="21" t="s">
        <v>287</v>
      </c>
      <c r="D908" s="21" t="s">
        <v>287</v>
      </c>
      <c r="E908" s="21" t="s">
        <v>179</v>
      </c>
      <c r="F908" s="21" t="s">
        <v>191</v>
      </c>
      <c r="G908" s="189">
        <f>89+59.9</f>
        <v>148.9</v>
      </c>
      <c r="H908" s="184" t="s">
        <v>850</v>
      </c>
    </row>
    <row r="909" spans="1:10" ht="15.75">
      <c r="A909" s="26" t="s">
        <v>194</v>
      </c>
      <c r="B909" s="17">
        <v>908</v>
      </c>
      <c r="C909" s="21" t="s">
        <v>287</v>
      </c>
      <c r="D909" s="21" t="s">
        <v>287</v>
      </c>
      <c r="E909" s="21" t="s">
        <v>195</v>
      </c>
      <c r="F909" s="21"/>
      <c r="G909" s="27">
        <f>G913+G910</f>
        <v>7622.99</v>
      </c>
      <c r="H909" s="205"/>
    </row>
    <row r="910" spans="1:10" ht="31.5">
      <c r="A910" s="26" t="s">
        <v>624</v>
      </c>
      <c r="B910" s="17">
        <v>908</v>
      </c>
      <c r="C910" s="21" t="s">
        <v>287</v>
      </c>
      <c r="D910" s="21" t="s">
        <v>287</v>
      </c>
      <c r="E910" s="21" t="s">
        <v>625</v>
      </c>
      <c r="F910" s="21"/>
      <c r="G910" s="28">
        <f>G911</f>
        <v>1461</v>
      </c>
      <c r="H910" s="205"/>
    </row>
    <row r="911" spans="1:10" ht="15.75">
      <c r="A911" s="26" t="s">
        <v>188</v>
      </c>
      <c r="B911" s="17">
        <v>908</v>
      </c>
      <c r="C911" s="21" t="s">
        <v>287</v>
      </c>
      <c r="D911" s="21" t="s">
        <v>287</v>
      </c>
      <c r="E911" s="21" t="s">
        <v>625</v>
      </c>
      <c r="F911" s="21" t="s">
        <v>198</v>
      </c>
      <c r="G911" s="28">
        <f>G912</f>
        <v>1461</v>
      </c>
      <c r="H911" s="205"/>
    </row>
    <row r="912" spans="1:10" ht="63">
      <c r="A912" s="26" t="s">
        <v>237</v>
      </c>
      <c r="B912" s="17">
        <v>908</v>
      </c>
      <c r="C912" s="21" t="s">
        <v>287</v>
      </c>
      <c r="D912" s="21" t="s">
        <v>287</v>
      </c>
      <c r="E912" s="21" t="s">
        <v>625</v>
      </c>
      <c r="F912" s="21" t="s">
        <v>213</v>
      </c>
      <c r="G912" s="28">
        <v>1461</v>
      </c>
      <c r="H912" s="205"/>
    </row>
    <row r="913" spans="1:10" ht="31.5">
      <c r="A913" s="26" t="s">
        <v>393</v>
      </c>
      <c r="B913" s="17">
        <v>908</v>
      </c>
      <c r="C913" s="21" t="s">
        <v>287</v>
      </c>
      <c r="D913" s="21" t="s">
        <v>287</v>
      </c>
      <c r="E913" s="21" t="s">
        <v>394</v>
      </c>
      <c r="F913" s="21"/>
      <c r="G913" s="27">
        <f>G914+G916</f>
        <v>6161.99</v>
      </c>
      <c r="H913" s="205"/>
    </row>
    <row r="914" spans="1:10" ht="94.5">
      <c r="A914" s="26" t="s">
        <v>180</v>
      </c>
      <c r="B914" s="17">
        <v>908</v>
      </c>
      <c r="C914" s="21" t="s">
        <v>287</v>
      </c>
      <c r="D914" s="21" t="s">
        <v>287</v>
      </c>
      <c r="E914" s="21" t="s">
        <v>394</v>
      </c>
      <c r="F914" s="21" t="s">
        <v>181</v>
      </c>
      <c r="G914" s="27">
        <f>G915</f>
        <v>4505.49</v>
      </c>
      <c r="H914" s="205"/>
    </row>
    <row r="915" spans="1:10" ht="31.5">
      <c r="A915" s="26" t="s">
        <v>395</v>
      </c>
      <c r="B915" s="17">
        <v>908</v>
      </c>
      <c r="C915" s="21" t="s">
        <v>287</v>
      </c>
      <c r="D915" s="21" t="s">
        <v>287</v>
      </c>
      <c r="E915" s="21" t="s">
        <v>394</v>
      </c>
      <c r="F915" s="21" t="s">
        <v>262</v>
      </c>
      <c r="G915" s="183">
        <f>6196.89-1411.4-100-180</f>
        <v>4505.49</v>
      </c>
      <c r="H915" s="130" t="s">
        <v>866</v>
      </c>
      <c r="I915" s="148"/>
      <c r="J915" s="198" t="s">
        <v>865</v>
      </c>
    </row>
    <row r="916" spans="1:10" ht="31.5">
      <c r="A916" s="26" t="s">
        <v>184</v>
      </c>
      <c r="B916" s="17">
        <v>908</v>
      </c>
      <c r="C916" s="21" t="s">
        <v>287</v>
      </c>
      <c r="D916" s="21" t="s">
        <v>287</v>
      </c>
      <c r="E916" s="21" t="s">
        <v>394</v>
      </c>
      <c r="F916" s="21" t="s">
        <v>185</v>
      </c>
      <c r="G916" s="27">
        <f>G917</f>
        <v>1656.5</v>
      </c>
      <c r="H916" s="205"/>
    </row>
    <row r="917" spans="1:10" ht="47.25">
      <c r="A917" s="26" t="s">
        <v>186</v>
      </c>
      <c r="B917" s="17">
        <v>908</v>
      </c>
      <c r="C917" s="21" t="s">
        <v>287</v>
      </c>
      <c r="D917" s="21" t="s">
        <v>287</v>
      </c>
      <c r="E917" s="21" t="s">
        <v>394</v>
      </c>
      <c r="F917" s="21" t="s">
        <v>187</v>
      </c>
      <c r="G917" s="183">
        <f>1341.9+928.5-198.8-595.1+180</f>
        <v>1656.5</v>
      </c>
      <c r="H917" s="130" t="s">
        <v>867</v>
      </c>
      <c r="I917" s="149"/>
      <c r="J917" s="198"/>
    </row>
    <row r="918" spans="1:10" ht="15.75">
      <c r="A918" s="24" t="s">
        <v>296</v>
      </c>
      <c r="B918" s="20">
        <v>908</v>
      </c>
      <c r="C918" s="25" t="s">
        <v>297</v>
      </c>
      <c r="D918" s="25"/>
      <c r="E918" s="25"/>
      <c r="F918" s="25"/>
      <c r="G918" s="22">
        <f t="shared" ref="G918:G923" si="153">G919</f>
        <v>87.1</v>
      </c>
      <c r="H918" s="205"/>
    </row>
    <row r="919" spans="1:10" ht="31.5">
      <c r="A919" s="24" t="s">
        <v>311</v>
      </c>
      <c r="B919" s="20">
        <v>908</v>
      </c>
      <c r="C919" s="25" t="s">
        <v>297</v>
      </c>
      <c r="D919" s="25" t="s">
        <v>173</v>
      </c>
      <c r="E919" s="25"/>
      <c r="F919" s="25"/>
      <c r="G919" s="22">
        <f t="shared" si="153"/>
        <v>87.1</v>
      </c>
      <c r="H919" s="205"/>
    </row>
    <row r="920" spans="1:10" ht="15.75">
      <c r="A920" s="26" t="s">
        <v>174</v>
      </c>
      <c r="B920" s="17">
        <v>908</v>
      </c>
      <c r="C920" s="21" t="s">
        <v>297</v>
      </c>
      <c r="D920" s="21" t="s">
        <v>173</v>
      </c>
      <c r="E920" s="21" t="s">
        <v>175</v>
      </c>
      <c r="F920" s="21"/>
      <c r="G920" s="22">
        <f t="shared" si="153"/>
        <v>87.1</v>
      </c>
      <c r="H920" s="205"/>
    </row>
    <row r="921" spans="1:10" ht="15.75">
      <c r="A921" s="26" t="s">
        <v>194</v>
      </c>
      <c r="B921" s="17">
        <v>908</v>
      </c>
      <c r="C921" s="21" t="s">
        <v>297</v>
      </c>
      <c r="D921" s="21" t="s">
        <v>173</v>
      </c>
      <c r="E921" s="21" t="s">
        <v>195</v>
      </c>
      <c r="F921" s="21"/>
      <c r="G921" s="27">
        <f t="shared" si="153"/>
        <v>87.1</v>
      </c>
      <c r="H921" s="205"/>
    </row>
    <row r="922" spans="1:10" ht="15.75">
      <c r="A922" s="26" t="s">
        <v>626</v>
      </c>
      <c r="B922" s="17">
        <v>908</v>
      </c>
      <c r="C922" s="21" t="s">
        <v>297</v>
      </c>
      <c r="D922" s="21" t="s">
        <v>173</v>
      </c>
      <c r="E922" s="21" t="s">
        <v>627</v>
      </c>
      <c r="F922" s="21"/>
      <c r="G922" s="27">
        <f t="shared" si="153"/>
        <v>87.1</v>
      </c>
      <c r="H922" s="205"/>
    </row>
    <row r="923" spans="1:10" ht="15.75">
      <c r="A923" s="26" t="s">
        <v>188</v>
      </c>
      <c r="B923" s="17">
        <v>908</v>
      </c>
      <c r="C923" s="21" t="s">
        <v>297</v>
      </c>
      <c r="D923" s="21" t="s">
        <v>173</v>
      </c>
      <c r="E923" s="21" t="s">
        <v>627</v>
      </c>
      <c r="F923" s="21" t="s">
        <v>198</v>
      </c>
      <c r="G923" s="27">
        <f t="shared" si="153"/>
        <v>87.1</v>
      </c>
      <c r="H923" s="205"/>
    </row>
    <row r="924" spans="1:10" ht="63">
      <c r="A924" s="26" t="s">
        <v>237</v>
      </c>
      <c r="B924" s="17">
        <v>908</v>
      </c>
      <c r="C924" s="21" t="s">
        <v>297</v>
      </c>
      <c r="D924" s="21" t="s">
        <v>173</v>
      </c>
      <c r="E924" s="21" t="s">
        <v>627</v>
      </c>
      <c r="F924" s="21" t="s">
        <v>213</v>
      </c>
      <c r="G924" s="27">
        <v>87.1</v>
      </c>
      <c r="H924" s="205"/>
    </row>
    <row r="925" spans="1:10" ht="31.5">
      <c r="A925" s="20" t="s">
        <v>628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5"/>
    </row>
    <row r="926" spans="1:10" ht="15.75">
      <c r="A926" s="24" t="s">
        <v>170</v>
      </c>
      <c r="B926" s="20">
        <v>910</v>
      </c>
      <c r="C926" s="25" t="s">
        <v>171</v>
      </c>
      <c r="D926" s="25"/>
      <c r="E926" s="25"/>
      <c r="F926" s="25"/>
      <c r="G926" s="22">
        <f>G927+G935+G945+G953</f>
        <v>7042.5</v>
      </c>
      <c r="H926" s="205"/>
    </row>
    <row r="927" spans="1:10" ht="47.25">
      <c r="A927" s="24" t="s">
        <v>629</v>
      </c>
      <c r="B927" s="20">
        <v>910</v>
      </c>
      <c r="C927" s="25" t="s">
        <v>171</v>
      </c>
      <c r="D927" s="25" t="s">
        <v>266</v>
      </c>
      <c r="E927" s="25"/>
      <c r="F927" s="25"/>
      <c r="G927" s="22">
        <f>G928</f>
        <v>4188.8</v>
      </c>
      <c r="H927" s="205"/>
    </row>
    <row r="928" spans="1:10" ht="15.75">
      <c r="A928" s="26" t="s">
        <v>174</v>
      </c>
      <c r="B928" s="17">
        <v>910</v>
      </c>
      <c r="C928" s="21" t="s">
        <v>171</v>
      </c>
      <c r="D928" s="21" t="s">
        <v>266</v>
      </c>
      <c r="E928" s="21" t="s">
        <v>175</v>
      </c>
      <c r="F928" s="21"/>
      <c r="G928" s="27">
        <f t="shared" ref="G928" si="154">G929</f>
        <v>4188.8</v>
      </c>
      <c r="H928" s="205"/>
    </row>
    <row r="929" spans="1:10" ht="31.5">
      <c r="A929" s="26" t="s">
        <v>176</v>
      </c>
      <c r="B929" s="17">
        <v>910</v>
      </c>
      <c r="C929" s="21" t="s">
        <v>171</v>
      </c>
      <c r="D929" s="21" t="s">
        <v>266</v>
      </c>
      <c r="E929" s="21" t="s">
        <v>177</v>
      </c>
      <c r="F929" s="21"/>
      <c r="G929" s="27">
        <f>G930</f>
        <v>4188.8</v>
      </c>
      <c r="H929" s="205"/>
    </row>
    <row r="930" spans="1:10" ht="47.25">
      <c r="A930" s="26" t="s">
        <v>630</v>
      </c>
      <c r="B930" s="17">
        <v>910</v>
      </c>
      <c r="C930" s="21" t="s">
        <v>171</v>
      </c>
      <c r="D930" s="21" t="s">
        <v>266</v>
      </c>
      <c r="E930" s="21" t="s">
        <v>631</v>
      </c>
      <c r="F930" s="21"/>
      <c r="G930" s="27">
        <f t="shared" ref="G930" si="155">G931+G933</f>
        <v>4188.8</v>
      </c>
      <c r="H930" s="205"/>
    </row>
    <row r="931" spans="1:10" ht="94.5">
      <c r="A931" s="26" t="s">
        <v>180</v>
      </c>
      <c r="B931" s="17">
        <v>910</v>
      </c>
      <c r="C931" s="21" t="s">
        <v>171</v>
      </c>
      <c r="D931" s="21" t="s">
        <v>266</v>
      </c>
      <c r="E931" s="21" t="s">
        <v>631</v>
      </c>
      <c r="F931" s="21" t="s">
        <v>181</v>
      </c>
      <c r="G931" s="27">
        <f>G932+G933</f>
        <v>4188.8</v>
      </c>
      <c r="H931" s="205"/>
    </row>
    <row r="932" spans="1:10" ht="31.5">
      <c r="A932" s="26" t="s">
        <v>182</v>
      </c>
      <c r="B932" s="17">
        <v>910</v>
      </c>
      <c r="C932" s="21" t="s">
        <v>171</v>
      </c>
      <c r="D932" s="21" t="s">
        <v>266</v>
      </c>
      <c r="E932" s="21" t="s">
        <v>631</v>
      </c>
      <c r="F932" s="21" t="s">
        <v>183</v>
      </c>
      <c r="G932" s="28">
        <v>4188.8</v>
      </c>
      <c r="H932" s="205"/>
      <c r="J932" s="198" t="s">
        <v>861</v>
      </c>
    </row>
    <row r="933" spans="1:10" ht="47.25" hidden="1">
      <c r="A933" s="26" t="s">
        <v>251</v>
      </c>
      <c r="B933" s="17">
        <v>910</v>
      </c>
      <c r="C933" s="21" t="s">
        <v>171</v>
      </c>
      <c r="D933" s="21" t="s">
        <v>266</v>
      </c>
      <c r="E933" s="21" t="s">
        <v>631</v>
      </c>
      <c r="F933" s="21" t="s">
        <v>185</v>
      </c>
      <c r="G933" s="27">
        <f t="shared" ref="G933" si="156">G934</f>
        <v>0</v>
      </c>
      <c r="H933" s="205"/>
    </row>
    <row r="934" spans="1:10" ht="47.25" hidden="1">
      <c r="A934" s="26" t="s">
        <v>186</v>
      </c>
      <c r="B934" s="17">
        <v>910</v>
      </c>
      <c r="C934" s="21" t="s">
        <v>171</v>
      </c>
      <c r="D934" s="21" t="s">
        <v>266</v>
      </c>
      <c r="E934" s="21" t="s">
        <v>631</v>
      </c>
      <c r="F934" s="21" t="s">
        <v>187</v>
      </c>
      <c r="G934" s="27"/>
      <c r="H934" s="205"/>
    </row>
    <row r="935" spans="1:10" ht="78.75">
      <c r="A935" s="24" t="s">
        <v>632</v>
      </c>
      <c r="B935" s="20">
        <v>910</v>
      </c>
      <c r="C935" s="25" t="s">
        <v>171</v>
      </c>
      <c r="D935" s="25" t="s">
        <v>268</v>
      </c>
      <c r="E935" s="25"/>
      <c r="F935" s="25"/>
      <c r="G935" s="22">
        <f>G936</f>
        <v>1138.7</v>
      </c>
      <c r="H935" s="205"/>
    </row>
    <row r="936" spans="1:10" ht="15.75">
      <c r="A936" s="26" t="s">
        <v>174</v>
      </c>
      <c r="B936" s="17">
        <v>910</v>
      </c>
      <c r="C936" s="21" t="s">
        <v>171</v>
      </c>
      <c r="D936" s="21" t="s">
        <v>268</v>
      </c>
      <c r="E936" s="21" t="s">
        <v>175</v>
      </c>
      <c r="F936" s="25"/>
      <c r="G936" s="27">
        <f t="shared" ref="G936" si="157">G937</f>
        <v>1138.7</v>
      </c>
      <c r="H936" s="205"/>
    </row>
    <row r="937" spans="1:10" ht="31.5">
      <c r="A937" s="26" t="s">
        <v>176</v>
      </c>
      <c r="B937" s="17">
        <v>910</v>
      </c>
      <c r="C937" s="21" t="s">
        <v>171</v>
      </c>
      <c r="D937" s="21" t="s">
        <v>268</v>
      </c>
      <c r="E937" s="21" t="s">
        <v>177</v>
      </c>
      <c r="F937" s="25"/>
      <c r="G937" s="27">
        <f>G938</f>
        <v>1138.7</v>
      </c>
      <c r="H937" s="205"/>
    </row>
    <row r="938" spans="1:10" ht="47.25">
      <c r="A938" s="26" t="s">
        <v>633</v>
      </c>
      <c r="B938" s="17">
        <v>910</v>
      </c>
      <c r="C938" s="21" t="s">
        <v>171</v>
      </c>
      <c r="D938" s="21" t="s">
        <v>268</v>
      </c>
      <c r="E938" s="21" t="s">
        <v>634</v>
      </c>
      <c r="F938" s="21"/>
      <c r="G938" s="27">
        <f t="shared" ref="G938" si="158">G939+G941+G943</f>
        <v>1138.7</v>
      </c>
      <c r="H938" s="205"/>
    </row>
    <row r="939" spans="1:10" ht="94.5">
      <c r="A939" s="26" t="s">
        <v>180</v>
      </c>
      <c r="B939" s="17">
        <v>910</v>
      </c>
      <c r="C939" s="21" t="s">
        <v>171</v>
      </c>
      <c r="D939" s="21" t="s">
        <v>268</v>
      </c>
      <c r="E939" s="21" t="s">
        <v>634</v>
      </c>
      <c r="F939" s="21" t="s">
        <v>181</v>
      </c>
      <c r="G939" s="27">
        <f>G940</f>
        <v>1003.7</v>
      </c>
      <c r="H939" s="205"/>
    </row>
    <row r="940" spans="1:10" ht="31.5">
      <c r="A940" s="26" t="s">
        <v>182</v>
      </c>
      <c r="B940" s="17">
        <v>910</v>
      </c>
      <c r="C940" s="21" t="s">
        <v>171</v>
      </c>
      <c r="D940" s="21" t="s">
        <v>268</v>
      </c>
      <c r="E940" s="21" t="s">
        <v>634</v>
      </c>
      <c r="F940" s="21" t="s">
        <v>183</v>
      </c>
      <c r="G940" s="27">
        <v>1003.7</v>
      </c>
      <c r="H940" s="205"/>
    </row>
    <row r="941" spans="1:10" ht="47.25">
      <c r="A941" s="26" t="s">
        <v>251</v>
      </c>
      <c r="B941" s="17">
        <v>910</v>
      </c>
      <c r="C941" s="21" t="s">
        <v>171</v>
      </c>
      <c r="D941" s="21" t="s">
        <v>268</v>
      </c>
      <c r="E941" s="21" t="s">
        <v>634</v>
      </c>
      <c r="F941" s="21" t="s">
        <v>185</v>
      </c>
      <c r="G941" s="27">
        <f>G942</f>
        <v>135</v>
      </c>
      <c r="H941" s="205"/>
    </row>
    <row r="942" spans="1:10" ht="47.25">
      <c r="A942" s="26" t="s">
        <v>186</v>
      </c>
      <c r="B942" s="17">
        <v>910</v>
      </c>
      <c r="C942" s="21" t="s">
        <v>171</v>
      </c>
      <c r="D942" s="21" t="s">
        <v>268</v>
      </c>
      <c r="E942" s="21" t="s">
        <v>634</v>
      </c>
      <c r="F942" s="21" t="s">
        <v>187</v>
      </c>
      <c r="G942" s="27">
        <v>135</v>
      </c>
      <c r="H942" s="205"/>
    </row>
    <row r="943" spans="1:10" ht="15.75" hidden="1">
      <c r="A943" s="26" t="s">
        <v>188</v>
      </c>
      <c r="B943" s="17">
        <v>910</v>
      </c>
      <c r="C943" s="21" t="s">
        <v>171</v>
      </c>
      <c r="D943" s="21" t="s">
        <v>268</v>
      </c>
      <c r="E943" s="21" t="s">
        <v>634</v>
      </c>
      <c r="F943" s="21" t="s">
        <v>198</v>
      </c>
      <c r="G943" s="27">
        <f t="shared" ref="G943" si="159">G944</f>
        <v>0</v>
      </c>
      <c r="H943" s="205"/>
    </row>
    <row r="944" spans="1:10" ht="15.75" hidden="1">
      <c r="A944" s="26" t="s">
        <v>622</v>
      </c>
      <c r="B944" s="17">
        <v>910</v>
      </c>
      <c r="C944" s="21" t="s">
        <v>171</v>
      </c>
      <c r="D944" s="21" t="s">
        <v>268</v>
      </c>
      <c r="E944" s="21" t="s">
        <v>634</v>
      </c>
      <c r="F944" s="21" t="s">
        <v>191</v>
      </c>
      <c r="G944" s="27">
        <v>0</v>
      </c>
      <c r="H944" s="205"/>
    </row>
    <row r="945" spans="1:10" ht="63">
      <c r="A945" s="24" t="s">
        <v>172</v>
      </c>
      <c r="B945" s="20">
        <v>910</v>
      </c>
      <c r="C945" s="25" t="s">
        <v>171</v>
      </c>
      <c r="D945" s="25" t="s">
        <v>173</v>
      </c>
      <c r="E945" s="25"/>
      <c r="F945" s="25"/>
      <c r="G945" s="22">
        <f>G946</f>
        <v>1682.5</v>
      </c>
      <c r="H945" s="205"/>
    </row>
    <row r="946" spans="1:10" s="136" customFormat="1" ht="15.75">
      <c r="A946" s="26" t="s">
        <v>174</v>
      </c>
      <c r="B946" s="17">
        <v>910</v>
      </c>
      <c r="C946" s="21" t="s">
        <v>171</v>
      </c>
      <c r="D946" s="21" t="s">
        <v>173</v>
      </c>
      <c r="E946" s="21" t="s">
        <v>175</v>
      </c>
      <c r="F946" s="21"/>
      <c r="G946" s="27">
        <f>G947</f>
        <v>1682.5</v>
      </c>
      <c r="H946" s="205"/>
      <c r="I946" s="152"/>
    </row>
    <row r="947" spans="1:10" s="136" customFormat="1" ht="31.5">
      <c r="A947" s="26" t="s">
        <v>176</v>
      </c>
      <c r="B947" s="17">
        <v>910</v>
      </c>
      <c r="C947" s="21" t="s">
        <v>171</v>
      </c>
      <c r="D947" s="21" t="s">
        <v>173</v>
      </c>
      <c r="E947" s="21" t="s">
        <v>177</v>
      </c>
      <c r="F947" s="21"/>
      <c r="G947" s="27">
        <f>G948</f>
        <v>1682.5</v>
      </c>
      <c r="H947" s="205"/>
      <c r="I947" s="152"/>
    </row>
    <row r="948" spans="1:10" s="136" customFormat="1" ht="47.25">
      <c r="A948" s="26" t="s">
        <v>178</v>
      </c>
      <c r="B948" s="17">
        <v>910</v>
      </c>
      <c r="C948" s="21" t="s">
        <v>171</v>
      </c>
      <c r="D948" s="21" t="s">
        <v>173</v>
      </c>
      <c r="E948" s="21" t="s">
        <v>179</v>
      </c>
      <c r="F948" s="21"/>
      <c r="G948" s="27">
        <f>G949+G951</f>
        <v>1682.5</v>
      </c>
      <c r="H948" s="205"/>
      <c r="I948" s="152"/>
    </row>
    <row r="949" spans="1:10" ht="94.5">
      <c r="A949" s="26" t="s">
        <v>180</v>
      </c>
      <c r="B949" s="17">
        <v>910</v>
      </c>
      <c r="C949" s="21" t="s">
        <v>171</v>
      </c>
      <c r="D949" s="21" t="s">
        <v>173</v>
      </c>
      <c r="E949" s="21" t="s">
        <v>179</v>
      </c>
      <c r="F949" s="21" t="s">
        <v>181</v>
      </c>
      <c r="G949" s="27">
        <f>G950</f>
        <v>1664.2</v>
      </c>
      <c r="H949" s="205"/>
    </row>
    <row r="950" spans="1:10" ht="31.5">
      <c r="A950" s="26" t="s">
        <v>182</v>
      </c>
      <c r="B950" s="17">
        <v>910</v>
      </c>
      <c r="C950" s="21" t="s">
        <v>171</v>
      </c>
      <c r="D950" s="21" t="s">
        <v>173</v>
      </c>
      <c r="E950" s="21" t="s">
        <v>179</v>
      </c>
      <c r="F950" s="21" t="s">
        <v>183</v>
      </c>
      <c r="G950" s="27">
        <v>1664.2</v>
      </c>
      <c r="H950" s="205"/>
      <c r="J950" s="201" t="s">
        <v>862</v>
      </c>
    </row>
    <row r="951" spans="1:10" ht="47.25">
      <c r="A951" s="26" t="s">
        <v>251</v>
      </c>
      <c r="B951" s="17">
        <v>910</v>
      </c>
      <c r="C951" s="21" t="s">
        <v>171</v>
      </c>
      <c r="D951" s="21" t="s">
        <v>173</v>
      </c>
      <c r="E951" s="21" t="s">
        <v>179</v>
      </c>
      <c r="F951" s="21" t="s">
        <v>185</v>
      </c>
      <c r="G951" s="27">
        <f>G952</f>
        <v>18.3</v>
      </c>
      <c r="H951" s="205"/>
    </row>
    <row r="952" spans="1:10" ht="47.25">
      <c r="A952" s="26" t="s">
        <v>186</v>
      </c>
      <c r="B952" s="17">
        <v>910</v>
      </c>
      <c r="C952" s="21" t="s">
        <v>171</v>
      </c>
      <c r="D952" s="21" t="s">
        <v>173</v>
      </c>
      <c r="E952" s="21" t="s">
        <v>179</v>
      </c>
      <c r="F952" s="21" t="s">
        <v>187</v>
      </c>
      <c r="G952" s="27">
        <v>18.3</v>
      </c>
      <c r="H952" s="205"/>
    </row>
    <row r="953" spans="1:10" ht="15.75">
      <c r="A953" s="24" t="s">
        <v>192</v>
      </c>
      <c r="B953" s="20">
        <v>910</v>
      </c>
      <c r="C953" s="25" t="s">
        <v>171</v>
      </c>
      <c r="D953" s="25" t="s">
        <v>193</v>
      </c>
      <c r="E953" s="134"/>
      <c r="F953" s="21"/>
      <c r="G953" s="22">
        <f>G954+G958</f>
        <v>32.5</v>
      </c>
      <c r="H953" s="205"/>
    </row>
    <row r="954" spans="1:10" ht="47.25">
      <c r="A954" s="26" t="s">
        <v>214</v>
      </c>
      <c r="B954" s="17">
        <v>910</v>
      </c>
      <c r="C954" s="21" t="s">
        <v>171</v>
      </c>
      <c r="D954" s="21" t="s">
        <v>193</v>
      </c>
      <c r="E954" s="21" t="s">
        <v>215</v>
      </c>
      <c r="F954" s="21"/>
      <c r="G954" s="27">
        <f>G955</f>
        <v>0.5</v>
      </c>
      <c r="H954" s="205"/>
    </row>
    <row r="955" spans="1:10" ht="63">
      <c r="A955" s="33" t="s">
        <v>779</v>
      </c>
      <c r="B955" s="17">
        <v>910</v>
      </c>
      <c r="C955" s="21" t="s">
        <v>171</v>
      </c>
      <c r="D955" s="21" t="s">
        <v>193</v>
      </c>
      <c r="E955" s="42" t="s">
        <v>780</v>
      </c>
      <c r="F955" s="21"/>
      <c r="G955" s="27">
        <f>G956</f>
        <v>0.5</v>
      </c>
      <c r="H955" s="205"/>
    </row>
    <row r="956" spans="1:10" ht="31.5">
      <c r="A956" s="26" t="s">
        <v>184</v>
      </c>
      <c r="B956" s="17">
        <v>910</v>
      </c>
      <c r="C956" s="21" t="s">
        <v>171</v>
      </c>
      <c r="D956" s="21" t="s">
        <v>193</v>
      </c>
      <c r="E956" s="42" t="s">
        <v>780</v>
      </c>
      <c r="F956" s="21" t="s">
        <v>185</v>
      </c>
      <c r="G956" s="27">
        <f>G957</f>
        <v>0.5</v>
      </c>
      <c r="H956" s="205"/>
    </row>
    <row r="957" spans="1:10" ht="47.25">
      <c r="A957" s="26" t="s">
        <v>186</v>
      </c>
      <c r="B957" s="17">
        <v>910</v>
      </c>
      <c r="C957" s="21" t="s">
        <v>171</v>
      </c>
      <c r="D957" s="21" t="s">
        <v>193</v>
      </c>
      <c r="E957" s="42" t="s">
        <v>780</v>
      </c>
      <c r="F957" s="21" t="s">
        <v>187</v>
      </c>
      <c r="G957" s="27">
        <v>0.5</v>
      </c>
      <c r="H957" s="205"/>
    </row>
    <row r="958" spans="1:10" ht="15.75">
      <c r="A958" s="33" t="s">
        <v>174</v>
      </c>
      <c r="B958" s="17">
        <v>910</v>
      </c>
      <c r="C958" s="21" t="s">
        <v>171</v>
      </c>
      <c r="D958" s="21" t="s">
        <v>193</v>
      </c>
      <c r="E958" s="21" t="s">
        <v>175</v>
      </c>
      <c r="F958" s="21"/>
      <c r="G958" s="27">
        <f>G959</f>
        <v>32</v>
      </c>
      <c r="H958" s="205"/>
    </row>
    <row r="959" spans="1:10" ht="31.5">
      <c r="A959" s="33" t="s">
        <v>238</v>
      </c>
      <c r="B959" s="17">
        <v>910</v>
      </c>
      <c r="C959" s="21" t="s">
        <v>171</v>
      </c>
      <c r="D959" s="21" t="s">
        <v>193</v>
      </c>
      <c r="E959" s="21" t="s">
        <v>239</v>
      </c>
      <c r="F959" s="21"/>
      <c r="G959" s="27">
        <f>G960</f>
        <v>32</v>
      </c>
      <c r="H959" s="205"/>
    </row>
    <row r="960" spans="1:10" ht="63">
      <c r="A960" s="33" t="s">
        <v>779</v>
      </c>
      <c r="B960" s="17">
        <v>910</v>
      </c>
      <c r="C960" s="21" t="s">
        <v>171</v>
      </c>
      <c r="D960" s="21" t="s">
        <v>193</v>
      </c>
      <c r="E960" s="21" t="s">
        <v>781</v>
      </c>
      <c r="F960" s="21"/>
      <c r="G960" s="27">
        <f>G961</f>
        <v>32</v>
      </c>
      <c r="H960" s="205"/>
    </row>
    <row r="961" spans="1:12" ht="31.5">
      <c r="A961" s="26" t="s">
        <v>184</v>
      </c>
      <c r="B961" s="17">
        <v>910</v>
      </c>
      <c r="C961" s="21" t="s">
        <v>171</v>
      </c>
      <c r="D961" s="21" t="s">
        <v>193</v>
      </c>
      <c r="E961" s="21" t="s">
        <v>781</v>
      </c>
      <c r="F961" s="21" t="s">
        <v>185</v>
      </c>
      <c r="G961" s="27">
        <f>G962</f>
        <v>32</v>
      </c>
      <c r="H961" s="205"/>
    </row>
    <row r="962" spans="1:12" ht="47.25">
      <c r="A962" s="26" t="s">
        <v>186</v>
      </c>
      <c r="B962" s="17">
        <v>910</v>
      </c>
      <c r="C962" s="21" t="s">
        <v>171</v>
      </c>
      <c r="D962" s="21" t="s">
        <v>193</v>
      </c>
      <c r="E962" s="21" t="s">
        <v>781</v>
      </c>
      <c r="F962" s="21" t="s">
        <v>187</v>
      </c>
      <c r="G962" s="27">
        <v>32</v>
      </c>
      <c r="H962" s="135"/>
    </row>
    <row r="963" spans="1:12" ht="31.5">
      <c r="A963" s="24" t="s">
        <v>635</v>
      </c>
      <c r="B963" s="20">
        <v>913</v>
      </c>
      <c r="C963" s="25"/>
      <c r="D963" s="25"/>
      <c r="E963" s="25"/>
      <c r="F963" s="25"/>
      <c r="G963" s="22">
        <f t="shared" ref="G963:G967" si="160">G964</f>
        <v>6309.8</v>
      </c>
      <c r="H963" s="205"/>
    </row>
    <row r="964" spans="1:12" ht="15.75">
      <c r="A964" s="24" t="s">
        <v>636</v>
      </c>
      <c r="B964" s="20">
        <v>913</v>
      </c>
      <c r="C964" s="25" t="s">
        <v>291</v>
      </c>
      <c r="D964" s="21"/>
      <c r="E964" s="21"/>
      <c r="F964" s="21"/>
      <c r="G964" s="27">
        <f>G965</f>
        <v>6309.8</v>
      </c>
      <c r="H964" s="205"/>
    </row>
    <row r="965" spans="1:12" ht="15.75">
      <c r="A965" s="24" t="s">
        <v>637</v>
      </c>
      <c r="B965" s="20">
        <v>913</v>
      </c>
      <c r="C965" s="25" t="s">
        <v>291</v>
      </c>
      <c r="D965" s="25" t="s">
        <v>266</v>
      </c>
      <c r="E965" s="25"/>
      <c r="F965" s="25"/>
      <c r="G965" s="27">
        <f t="shared" si="160"/>
        <v>6309.8</v>
      </c>
      <c r="H965" s="205"/>
    </row>
    <row r="966" spans="1:12" ht="15.75">
      <c r="A966" s="26" t="s">
        <v>174</v>
      </c>
      <c r="B966" s="17">
        <v>913</v>
      </c>
      <c r="C966" s="21" t="s">
        <v>291</v>
      </c>
      <c r="D966" s="21" t="s">
        <v>266</v>
      </c>
      <c r="E966" s="21" t="s">
        <v>175</v>
      </c>
      <c r="F966" s="21"/>
      <c r="G966" s="27">
        <f>G967</f>
        <v>6309.8</v>
      </c>
      <c r="H966" s="205"/>
    </row>
    <row r="967" spans="1:12" ht="31.5">
      <c r="A967" s="26" t="s">
        <v>638</v>
      </c>
      <c r="B967" s="17">
        <v>913</v>
      </c>
      <c r="C967" s="21" t="s">
        <v>291</v>
      </c>
      <c r="D967" s="21" t="s">
        <v>266</v>
      </c>
      <c r="E967" s="21" t="s">
        <v>639</v>
      </c>
      <c r="F967" s="21"/>
      <c r="G967" s="27">
        <f t="shared" si="160"/>
        <v>6309.8</v>
      </c>
      <c r="H967" s="205"/>
    </row>
    <row r="968" spans="1:12" ht="31.5">
      <c r="A968" s="26" t="s">
        <v>363</v>
      </c>
      <c r="B968" s="17">
        <v>913</v>
      </c>
      <c r="C968" s="21" t="s">
        <v>291</v>
      </c>
      <c r="D968" s="21" t="s">
        <v>266</v>
      </c>
      <c r="E968" s="21" t="s">
        <v>640</v>
      </c>
      <c r="F968" s="21"/>
      <c r="G968" s="27">
        <f>G969+G971+G973</f>
        <v>6309.8</v>
      </c>
      <c r="H968" s="205"/>
    </row>
    <row r="969" spans="1:12" ht="94.5">
      <c r="A969" s="26" t="s">
        <v>180</v>
      </c>
      <c r="B969" s="17">
        <v>913</v>
      </c>
      <c r="C969" s="21" t="s">
        <v>291</v>
      </c>
      <c r="D969" s="21" t="s">
        <v>266</v>
      </c>
      <c r="E969" s="21" t="s">
        <v>640</v>
      </c>
      <c r="F969" s="21" t="s">
        <v>181</v>
      </c>
      <c r="G969" s="27">
        <f t="shared" ref="G969" si="161">G970</f>
        <v>5371.7</v>
      </c>
      <c r="H969" s="205"/>
    </row>
    <row r="970" spans="1:12" ht="31.5">
      <c r="A970" s="26" t="s">
        <v>261</v>
      </c>
      <c r="B970" s="17">
        <v>913</v>
      </c>
      <c r="C970" s="21" t="s">
        <v>291</v>
      </c>
      <c r="D970" s="21" t="s">
        <v>266</v>
      </c>
      <c r="E970" s="21" t="s">
        <v>640</v>
      </c>
      <c r="F970" s="21" t="s">
        <v>262</v>
      </c>
      <c r="G970" s="28">
        <v>5371.7</v>
      </c>
      <c r="H970" s="205"/>
    </row>
    <row r="971" spans="1:12" ht="31.5">
      <c r="A971" s="26" t="s">
        <v>184</v>
      </c>
      <c r="B971" s="17">
        <v>913</v>
      </c>
      <c r="C971" s="21" t="s">
        <v>291</v>
      </c>
      <c r="D971" s="21" t="s">
        <v>266</v>
      </c>
      <c r="E971" s="21" t="s">
        <v>640</v>
      </c>
      <c r="F971" s="21" t="s">
        <v>185</v>
      </c>
      <c r="G971" s="27">
        <f t="shared" ref="G971" si="162">G972</f>
        <v>928.1</v>
      </c>
      <c r="H971" s="205"/>
    </row>
    <row r="972" spans="1:12" ht="47.25">
      <c r="A972" s="26" t="s">
        <v>186</v>
      </c>
      <c r="B972" s="17">
        <v>913</v>
      </c>
      <c r="C972" s="21" t="s">
        <v>291</v>
      </c>
      <c r="D972" s="21" t="s">
        <v>266</v>
      </c>
      <c r="E972" s="21" t="s">
        <v>640</v>
      </c>
      <c r="F972" s="21" t="s">
        <v>187</v>
      </c>
      <c r="G972" s="28">
        <f>898.3+28.1+1.7</f>
        <v>928.1</v>
      </c>
      <c r="H972" s="130"/>
      <c r="I972" s="149"/>
    </row>
    <row r="973" spans="1:12" ht="15.75">
      <c r="A973" s="26" t="s">
        <v>188</v>
      </c>
      <c r="B973" s="17">
        <v>913</v>
      </c>
      <c r="C973" s="21" t="s">
        <v>291</v>
      </c>
      <c r="D973" s="21" t="s">
        <v>266</v>
      </c>
      <c r="E973" s="21" t="s">
        <v>640</v>
      </c>
      <c r="F973" s="21" t="s">
        <v>198</v>
      </c>
      <c r="G973" s="27">
        <f t="shared" ref="G973" si="163">G974</f>
        <v>10</v>
      </c>
      <c r="H973" s="205"/>
    </row>
    <row r="974" spans="1:12" ht="15.75">
      <c r="A974" s="26" t="s">
        <v>622</v>
      </c>
      <c r="B974" s="17">
        <v>913</v>
      </c>
      <c r="C974" s="21" t="s">
        <v>291</v>
      </c>
      <c r="D974" s="21" t="s">
        <v>266</v>
      </c>
      <c r="E974" s="21" t="s">
        <v>640</v>
      </c>
      <c r="F974" s="21" t="s">
        <v>191</v>
      </c>
      <c r="G974" s="27">
        <v>10</v>
      </c>
      <c r="H974" s="205"/>
    </row>
    <row r="975" spans="1:12" ht="18.75">
      <c r="A975" s="50" t="s">
        <v>641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205"/>
      <c r="L975" s="140"/>
    </row>
    <row r="976" spans="1:12">
      <c r="A976" s="52"/>
      <c r="B976" s="52"/>
      <c r="C976" s="52"/>
      <c r="D976" s="52"/>
      <c r="E976" s="52"/>
      <c r="F976" s="52"/>
      <c r="G976" s="52"/>
      <c r="I976" s="138"/>
    </row>
    <row r="977" spans="1:12" ht="18.75">
      <c r="A977" s="52"/>
      <c r="B977" s="52"/>
      <c r="C977" s="53"/>
      <c r="D977" s="53"/>
      <c r="E977" s="53"/>
      <c r="F977" s="126" t="s">
        <v>642</v>
      </c>
      <c r="G977" s="54">
        <f>G975-G978</f>
        <v>460911.08999999991</v>
      </c>
    </row>
    <row r="978" spans="1:12" ht="18.75">
      <c r="A978" s="52"/>
      <c r="B978" s="52"/>
      <c r="C978" s="53"/>
      <c r="D978" s="53"/>
      <c r="E978" s="53"/>
      <c r="F978" s="126" t="s">
        <v>643</v>
      </c>
      <c r="G978" s="54">
        <f>G98+G180+G186+G208+G214+G261+G273+G338+G444+G480+G494+G527+G581+G640+G694+G787+G827+G879+G623+G959</f>
        <v>204531.10000000003</v>
      </c>
      <c r="I978" s="142"/>
    </row>
    <row r="979" spans="1:12" ht="15.75">
      <c r="A979" s="52"/>
      <c r="B979" s="52"/>
      <c r="C979" s="53"/>
      <c r="D979" s="55"/>
      <c r="E979" s="55"/>
      <c r="F979" s="55"/>
      <c r="G979" s="127"/>
    </row>
    <row r="980" spans="1:12" ht="15.75">
      <c r="A980" s="52"/>
      <c r="B980" s="52"/>
      <c r="C980" s="53"/>
      <c r="D980" s="55"/>
      <c r="E980" s="55"/>
      <c r="F980" s="55"/>
      <c r="G980" s="53"/>
    </row>
    <row r="981" spans="1:12" ht="15.7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9"/>
      <c r="I981" s="143">
        <f>'прил.№2 Рд,пр'!D12</f>
        <v>118780.09999999998</v>
      </c>
      <c r="L981" s="129"/>
    </row>
    <row r="982" spans="1:12" ht="15.7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9"/>
      <c r="I982" s="143">
        <v>0</v>
      </c>
      <c r="L982" s="129"/>
    </row>
    <row r="983" spans="1:12" ht="15.7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29"/>
      <c r="I983" s="143">
        <f>'прил.№2 Рд,пр'!D21</f>
        <v>7209.4000000000005</v>
      </c>
      <c r="L983" s="129"/>
    </row>
    <row r="984" spans="1:12" ht="15.7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9"/>
      <c r="I984" s="143">
        <f>'прил.№2 Рд,пр'!D23</f>
        <v>20153.2</v>
      </c>
      <c r="L984" s="129"/>
    </row>
    <row r="985" spans="1:12" ht="15.7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9"/>
      <c r="I985" s="143">
        <f>'прил.№2 Рд,пр'!D28</f>
        <v>109165.59999999999</v>
      </c>
      <c r="L985" s="129"/>
    </row>
    <row r="986" spans="1:12" ht="15.7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9"/>
      <c r="I986" s="143">
        <f>'прил.№2 Рд,пр'!D33</f>
        <v>290484.59999999998</v>
      </c>
      <c r="L986" s="129"/>
    </row>
    <row r="987" spans="1:12" ht="15.7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9"/>
      <c r="I987" s="143">
        <f>'прил.№2 Рд,пр'!D39</f>
        <v>61699.8</v>
      </c>
      <c r="L987" s="129"/>
    </row>
    <row r="988" spans="1:12" ht="15.7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9"/>
      <c r="I988" s="143">
        <f>'прил.№2 Рд,пр'!D42</f>
        <v>16937</v>
      </c>
      <c r="L988" s="129"/>
    </row>
    <row r="989" spans="1:12" ht="15.7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29"/>
      <c r="I989" s="143">
        <f>'прил.№2 Рд,пр'!D47</f>
        <v>34702.699999999997</v>
      </c>
      <c r="L989" s="129"/>
    </row>
    <row r="990" spans="1:12" ht="15.7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9"/>
      <c r="I990" s="143">
        <f>'прил.№2 Рд,пр'!D50</f>
        <v>6309.8</v>
      </c>
      <c r="L990" s="129"/>
    </row>
    <row r="991" spans="1:12" ht="15.75">
      <c r="A991" s="52"/>
      <c r="B991" s="52"/>
      <c r="C991" s="57"/>
      <c r="D991" s="55"/>
      <c r="E991" s="55"/>
      <c r="F991" s="55"/>
      <c r="G991" s="128">
        <f>SUM(G981:G990)</f>
        <v>665442.19000000018</v>
      </c>
      <c r="H991" s="129"/>
      <c r="I991" s="143">
        <f>'прил.№2 Рд,пр'!D52</f>
        <v>665442.19999999995</v>
      </c>
      <c r="L991" s="129"/>
    </row>
    <row r="992" spans="1:12">
      <c r="G992" s="129"/>
      <c r="H992" s="129"/>
      <c r="I992" s="143"/>
    </row>
    <row r="993" spans="4:9">
      <c r="D993" s="1" t="s">
        <v>644</v>
      </c>
      <c r="E993" s="1">
        <v>50</v>
      </c>
      <c r="G993" s="129">
        <f>G778</f>
        <v>15124.1</v>
      </c>
      <c r="H993" s="129"/>
      <c r="I993" s="143"/>
    </row>
    <row r="994" spans="4:9">
      <c r="E994" s="1">
        <v>51</v>
      </c>
      <c r="G994" s="129">
        <f>G390</f>
        <v>3693</v>
      </c>
      <c r="H994" s="129"/>
      <c r="I994" s="143"/>
    </row>
    <row r="995" spans="4:9">
      <c r="E995" s="1">
        <v>52</v>
      </c>
      <c r="G995" s="129">
        <f>G508+G547+G634+G613</f>
        <v>89244.700000000012</v>
      </c>
      <c r="H995" s="129"/>
      <c r="I995" s="143"/>
    </row>
    <row r="996" spans="4:9">
      <c r="E996" s="1">
        <v>53</v>
      </c>
      <c r="G996" s="129">
        <f>G57</f>
        <v>250</v>
      </c>
      <c r="H996" s="129"/>
      <c r="I996" s="143"/>
    </row>
    <row r="997" spans="4:9">
      <c r="E997" s="1">
        <v>54</v>
      </c>
      <c r="G997" s="129">
        <f>G61+G954</f>
        <v>654</v>
      </c>
      <c r="H997" s="129"/>
      <c r="I997" s="143"/>
    </row>
    <row r="998" spans="4:9">
      <c r="E998" s="1">
        <v>55</v>
      </c>
      <c r="G998" s="129">
        <f>G203</f>
        <v>10</v>
      </c>
      <c r="H998" s="129"/>
      <c r="I998" s="143"/>
    </row>
    <row r="999" spans="4:9">
      <c r="E999" s="1">
        <v>56</v>
      </c>
      <c r="G999" s="129">
        <f>G73</f>
        <v>80</v>
      </c>
      <c r="H999" s="129"/>
      <c r="I999" s="143"/>
    </row>
    <row r="1000" spans="4:9">
      <c r="E1000" s="1">
        <v>57</v>
      </c>
      <c r="G1000" s="129">
        <f>G726+G706+G676</f>
        <v>36478.9</v>
      </c>
      <c r="H1000" s="129"/>
      <c r="I1000" s="143"/>
    </row>
    <row r="1001" spans="4:9">
      <c r="E1001" s="1">
        <v>58</v>
      </c>
      <c r="G1001" s="129">
        <f>G279+G237</f>
        <v>58528.700000000004</v>
      </c>
      <c r="H1001" s="129"/>
      <c r="I1001" s="143"/>
    </row>
    <row r="1002" spans="4:9">
      <c r="E1002" s="1">
        <v>59</v>
      </c>
      <c r="G1002" s="129">
        <f>G333</f>
        <v>200</v>
      </c>
      <c r="H1002" s="129"/>
      <c r="I1002" s="143"/>
    </row>
    <row r="1003" spans="4:9">
      <c r="E1003" s="1">
        <v>60</v>
      </c>
      <c r="G1003" s="129">
        <f>G848</f>
        <v>12375.499999999998</v>
      </c>
      <c r="H1003" s="129"/>
      <c r="I1003" s="143"/>
    </row>
    <row r="1004" spans="4:9">
      <c r="E1004" s="1">
        <v>61</v>
      </c>
      <c r="G1004" s="129">
        <f>G86</f>
        <v>120</v>
      </c>
      <c r="H1004" s="129"/>
      <c r="I1004" s="143"/>
    </row>
    <row r="1005" spans="4:9">
      <c r="E1005" s="1">
        <v>62</v>
      </c>
      <c r="G1005" s="129">
        <f>G801</f>
        <v>5567.9000000000005</v>
      </c>
      <c r="H1005" s="129"/>
      <c r="I1005" s="143"/>
    </row>
    <row r="1006" spans="4:9">
      <c r="E1006" s="1">
        <v>63</v>
      </c>
      <c r="G1006" s="129">
        <f>G359+G646</f>
        <v>145</v>
      </c>
      <c r="H1006" s="129"/>
      <c r="I1006" s="143"/>
    </row>
    <row r="1007" spans="4:9">
      <c r="E1007" s="1">
        <v>64</v>
      </c>
      <c r="G1007" s="129">
        <f>G90+G369</f>
        <v>34</v>
      </c>
      <c r="H1007" s="129"/>
      <c r="I1007" s="143"/>
    </row>
    <row r="1008" spans="4:9">
      <c r="E1008" s="1">
        <v>65</v>
      </c>
      <c r="G1008" s="129">
        <f>G874</f>
        <v>600</v>
      </c>
      <c r="H1008" s="129"/>
      <c r="I1008" s="143"/>
    </row>
    <row r="1009" spans="7:9">
      <c r="G1009" s="129">
        <f>SUM(G993:G1008)</f>
        <v>223105.80000000002</v>
      </c>
      <c r="H1009" s="129"/>
      <c r="I1009" s="143"/>
    </row>
    <row r="1010" spans="7:9">
      <c r="G1010" s="129"/>
      <c r="H1010" s="129"/>
      <c r="I1010" s="143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29"/>
  <sheetViews>
    <sheetView view="pageBreakPreview" zoomScaleNormal="75" zoomScaleSheetLayoutView="100" workbookViewId="0">
      <selection activeCell="D6" sqref="D6"/>
    </sheetView>
  </sheetViews>
  <sheetFormatPr defaultRowHeight="15"/>
  <cols>
    <col min="1" max="1" width="56.28515625" style="1" customWidth="1"/>
    <col min="2" max="2" width="17.42578125" style="1" customWidth="1"/>
    <col min="3" max="3" width="8.28515625" style="1" customWidth="1"/>
    <col min="4" max="4" width="7.28515625" style="1" customWidth="1"/>
    <col min="5" max="5" width="8.7109375" style="1" customWidth="1"/>
    <col min="6" max="6" width="9.140625" style="1"/>
    <col min="7" max="7" width="10.85546875" style="1" hidden="1" customWidth="1"/>
    <col min="8" max="8" width="11.28515625" style="1" hidden="1" customWidth="1"/>
    <col min="9" max="9" width="11.5703125" style="133" hidden="1" customWidth="1"/>
    <col min="10" max="10" width="10" style="1" hidden="1" customWidth="1"/>
    <col min="11" max="11" width="10.140625" style="1" hidden="1" customWidth="1"/>
    <col min="12" max="13" width="12.42578125" style="1" customWidth="1"/>
    <col min="14" max="14" width="14.28515625" style="1" customWidth="1"/>
    <col min="15" max="16384" width="9.140625" style="1"/>
  </cols>
  <sheetData>
    <row r="1" spans="1:14" ht="18.75">
      <c r="E1" s="282"/>
      <c r="M1" s="277" t="s">
        <v>161</v>
      </c>
    </row>
    <row r="2" spans="1:14" ht="18.75">
      <c r="E2" s="282"/>
      <c r="M2" s="277" t="s">
        <v>999</v>
      </c>
    </row>
    <row r="3" spans="1:14" ht="18.75">
      <c r="E3" s="282"/>
      <c r="M3" s="277" t="s">
        <v>1000</v>
      </c>
    </row>
    <row r="4" spans="1:14" ht="18.75">
      <c r="E4" s="282"/>
      <c r="M4" s="277" t="s">
        <v>1001</v>
      </c>
    </row>
    <row r="5" spans="1:14" ht="18.75">
      <c r="E5" s="280"/>
      <c r="G5" s="74"/>
      <c r="L5" s="270"/>
      <c r="M5" s="277" t="s">
        <v>1021</v>
      </c>
      <c r="N5" s="270"/>
    </row>
    <row r="6" spans="1:14" ht="18.75">
      <c r="E6" s="280"/>
      <c r="G6" s="74"/>
      <c r="L6" s="270"/>
      <c r="M6" s="277"/>
      <c r="N6" s="270"/>
    </row>
    <row r="7" spans="1:14" ht="38.25" customHeight="1">
      <c r="A7" s="312" t="s">
        <v>1008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</row>
    <row r="8" spans="1:14" ht="15.75">
      <c r="A8" s="73"/>
      <c r="B8" s="73"/>
      <c r="C8" s="73"/>
      <c r="D8" s="73"/>
      <c r="E8" s="75"/>
      <c r="F8" s="75"/>
      <c r="G8" s="76" t="s">
        <v>1</v>
      </c>
      <c r="L8" s="261"/>
      <c r="M8" s="261"/>
      <c r="N8" s="261"/>
    </row>
    <row r="9" spans="1:14" ht="78.75">
      <c r="A9" s="77" t="s">
        <v>647</v>
      </c>
      <c r="B9" s="77" t="s">
        <v>697</v>
      </c>
      <c r="C9" s="77" t="s">
        <v>698</v>
      </c>
      <c r="D9" s="77" t="s">
        <v>699</v>
      </c>
      <c r="E9" s="77" t="s">
        <v>700</v>
      </c>
      <c r="F9" s="77" t="s">
        <v>701</v>
      </c>
      <c r="G9" s="6" t="s">
        <v>4</v>
      </c>
      <c r="H9" s="211" t="s">
        <v>870</v>
      </c>
      <c r="I9" s="212" t="s">
        <v>881</v>
      </c>
      <c r="J9" s="212" t="s">
        <v>882</v>
      </c>
      <c r="K9" s="212" t="s">
        <v>883</v>
      </c>
      <c r="L9" s="279" t="s">
        <v>1004</v>
      </c>
      <c r="M9" s="279" t="s">
        <v>1005</v>
      </c>
      <c r="N9" s="279" t="s">
        <v>1006</v>
      </c>
    </row>
    <row r="10" spans="1:14" ht="15.75">
      <c r="A10" s="77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7</v>
      </c>
      <c r="M10" s="6">
        <v>8</v>
      </c>
      <c r="N10" s="6">
        <v>9</v>
      </c>
    </row>
    <row r="11" spans="1:14" ht="47.25">
      <c r="A11" s="64" t="s">
        <v>702</v>
      </c>
      <c r="B11" s="8" t="s">
        <v>564</v>
      </c>
      <c r="C11" s="8"/>
      <c r="D11" s="8"/>
      <c r="E11" s="8"/>
      <c r="F11" s="8"/>
      <c r="G11" s="4">
        <f>G14</f>
        <v>15124.1</v>
      </c>
      <c r="H11" s="4">
        <f t="shared" ref="H11:L11" si="0">H14</f>
        <v>15124.1</v>
      </c>
      <c r="I11" s="4">
        <f t="shared" si="0"/>
        <v>15124.1</v>
      </c>
      <c r="J11" s="4">
        <f t="shared" si="0"/>
        <v>15124.1</v>
      </c>
      <c r="K11" s="4">
        <f t="shared" si="0"/>
        <v>15124.1</v>
      </c>
      <c r="L11" s="4">
        <f t="shared" si="0"/>
        <v>6895.3</v>
      </c>
      <c r="M11" s="4">
        <f t="shared" ref="M11" si="1">M14</f>
        <v>837.3</v>
      </c>
      <c r="N11" s="4">
        <f>M11/L11*100</f>
        <v>12.143053964294518</v>
      </c>
    </row>
    <row r="12" spans="1:14" ht="15.75">
      <c r="A12" s="31" t="s">
        <v>285</v>
      </c>
      <c r="B12" s="42" t="s">
        <v>564</v>
      </c>
      <c r="C12" s="42" t="s">
        <v>203</v>
      </c>
      <c r="D12" s="42"/>
      <c r="E12" s="42"/>
      <c r="F12" s="42"/>
      <c r="G12" s="7">
        <f>G13</f>
        <v>15124.1</v>
      </c>
      <c r="H12" s="7">
        <f t="shared" ref="H12:M13" si="2">H13</f>
        <v>15124.1</v>
      </c>
      <c r="I12" s="7">
        <f t="shared" si="2"/>
        <v>15124.1</v>
      </c>
      <c r="J12" s="7">
        <f t="shared" si="2"/>
        <v>15124.1</v>
      </c>
      <c r="K12" s="7">
        <f t="shared" si="2"/>
        <v>15124.1</v>
      </c>
      <c r="L12" s="7">
        <f t="shared" si="2"/>
        <v>6895.3</v>
      </c>
      <c r="M12" s="7">
        <f t="shared" si="2"/>
        <v>837.3</v>
      </c>
      <c r="N12" s="7">
        <f t="shared" ref="N12:N75" si="3">M12/L12*100</f>
        <v>12.143053964294518</v>
      </c>
    </row>
    <row r="13" spans="1:14" ht="15.75">
      <c r="A13" s="31" t="s">
        <v>562</v>
      </c>
      <c r="B13" s="42" t="s">
        <v>564</v>
      </c>
      <c r="C13" s="42" t="s">
        <v>203</v>
      </c>
      <c r="D13" s="42" t="s">
        <v>272</v>
      </c>
      <c r="E13" s="42"/>
      <c r="F13" s="42"/>
      <c r="G13" s="7">
        <f>G14</f>
        <v>15124.1</v>
      </c>
      <c r="H13" s="7">
        <f t="shared" si="2"/>
        <v>15124.1</v>
      </c>
      <c r="I13" s="7">
        <f t="shared" si="2"/>
        <v>15124.1</v>
      </c>
      <c r="J13" s="7">
        <f t="shared" si="2"/>
        <v>15124.1</v>
      </c>
      <c r="K13" s="7">
        <f t="shared" si="2"/>
        <v>15124.1</v>
      </c>
      <c r="L13" s="7">
        <f t="shared" si="2"/>
        <v>6895.3</v>
      </c>
      <c r="M13" s="7">
        <f t="shared" si="2"/>
        <v>837.3</v>
      </c>
      <c r="N13" s="7">
        <f t="shared" si="3"/>
        <v>12.143053964294518</v>
      </c>
    </row>
    <row r="14" spans="1:14" ht="15.75">
      <c r="A14" s="31" t="s">
        <v>565</v>
      </c>
      <c r="B14" s="42" t="s">
        <v>566</v>
      </c>
      <c r="C14" s="42" t="s">
        <v>203</v>
      </c>
      <c r="D14" s="42" t="s">
        <v>272</v>
      </c>
      <c r="E14" s="42"/>
      <c r="F14" s="42"/>
      <c r="G14" s="7">
        <f>G15+G17</f>
        <v>15124.1</v>
      </c>
      <c r="H14" s="7">
        <f t="shared" ref="H14:L14" si="4">H15+H17</f>
        <v>15124.1</v>
      </c>
      <c r="I14" s="7">
        <f t="shared" si="4"/>
        <v>15124.1</v>
      </c>
      <c r="J14" s="7">
        <f t="shared" si="4"/>
        <v>15124.1</v>
      </c>
      <c r="K14" s="7">
        <f t="shared" si="4"/>
        <v>15124.1</v>
      </c>
      <c r="L14" s="7">
        <f t="shared" si="4"/>
        <v>6895.3</v>
      </c>
      <c r="M14" s="7">
        <f t="shared" ref="M14" si="5">M15+M17</f>
        <v>837.3</v>
      </c>
      <c r="N14" s="7">
        <f t="shared" si="3"/>
        <v>12.143053964294518</v>
      </c>
    </row>
    <row r="15" spans="1:14" ht="31.5">
      <c r="A15" s="31" t="s">
        <v>184</v>
      </c>
      <c r="B15" s="42" t="s">
        <v>566</v>
      </c>
      <c r="C15" s="42" t="s">
        <v>203</v>
      </c>
      <c r="D15" s="42" t="s">
        <v>272</v>
      </c>
      <c r="E15" s="42" t="s">
        <v>185</v>
      </c>
      <c r="F15" s="42"/>
      <c r="G15" s="7">
        <f>G16</f>
        <v>15108.1</v>
      </c>
      <c r="H15" s="7">
        <f t="shared" ref="H15:M15" si="6">H16</f>
        <v>15108.1</v>
      </c>
      <c r="I15" s="7">
        <f t="shared" si="6"/>
        <v>15108.1</v>
      </c>
      <c r="J15" s="7">
        <f t="shared" si="6"/>
        <v>15108.1</v>
      </c>
      <c r="K15" s="7">
        <f t="shared" si="6"/>
        <v>15108.1</v>
      </c>
      <c r="L15" s="7">
        <f t="shared" si="6"/>
        <v>6879.3</v>
      </c>
      <c r="M15" s="7">
        <f t="shared" si="6"/>
        <v>837.3</v>
      </c>
      <c r="N15" s="7">
        <f t="shared" si="3"/>
        <v>12.171296498190221</v>
      </c>
    </row>
    <row r="16" spans="1:14" ht="31.5">
      <c r="A16" s="31" t="s">
        <v>186</v>
      </c>
      <c r="B16" s="42" t="s">
        <v>566</v>
      </c>
      <c r="C16" s="42" t="s">
        <v>203</v>
      </c>
      <c r="D16" s="42" t="s">
        <v>272</v>
      </c>
      <c r="E16" s="42" t="s">
        <v>187</v>
      </c>
      <c r="F16" s="42"/>
      <c r="G16" s="7">
        <f>'Прил.№4 ведомств.'!G893</f>
        <v>15108.1</v>
      </c>
      <c r="H16" s="7">
        <f>'Прил.№4 ведомств.'!I893</f>
        <v>15108.1</v>
      </c>
      <c r="I16" s="7">
        <f>'Прил.№4 ведомств.'!J893</f>
        <v>15108.1</v>
      </c>
      <c r="J16" s="7">
        <f>'Прил.№4 ведомств.'!K893</f>
        <v>15108.1</v>
      </c>
      <c r="K16" s="7">
        <f>'Прил.№4 ведомств.'!L893</f>
        <v>15108.1</v>
      </c>
      <c r="L16" s="7">
        <f>'Прил.№4 ведомств.'!M893</f>
        <v>6879.3</v>
      </c>
      <c r="M16" s="7">
        <f>'Прил.№4 ведомств.'!N893</f>
        <v>837.3</v>
      </c>
      <c r="N16" s="7">
        <f t="shared" si="3"/>
        <v>12.171296498190221</v>
      </c>
    </row>
    <row r="17" spans="1:14" ht="15.75">
      <c r="A17" s="26" t="s">
        <v>188</v>
      </c>
      <c r="B17" s="42" t="s">
        <v>566</v>
      </c>
      <c r="C17" s="42" t="s">
        <v>203</v>
      </c>
      <c r="D17" s="42" t="s">
        <v>272</v>
      </c>
      <c r="E17" s="42" t="s">
        <v>198</v>
      </c>
      <c r="F17" s="42"/>
      <c r="G17" s="7">
        <f>G18</f>
        <v>16</v>
      </c>
      <c r="H17" s="7">
        <f t="shared" ref="H17:M17" si="7">H18</f>
        <v>16</v>
      </c>
      <c r="I17" s="7">
        <f t="shared" si="7"/>
        <v>16</v>
      </c>
      <c r="J17" s="7">
        <f t="shared" si="7"/>
        <v>16</v>
      </c>
      <c r="K17" s="7">
        <f t="shared" si="7"/>
        <v>16</v>
      </c>
      <c r="L17" s="7">
        <f t="shared" si="7"/>
        <v>16</v>
      </c>
      <c r="M17" s="7">
        <f t="shared" si="7"/>
        <v>0</v>
      </c>
      <c r="N17" s="7">
        <f t="shared" si="3"/>
        <v>0</v>
      </c>
    </row>
    <row r="18" spans="1:14" ht="15.75">
      <c r="A18" s="26" t="s">
        <v>190</v>
      </c>
      <c r="B18" s="42" t="s">
        <v>566</v>
      </c>
      <c r="C18" s="42" t="s">
        <v>203</v>
      </c>
      <c r="D18" s="42" t="s">
        <v>272</v>
      </c>
      <c r="E18" s="42" t="s">
        <v>191</v>
      </c>
      <c r="F18" s="42"/>
      <c r="G18" s="7">
        <f>'Прил.№4 ведомств.'!G895</f>
        <v>16</v>
      </c>
      <c r="H18" s="7">
        <f>'Прил.№4 ведомств.'!I895</f>
        <v>16</v>
      </c>
      <c r="I18" s="7">
        <f>'Прил.№4 ведомств.'!J895</f>
        <v>16</v>
      </c>
      <c r="J18" s="7">
        <f>'Прил.№4 ведомств.'!K895</f>
        <v>16</v>
      </c>
      <c r="K18" s="7">
        <f>'Прил.№4 ведомств.'!L895</f>
        <v>16</v>
      </c>
      <c r="L18" s="7">
        <f>'Прил.№4 ведомств.'!M895</f>
        <v>16</v>
      </c>
      <c r="M18" s="7">
        <f>'Прил.№4 ведомств.'!N895</f>
        <v>0</v>
      </c>
      <c r="N18" s="7">
        <f t="shared" si="3"/>
        <v>0</v>
      </c>
    </row>
    <row r="19" spans="1:14" ht="31.5">
      <c r="A19" s="47" t="s">
        <v>703</v>
      </c>
      <c r="B19" s="42" t="s">
        <v>564</v>
      </c>
      <c r="C19" s="42" t="s">
        <v>203</v>
      </c>
      <c r="D19" s="42" t="s">
        <v>272</v>
      </c>
      <c r="E19" s="42"/>
      <c r="F19" s="42" t="s">
        <v>704</v>
      </c>
      <c r="G19" s="7">
        <f>G14</f>
        <v>15124.1</v>
      </c>
      <c r="H19" s="7">
        <f t="shared" ref="H19:L19" si="8">H14</f>
        <v>15124.1</v>
      </c>
      <c r="I19" s="7">
        <f t="shared" si="8"/>
        <v>15124.1</v>
      </c>
      <c r="J19" s="7">
        <f t="shared" si="8"/>
        <v>15124.1</v>
      </c>
      <c r="K19" s="7">
        <f t="shared" si="8"/>
        <v>15124.1</v>
      </c>
      <c r="L19" s="7">
        <f t="shared" si="8"/>
        <v>6895.3</v>
      </c>
      <c r="M19" s="7">
        <f t="shared" ref="M19" si="9">M14</f>
        <v>837.3</v>
      </c>
      <c r="N19" s="7">
        <f t="shared" si="3"/>
        <v>12.143053964294518</v>
      </c>
    </row>
    <row r="20" spans="1:14" ht="47.25">
      <c r="A20" s="64" t="s">
        <v>396</v>
      </c>
      <c r="B20" s="8" t="s">
        <v>397</v>
      </c>
      <c r="C20" s="8"/>
      <c r="D20" s="8"/>
      <c r="E20" s="8"/>
      <c r="F20" s="8"/>
      <c r="G20" s="68">
        <f>G21+G36+G43+G50+G59+G66+G73+G99</f>
        <v>3693</v>
      </c>
      <c r="H20" s="68">
        <f t="shared" ref="H20:L20" si="10">H21+H36+H43+H50+H59+H66+H73+H99</f>
        <v>3693</v>
      </c>
      <c r="I20" s="68">
        <f t="shared" si="10"/>
        <v>5185</v>
      </c>
      <c r="J20" s="68">
        <f t="shared" si="10"/>
        <v>5300</v>
      </c>
      <c r="K20" s="68">
        <f t="shared" si="10"/>
        <v>5345</v>
      </c>
      <c r="L20" s="68">
        <f t="shared" si="10"/>
        <v>3753</v>
      </c>
      <c r="M20" s="68">
        <f t="shared" ref="M20" si="11">M21+M36+M43+M50+M59+M66+M73+M99</f>
        <v>727.8</v>
      </c>
      <c r="N20" s="4">
        <f t="shared" si="3"/>
        <v>19.392486011191046</v>
      </c>
    </row>
    <row r="21" spans="1:14" ht="31.5">
      <c r="A21" s="64" t="s">
        <v>705</v>
      </c>
      <c r="B21" s="8" t="s">
        <v>399</v>
      </c>
      <c r="C21" s="8"/>
      <c r="D21" s="8"/>
      <c r="E21" s="8"/>
      <c r="F21" s="8"/>
      <c r="G21" s="68">
        <f>G22</f>
        <v>935</v>
      </c>
      <c r="H21" s="68">
        <f t="shared" ref="H21:M22" si="12">H22</f>
        <v>935</v>
      </c>
      <c r="I21" s="68">
        <f t="shared" si="12"/>
        <v>985</v>
      </c>
      <c r="J21" s="68">
        <f t="shared" si="12"/>
        <v>1020</v>
      </c>
      <c r="K21" s="68">
        <f t="shared" si="12"/>
        <v>1035</v>
      </c>
      <c r="L21" s="68">
        <f t="shared" si="12"/>
        <v>1000</v>
      </c>
      <c r="M21" s="68">
        <f t="shared" si="12"/>
        <v>152.9</v>
      </c>
      <c r="N21" s="4">
        <f t="shared" si="3"/>
        <v>15.290000000000001</v>
      </c>
    </row>
    <row r="22" spans="1:14" ht="15.75">
      <c r="A22" s="47" t="s">
        <v>296</v>
      </c>
      <c r="B22" s="42" t="s">
        <v>399</v>
      </c>
      <c r="C22" s="42" t="s">
        <v>297</v>
      </c>
      <c r="D22" s="42"/>
      <c r="E22" s="42"/>
      <c r="F22" s="42"/>
      <c r="G22" s="11">
        <f>G23</f>
        <v>935</v>
      </c>
      <c r="H22" s="11">
        <f t="shared" si="12"/>
        <v>935</v>
      </c>
      <c r="I22" s="11">
        <f t="shared" si="12"/>
        <v>985</v>
      </c>
      <c r="J22" s="11">
        <f t="shared" si="12"/>
        <v>1020</v>
      </c>
      <c r="K22" s="11">
        <f t="shared" si="12"/>
        <v>1035</v>
      </c>
      <c r="L22" s="11">
        <f t="shared" si="12"/>
        <v>1000</v>
      </c>
      <c r="M22" s="11">
        <f t="shared" si="12"/>
        <v>152.9</v>
      </c>
      <c r="N22" s="7">
        <f t="shared" si="3"/>
        <v>15.290000000000001</v>
      </c>
    </row>
    <row r="23" spans="1:14" ht="15.75">
      <c r="A23" s="47" t="s">
        <v>305</v>
      </c>
      <c r="B23" s="42" t="s">
        <v>399</v>
      </c>
      <c r="C23" s="42" t="s">
        <v>297</v>
      </c>
      <c r="D23" s="42" t="s">
        <v>268</v>
      </c>
      <c r="E23" s="42"/>
      <c r="F23" s="42"/>
      <c r="G23" s="11">
        <f>G24+G32</f>
        <v>935</v>
      </c>
      <c r="H23" s="11">
        <f t="shared" ref="H23:L23" si="13">H24+H32</f>
        <v>935</v>
      </c>
      <c r="I23" s="11">
        <f t="shared" si="13"/>
        <v>985</v>
      </c>
      <c r="J23" s="11">
        <f t="shared" si="13"/>
        <v>1020</v>
      </c>
      <c r="K23" s="11">
        <f t="shared" si="13"/>
        <v>1035</v>
      </c>
      <c r="L23" s="11">
        <f t="shared" si="13"/>
        <v>1000</v>
      </c>
      <c r="M23" s="11">
        <f t="shared" ref="M23" si="14">M24+M32</f>
        <v>152.9</v>
      </c>
      <c r="N23" s="7">
        <f t="shared" si="3"/>
        <v>15.290000000000001</v>
      </c>
    </row>
    <row r="24" spans="1:14" ht="31.5">
      <c r="A24" s="31" t="s">
        <v>210</v>
      </c>
      <c r="B24" s="21" t="s">
        <v>400</v>
      </c>
      <c r="C24" s="42" t="s">
        <v>297</v>
      </c>
      <c r="D24" s="42" t="s">
        <v>268</v>
      </c>
      <c r="E24" s="42"/>
      <c r="F24" s="42"/>
      <c r="G24" s="11">
        <f>G27+G30</f>
        <v>666.4</v>
      </c>
      <c r="H24" s="11">
        <f t="shared" ref="H24:K24" si="15">H27+H30</f>
        <v>666.4</v>
      </c>
      <c r="I24" s="11">
        <f t="shared" si="15"/>
        <v>716.4</v>
      </c>
      <c r="J24" s="11">
        <f t="shared" si="15"/>
        <v>751.4</v>
      </c>
      <c r="K24" s="11">
        <f t="shared" si="15"/>
        <v>766.4</v>
      </c>
      <c r="L24" s="11">
        <f>L27+L30+L25</f>
        <v>731.4</v>
      </c>
      <c r="M24" s="11">
        <f t="shared" ref="M24" si="16">M27+M30+M25</f>
        <v>152.9</v>
      </c>
      <c r="N24" s="7">
        <f t="shared" si="3"/>
        <v>20.905113480995354</v>
      </c>
    </row>
    <row r="25" spans="1:14" ht="78.75">
      <c r="A25" s="26" t="s">
        <v>180</v>
      </c>
      <c r="B25" s="21" t="s">
        <v>400</v>
      </c>
      <c r="C25" s="42" t="s">
        <v>297</v>
      </c>
      <c r="D25" s="42" t="s">
        <v>268</v>
      </c>
      <c r="E25" s="42" t="s">
        <v>181</v>
      </c>
      <c r="F25" s="42"/>
      <c r="G25" s="11">
        <f>G26</f>
        <v>0</v>
      </c>
      <c r="H25" s="11">
        <f t="shared" ref="H25:M25" si="17">H26</f>
        <v>0</v>
      </c>
      <c r="I25" s="11">
        <f t="shared" si="17"/>
        <v>0</v>
      </c>
      <c r="J25" s="11">
        <f t="shared" si="17"/>
        <v>0</v>
      </c>
      <c r="K25" s="11">
        <f t="shared" si="17"/>
        <v>0</v>
      </c>
      <c r="L25" s="11">
        <f t="shared" si="17"/>
        <v>40</v>
      </c>
      <c r="M25" s="11">
        <f t="shared" si="17"/>
        <v>5</v>
      </c>
      <c r="N25" s="7">
        <f t="shared" si="3"/>
        <v>12.5</v>
      </c>
    </row>
    <row r="26" spans="1:14" ht="15.75">
      <c r="A26" s="26" t="s">
        <v>395</v>
      </c>
      <c r="B26" s="21" t="s">
        <v>400</v>
      </c>
      <c r="C26" s="42" t="s">
        <v>297</v>
      </c>
      <c r="D26" s="42" t="s">
        <v>268</v>
      </c>
      <c r="E26" s="42" t="s">
        <v>262</v>
      </c>
      <c r="F26" s="42"/>
      <c r="G26" s="11"/>
      <c r="H26" s="11"/>
      <c r="I26" s="11"/>
      <c r="J26" s="11"/>
      <c r="K26" s="11"/>
      <c r="L26" s="11">
        <f>'Прил.№4 ведомств.'!M460</f>
        <v>40</v>
      </c>
      <c r="M26" s="11">
        <f>'Прил.№4 ведомств.'!N460</f>
        <v>5</v>
      </c>
      <c r="N26" s="7">
        <f t="shared" si="3"/>
        <v>12.5</v>
      </c>
    </row>
    <row r="27" spans="1:14" ht="31.5">
      <c r="A27" s="31" t="s">
        <v>184</v>
      </c>
      <c r="B27" s="21" t="s">
        <v>400</v>
      </c>
      <c r="C27" s="42" t="s">
        <v>297</v>
      </c>
      <c r="D27" s="42" t="s">
        <v>268</v>
      </c>
      <c r="E27" s="42" t="s">
        <v>185</v>
      </c>
      <c r="F27" s="42"/>
      <c r="G27" s="11">
        <f>G28</f>
        <v>641.4</v>
      </c>
      <c r="H27" s="11">
        <f t="shared" ref="H27:M27" si="18">H28</f>
        <v>641.4</v>
      </c>
      <c r="I27" s="11">
        <f t="shared" si="18"/>
        <v>641.4</v>
      </c>
      <c r="J27" s="11">
        <f t="shared" si="18"/>
        <v>641.4</v>
      </c>
      <c r="K27" s="11">
        <f t="shared" si="18"/>
        <v>641.4</v>
      </c>
      <c r="L27" s="11">
        <f t="shared" si="18"/>
        <v>666.4</v>
      </c>
      <c r="M27" s="11">
        <f t="shared" si="18"/>
        <v>122.9</v>
      </c>
      <c r="N27" s="7">
        <f t="shared" si="3"/>
        <v>18.442376950780314</v>
      </c>
    </row>
    <row r="28" spans="1:14" ht="31.5">
      <c r="A28" s="31" t="s">
        <v>186</v>
      </c>
      <c r="B28" s="21" t="s">
        <v>400</v>
      </c>
      <c r="C28" s="42" t="s">
        <v>297</v>
      </c>
      <c r="D28" s="42" t="s">
        <v>268</v>
      </c>
      <c r="E28" s="42" t="s">
        <v>187</v>
      </c>
      <c r="F28" s="42"/>
      <c r="G28" s="7">
        <f>'Прил.№4 ведомств.'!G462</f>
        <v>641.4</v>
      </c>
      <c r="H28" s="7">
        <f>'Прил.№4 ведомств.'!I462</f>
        <v>641.4</v>
      </c>
      <c r="I28" s="7">
        <f>'Прил.№4 ведомств.'!J462</f>
        <v>641.4</v>
      </c>
      <c r="J28" s="7">
        <f>'Прил.№4 ведомств.'!K462</f>
        <v>641.4</v>
      </c>
      <c r="K28" s="7">
        <f>'Прил.№4 ведомств.'!L462</f>
        <v>641.4</v>
      </c>
      <c r="L28" s="7">
        <f>'Прил.№4 ведомств.'!M462</f>
        <v>666.4</v>
      </c>
      <c r="M28" s="7">
        <f>'Прил.№4 ведомств.'!N462</f>
        <v>122.9</v>
      </c>
      <c r="N28" s="7">
        <f t="shared" si="3"/>
        <v>18.442376950780314</v>
      </c>
    </row>
    <row r="29" spans="1:14" ht="15.75" hidden="1">
      <c r="A29" s="31"/>
      <c r="B29" s="42"/>
      <c r="C29" s="42"/>
      <c r="D29" s="42"/>
      <c r="E29" s="42"/>
      <c r="F29" s="42"/>
      <c r="G29" s="7"/>
      <c r="H29" s="7"/>
      <c r="I29" s="7"/>
      <c r="J29" s="7"/>
      <c r="K29" s="7"/>
      <c r="L29" s="7"/>
      <c r="M29" s="7"/>
      <c r="N29" s="7" t="e">
        <f t="shared" si="3"/>
        <v>#DIV/0!</v>
      </c>
    </row>
    <row r="30" spans="1:14" ht="15.75">
      <c r="A30" s="26" t="s">
        <v>301</v>
      </c>
      <c r="B30" s="21" t="s">
        <v>400</v>
      </c>
      <c r="C30" s="42" t="s">
        <v>297</v>
      </c>
      <c r="D30" s="42" t="s">
        <v>268</v>
      </c>
      <c r="E30" s="21" t="s">
        <v>302</v>
      </c>
      <c r="F30" s="42"/>
      <c r="G30" s="7">
        <f>G31</f>
        <v>25</v>
      </c>
      <c r="H30" s="7">
        <f t="shared" ref="H30:M30" si="19">H31</f>
        <v>25</v>
      </c>
      <c r="I30" s="7">
        <f t="shared" si="19"/>
        <v>75</v>
      </c>
      <c r="J30" s="7">
        <f t="shared" si="19"/>
        <v>110</v>
      </c>
      <c r="K30" s="7">
        <f t="shared" si="19"/>
        <v>125</v>
      </c>
      <c r="L30" s="7">
        <f t="shared" si="19"/>
        <v>25</v>
      </c>
      <c r="M30" s="7">
        <f t="shared" si="19"/>
        <v>25</v>
      </c>
      <c r="N30" s="7">
        <f t="shared" si="3"/>
        <v>100</v>
      </c>
    </row>
    <row r="31" spans="1:14" ht="31.5">
      <c r="A31" s="26" t="s">
        <v>401</v>
      </c>
      <c r="B31" s="21" t="s">
        <v>400</v>
      </c>
      <c r="C31" s="42" t="s">
        <v>297</v>
      </c>
      <c r="D31" s="42" t="s">
        <v>268</v>
      </c>
      <c r="E31" s="21" t="s">
        <v>402</v>
      </c>
      <c r="F31" s="42"/>
      <c r="G31" s="7">
        <f>'Прил.№4 ведомств.'!G464</f>
        <v>25</v>
      </c>
      <c r="H31" s="7">
        <f>'Прил.№4 ведомств.'!I464</f>
        <v>25</v>
      </c>
      <c r="I31" s="7">
        <f>'Прил.№4 ведомств.'!J464</f>
        <v>75</v>
      </c>
      <c r="J31" s="7">
        <f>'Прил.№4 ведомств.'!K464</f>
        <v>110</v>
      </c>
      <c r="K31" s="7">
        <f>'Прил.№4 ведомств.'!L464</f>
        <v>125</v>
      </c>
      <c r="L31" s="7">
        <f>'Прил.№4 ведомств.'!M464</f>
        <v>25</v>
      </c>
      <c r="M31" s="7">
        <f>'Прил.№4 ведомств.'!N464</f>
        <v>25</v>
      </c>
      <c r="N31" s="7">
        <f t="shared" si="3"/>
        <v>100</v>
      </c>
    </row>
    <row r="32" spans="1:14" ht="31.5">
      <c r="A32" s="26" t="s">
        <v>403</v>
      </c>
      <c r="B32" s="21" t="s">
        <v>404</v>
      </c>
      <c r="C32" s="42" t="s">
        <v>297</v>
      </c>
      <c r="D32" s="42" t="s">
        <v>268</v>
      </c>
      <c r="E32" s="42"/>
      <c r="F32" s="42"/>
      <c r="G32" s="11">
        <f>G33</f>
        <v>268.60000000000002</v>
      </c>
      <c r="H32" s="11">
        <f t="shared" ref="H32:M33" si="20">H33</f>
        <v>268.60000000000002</v>
      </c>
      <c r="I32" s="11">
        <f t="shared" si="20"/>
        <v>268.60000000000002</v>
      </c>
      <c r="J32" s="11">
        <f t="shared" si="20"/>
        <v>268.60000000000002</v>
      </c>
      <c r="K32" s="11">
        <f t="shared" si="20"/>
        <v>268.60000000000002</v>
      </c>
      <c r="L32" s="11">
        <f t="shared" si="20"/>
        <v>268.60000000000002</v>
      </c>
      <c r="M32" s="11">
        <f t="shared" si="20"/>
        <v>0</v>
      </c>
      <c r="N32" s="7">
        <f t="shared" si="3"/>
        <v>0</v>
      </c>
    </row>
    <row r="33" spans="1:14" ht="31.5">
      <c r="A33" s="26" t="s">
        <v>325</v>
      </c>
      <c r="B33" s="21" t="s">
        <v>404</v>
      </c>
      <c r="C33" s="42" t="s">
        <v>297</v>
      </c>
      <c r="D33" s="42" t="s">
        <v>268</v>
      </c>
      <c r="E33" s="42" t="s">
        <v>326</v>
      </c>
      <c r="F33" s="42"/>
      <c r="G33" s="11">
        <f>G34</f>
        <v>268.60000000000002</v>
      </c>
      <c r="H33" s="11">
        <f t="shared" si="20"/>
        <v>268.60000000000002</v>
      </c>
      <c r="I33" s="11">
        <f t="shared" si="20"/>
        <v>268.60000000000002</v>
      </c>
      <c r="J33" s="11">
        <f t="shared" si="20"/>
        <v>268.60000000000002</v>
      </c>
      <c r="K33" s="11">
        <f t="shared" si="20"/>
        <v>268.60000000000002</v>
      </c>
      <c r="L33" s="11">
        <f t="shared" si="20"/>
        <v>268.60000000000002</v>
      </c>
      <c r="M33" s="11">
        <f t="shared" si="20"/>
        <v>0</v>
      </c>
      <c r="N33" s="7">
        <f t="shared" si="3"/>
        <v>0</v>
      </c>
    </row>
    <row r="34" spans="1:14" ht="15.75">
      <c r="A34" s="26" t="s">
        <v>327</v>
      </c>
      <c r="B34" s="21" t="s">
        <v>404</v>
      </c>
      <c r="C34" s="42" t="s">
        <v>297</v>
      </c>
      <c r="D34" s="42" t="s">
        <v>268</v>
      </c>
      <c r="E34" s="42" t="s">
        <v>328</v>
      </c>
      <c r="F34" s="42"/>
      <c r="G34" s="11">
        <f>'Прил.№4 ведомств.'!G467</f>
        <v>268.60000000000002</v>
      </c>
      <c r="H34" s="11">
        <f>'Прил.№4 ведомств.'!I467</f>
        <v>268.60000000000002</v>
      </c>
      <c r="I34" s="11">
        <f>'Прил.№4 ведомств.'!J467</f>
        <v>268.60000000000002</v>
      </c>
      <c r="J34" s="11">
        <f>'Прил.№4 ведомств.'!K467</f>
        <v>268.60000000000002</v>
      </c>
      <c r="K34" s="11">
        <f>'Прил.№4 ведомств.'!L467</f>
        <v>268.60000000000002</v>
      </c>
      <c r="L34" s="11">
        <f>'Прил.№4 ведомств.'!M467</f>
        <v>268.60000000000002</v>
      </c>
      <c r="M34" s="11">
        <f>'Прил.№4 ведомств.'!N467</f>
        <v>0</v>
      </c>
      <c r="N34" s="7">
        <f t="shared" si="3"/>
        <v>0</v>
      </c>
    </row>
    <row r="35" spans="1:14" ht="47.25">
      <c r="A35" s="47" t="s">
        <v>314</v>
      </c>
      <c r="B35" s="21" t="s">
        <v>399</v>
      </c>
      <c r="C35" s="42" t="s">
        <v>297</v>
      </c>
      <c r="D35" s="42" t="s">
        <v>268</v>
      </c>
      <c r="E35" s="42"/>
      <c r="F35" s="42" t="s">
        <v>707</v>
      </c>
      <c r="G35" s="7">
        <f>G21</f>
        <v>935</v>
      </c>
      <c r="H35" s="7">
        <f t="shared" ref="H35:L35" si="21">H21</f>
        <v>935</v>
      </c>
      <c r="I35" s="7">
        <f t="shared" si="21"/>
        <v>985</v>
      </c>
      <c r="J35" s="7">
        <f t="shared" si="21"/>
        <v>1020</v>
      </c>
      <c r="K35" s="7">
        <f t="shared" si="21"/>
        <v>1035</v>
      </c>
      <c r="L35" s="7">
        <f t="shared" si="21"/>
        <v>1000</v>
      </c>
      <c r="M35" s="7">
        <f t="shared" ref="M35" si="22">M21</f>
        <v>152.9</v>
      </c>
      <c r="N35" s="7">
        <f t="shared" si="3"/>
        <v>15.290000000000001</v>
      </c>
    </row>
    <row r="36" spans="1:14" ht="31.5">
      <c r="A36" s="64" t="s">
        <v>708</v>
      </c>
      <c r="B36" s="8" t="s">
        <v>406</v>
      </c>
      <c r="C36" s="8"/>
      <c r="D36" s="8"/>
      <c r="E36" s="8"/>
      <c r="F36" s="8"/>
      <c r="G36" s="68">
        <f>G37</f>
        <v>63</v>
      </c>
      <c r="H36" s="68">
        <f t="shared" ref="H36:M40" si="23">H37</f>
        <v>63</v>
      </c>
      <c r="I36" s="68">
        <f t="shared" si="23"/>
        <v>63</v>
      </c>
      <c r="J36" s="68">
        <f t="shared" si="23"/>
        <v>63</v>
      </c>
      <c r="K36" s="68">
        <f t="shared" si="23"/>
        <v>63</v>
      </c>
      <c r="L36" s="68">
        <f t="shared" si="23"/>
        <v>148.4</v>
      </c>
      <c r="M36" s="68">
        <f t="shared" si="23"/>
        <v>0</v>
      </c>
      <c r="N36" s="4">
        <f t="shared" si="3"/>
        <v>0</v>
      </c>
    </row>
    <row r="37" spans="1:14" ht="15.75">
      <c r="A37" s="47" t="s">
        <v>296</v>
      </c>
      <c r="B37" s="42" t="s">
        <v>406</v>
      </c>
      <c r="C37" s="42" t="s">
        <v>297</v>
      </c>
      <c r="D37" s="42"/>
      <c r="E37" s="42"/>
      <c r="F37" s="42"/>
      <c r="G37" s="11">
        <f>G38</f>
        <v>63</v>
      </c>
      <c r="H37" s="11">
        <f t="shared" si="23"/>
        <v>63</v>
      </c>
      <c r="I37" s="11">
        <f t="shared" si="23"/>
        <v>63</v>
      </c>
      <c r="J37" s="11">
        <f t="shared" si="23"/>
        <v>63</v>
      </c>
      <c r="K37" s="11">
        <f t="shared" si="23"/>
        <v>63</v>
      </c>
      <c r="L37" s="11">
        <f t="shared" si="23"/>
        <v>148.4</v>
      </c>
      <c r="M37" s="11">
        <f t="shared" si="23"/>
        <v>0</v>
      </c>
      <c r="N37" s="7">
        <f t="shared" si="3"/>
        <v>0</v>
      </c>
    </row>
    <row r="38" spans="1:14" ht="15.75">
      <c r="A38" s="47" t="s">
        <v>305</v>
      </c>
      <c r="B38" s="42" t="s">
        <v>406</v>
      </c>
      <c r="C38" s="42" t="s">
        <v>297</v>
      </c>
      <c r="D38" s="42" t="s">
        <v>268</v>
      </c>
      <c r="E38" s="42"/>
      <c r="F38" s="42"/>
      <c r="G38" s="11">
        <f>G39</f>
        <v>63</v>
      </c>
      <c r="H38" s="11">
        <f t="shared" si="23"/>
        <v>63</v>
      </c>
      <c r="I38" s="11">
        <f t="shared" si="23"/>
        <v>63</v>
      </c>
      <c r="J38" s="11">
        <f t="shared" si="23"/>
        <v>63</v>
      </c>
      <c r="K38" s="11">
        <f t="shared" si="23"/>
        <v>63</v>
      </c>
      <c r="L38" s="11">
        <f t="shared" si="23"/>
        <v>148.4</v>
      </c>
      <c r="M38" s="11">
        <f t="shared" si="23"/>
        <v>0</v>
      </c>
      <c r="N38" s="7">
        <f t="shared" si="3"/>
        <v>0</v>
      </c>
    </row>
    <row r="39" spans="1:14" ht="15.75">
      <c r="A39" s="26" t="s">
        <v>689</v>
      </c>
      <c r="B39" s="21" t="s">
        <v>690</v>
      </c>
      <c r="C39" s="42" t="s">
        <v>297</v>
      </c>
      <c r="D39" s="42" t="s">
        <v>268</v>
      </c>
      <c r="E39" s="42"/>
      <c r="F39" s="42"/>
      <c r="G39" s="11">
        <f>G40</f>
        <v>63</v>
      </c>
      <c r="H39" s="11">
        <f t="shared" si="23"/>
        <v>63</v>
      </c>
      <c r="I39" s="11">
        <f t="shared" si="23"/>
        <v>63</v>
      </c>
      <c r="J39" s="11">
        <f t="shared" si="23"/>
        <v>63</v>
      </c>
      <c r="K39" s="11">
        <f t="shared" si="23"/>
        <v>63</v>
      </c>
      <c r="L39" s="11">
        <f t="shared" si="23"/>
        <v>148.4</v>
      </c>
      <c r="M39" s="11">
        <f t="shared" si="23"/>
        <v>0</v>
      </c>
      <c r="N39" s="7">
        <f t="shared" si="3"/>
        <v>0</v>
      </c>
    </row>
    <row r="40" spans="1:14" ht="15.75">
      <c r="A40" s="31" t="s">
        <v>301</v>
      </c>
      <c r="B40" s="21" t="s">
        <v>690</v>
      </c>
      <c r="C40" s="42" t="s">
        <v>297</v>
      </c>
      <c r="D40" s="42" t="s">
        <v>268</v>
      </c>
      <c r="E40" s="42" t="s">
        <v>302</v>
      </c>
      <c r="F40" s="42"/>
      <c r="G40" s="11">
        <f>G41</f>
        <v>63</v>
      </c>
      <c r="H40" s="11">
        <f t="shared" si="23"/>
        <v>63</v>
      </c>
      <c r="I40" s="11">
        <f t="shared" si="23"/>
        <v>63</v>
      </c>
      <c r="J40" s="11">
        <f t="shared" si="23"/>
        <v>63</v>
      </c>
      <c r="K40" s="11">
        <f t="shared" si="23"/>
        <v>63</v>
      </c>
      <c r="L40" s="11">
        <f t="shared" si="23"/>
        <v>148.4</v>
      </c>
      <c r="M40" s="11">
        <f t="shared" si="23"/>
        <v>0</v>
      </c>
      <c r="N40" s="7">
        <f t="shared" si="3"/>
        <v>0</v>
      </c>
    </row>
    <row r="41" spans="1:14" ht="31.5">
      <c r="A41" s="31" t="s">
        <v>303</v>
      </c>
      <c r="B41" s="21" t="s">
        <v>690</v>
      </c>
      <c r="C41" s="42" t="s">
        <v>297</v>
      </c>
      <c r="D41" s="42" t="s">
        <v>268</v>
      </c>
      <c r="E41" s="42" t="s">
        <v>304</v>
      </c>
      <c r="F41" s="42"/>
      <c r="G41" s="11">
        <f>'Прил.№4 ведомств.'!G471</f>
        <v>63</v>
      </c>
      <c r="H41" s="11">
        <f>'Прил.№4 ведомств.'!I471</f>
        <v>63</v>
      </c>
      <c r="I41" s="11">
        <f>'Прил.№4 ведомств.'!J471</f>
        <v>63</v>
      </c>
      <c r="J41" s="11">
        <f>'Прил.№4 ведомств.'!K471</f>
        <v>63</v>
      </c>
      <c r="K41" s="11">
        <f>'Прил.№4 ведомств.'!L471</f>
        <v>63</v>
      </c>
      <c r="L41" s="11">
        <f>'Прил.№4 ведомств.'!M471</f>
        <v>148.4</v>
      </c>
      <c r="M41" s="11">
        <f>'Прил.№4 ведомств.'!N471</f>
        <v>0</v>
      </c>
      <c r="N41" s="7">
        <f t="shared" si="3"/>
        <v>0</v>
      </c>
    </row>
    <row r="42" spans="1:14" ht="47.25">
      <c r="A42" s="47" t="s">
        <v>314</v>
      </c>
      <c r="B42" s="21" t="s">
        <v>406</v>
      </c>
      <c r="C42" s="42" t="s">
        <v>297</v>
      </c>
      <c r="D42" s="42" t="s">
        <v>268</v>
      </c>
      <c r="E42" s="42"/>
      <c r="F42" s="42" t="s">
        <v>707</v>
      </c>
      <c r="G42" s="11">
        <f>G36</f>
        <v>63</v>
      </c>
      <c r="H42" s="11">
        <f t="shared" ref="H42:L42" si="24">H36</f>
        <v>63</v>
      </c>
      <c r="I42" s="11">
        <f t="shared" si="24"/>
        <v>63</v>
      </c>
      <c r="J42" s="11">
        <f t="shared" si="24"/>
        <v>63</v>
      </c>
      <c r="K42" s="11">
        <f t="shared" si="24"/>
        <v>63</v>
      </c>
      <c r="L42" s="11">
        <f t="shared" si="24"/>
        <v>148.4</v>
      </c>
      <c r="M42" s="11">
        <f t="shared" ref="M42" si="25">M36</f>
        <v>0</v>
      </c>
      <c r="N42" s="7">
        <f t="shared" si="3"/>
        <v>0</v>
      </c>
    </row>
    <row r="43" spans="1:14" ht="31.5">
      <c r="A43" s="64" t="s">
        <v>709</v>
      </c>
      <c r="B43" s="8" t="s">
        <v>409</v>
      </c>
      <c r="C43" s="8"/>
      <c r="D43" s="8"/>
      <c r="E43" s="8"/>
      <c r="F43" s="8"/>
      <c r="G43" s="68">
        <f>G44</f>
        <v>420</v>
      </c>
      <c r="H43" s="68">
        <f t="shared" ref="H43:M47" si="26">H44</f>
        <v>420</v>
      </c>
      <c r="I43" s="68">
        <f t="shared" si="26"/>
        <v>420</v>
      </c>
      <c r="J43" s="68">
        <f t="shared" si="26"/>
        <v>420</v>
      </c>
      <c r="K43" s="68">
        <f t="shared" si="26"/>
        <v>420</v>
      </c>
      <c r="L43" s="68">
        <f t="shared" si="26"/>
        <v>420</v>
      </c>
      <c r="M43" s="68">
        <f t="shared" si="26"/>
        <v>110</v>
      </c>
      <c r="N43" s="4">
        <f t="shared" si="3"/>
        <v>26.190476190476193</v>
      </c>
    </row>
    <row r="44" spans="1:14" ht="15.75">
      <c r="A44" s="47" t="s">
        <v>296</v>
      </c>
      <c r="B44" s="42" t="s">
        <v>409</v>
      </c>
      <c r="C44" s="42" t="s">
        <v>297</v>
      </c>
      <c r="D44" s="42"/>
      <c r="E44" s="42"/>
      <c r="F44" s="42"/>
      <c r="G44" s="11">
        <f>G45</f>
        <v>420</v>
      </c>
      <c r="H44" s="11">
        <f t="shared" si="26"/>
        <v>420</v>
      </c>
      <c r="I44" s="11">
        <f t="shared" si="26"/>
        <v>420</v>
      </c>
      <c r="J44" s="11">
        <f t="shared" si="26"/>
        <v>420</v>
      </c>
      <c r="K44" s="11">
        <f t="shared" si="26"/>
        <v>420</v>
      </c>
      <c r="L44" s="11">
        <f t="shared" si="26"/>
        <v>420</v>
      </c>
      <c r="M44" s="11">
        <f t="shared" si="26"/>
        <v>110</v>
      </c>
      <c r="N44" s="7">
        <f t="shared" si="3"/>
        <v>26.190476190476193</v>
      </c>
    </row>
    <row r="45" spans="1:14" ht="15.75">
      <c r="A45" s="47" t="s">
        <v>305</v>
      </c>
      <c r="B45" s="42" t="s">
        <v>409</v>
      </c>
      <c r="C45" s="42" t="s">
        <v>297</v>
      </c>
      <c r="D45" s="42" t="s">
        <v>268</v>
      </c>
      <c r="E45" s="42"/>
      <c r="F45" s="42"/>
      <c r="G45" s="11">
        <f>G46</f>
        <v>420</v>
      </c>
      <c r="H45" s="11">
        <f t="shared" si="26"/>
        <v>420</v>
      </c>
      <c r="I45" s="11">
        <f t="shared" si="26"/>
        <v>420</v>
      </c>
      <c r="J45" s="11">
        <f t="shared" si="26"/>
        <v>420</v>
      </c>
      <c r="K45" s="11">
        <f t="shared" si="26"/>
        <v>420</v>
      </c>
      <c r="L45" s="11">
        <f t="shared" si="26"/>
        <v>420</v>
      </c>
      <c r="M45" s="11">
        <f t="shared" si="26"/>
        <v>110</v>
      </c>
      <c r="N45" s="7">
        <f t="shared" si="3"/>
        <v>26.190476190476193</v>
      </c>
    </row>
    <row r="46" spans="1:14" ht="31.5">
      <c r="A46" s="31" t="s">
        <v>210</v>
      </c>
      <c r="B46" s="42" t="s">
        <v>410</v>
      </c>
      <c r="C46" s="42" t="s">
        <v>297</v>
      </c>
      <c r="D46" s="42" t="s">
        <v>268</v>
      </c>
      <c r="E46" s="42"/>
      <c r="F46" s="42"/>
      <c r="G46" s="11">
        <f>G47</f>
        <v>420</v>
      </c>
      <c r="H46" s="11">
        <f t="shared" si="26"/>
        <v>420</v>
      </c>
      <c r="I46" s="11">
        <f t="shared" si="26"/>
        <v>420</v>
      </c>
      <c r="J46" s="11">
        <f t="shared" si="26"/>
        <v>420</v>
      </c>
      <c r="K46" s="11">
        <f t="shared" si="26"/>
        <v>420</v>
      </c>
      <c r="L46" s="11">
        <f t="shared" si="26"/>
        <v>420</v>
      </c>
      <c r="M46" s="11">
        <f t="shared" si="26"/>
        <v>110</v>
      </c>
      <c r="N46" s="7">
        <f t="shared" si="3"/>
        <v>26.190476190476193</v>
      </c>
    </row>
    <row r="47" spans="1:14" ht="15.75">
      <c r="A47" s="31" t="s">
        <v>301</v>
      </c>
      <c r="B47" s="42" t="s">
        <v>410</v>
      </c>
      <c r="C47" s="42" t="s">
        <v>297</v>
      </c>
      <c r="D47" s="42" t="s">
        <v>268</v>
      </c>
      <c r="E47" s="42" t="s">
        <v>302</v>
      </c>
      <c r="F47" s="42"/>
      <c r="G47" s="11">
        <f>G48</f>
        <v>420</v>
      </c>
      <c r="H47" s="11">
        <f t="shared" si="26"/>
        <v>420</v>
      </c>
      <c r="I47" s="11">
        <f t="shared" si="26"/>
        <v>420</v>
      </c>
      <c r="J47" s="11">
        <f t="shared" si="26"/>
        <v>420</v>
      </c>
      <c r="K47" s="11">
        <f t="shared" si="26"/>
        <v>420</v>
      </c>
      <c r="L47" s="11">
        <f t="shared" si="26"/>
        <v>420</v>
      </c>
      <c r="M47" s="11">
        <f t="shared" si="26"/>
        <v>110</v>
      </c>
      <c r="N47" s="7">
        <f t="shared" si="3"/>
        <v>26.190476190476193</v>
      </c>
    </row>
    <row r="48" spans="1:14" ht="31.5">
      <c r="A48" s="31" t="s">
        <v>401</v>
      </c>
      <c r="B48" s="42" t="s">
        <v>410</v>
      </c>
      <c r="C48" s="42" t="s">
        <v>297</v>
      </c>
      <c r="D48" s="42" t="s">
        <v>268</v>
      </c>
      <c r="E48" s="42" t="s">
        <v>402</v>
      </c>
      <c r="F48" s="42"/>
      <c r="G48" s="11">
        <f>'Прил.№4 ведомств.'!G475</f>
        <v>420</v>
      </c>
      <c r="H48" s="11">
        <f>'Прил.№4 ведомств.'!I475</f>
        <v>420</v>
      </c>
      <c r="I48" s="11">
        <f>'Прил.№4 ведомств.'!J475</f>
        <v>420</v>
      </c>
      <c r="J48" s="11">
        <f>'Прил.№4 ведомств.'!K475</f>
        <v>420</v>
      </c>
      <c r="K48" s="11">
        <f>'Прил.№4 ведомств.'!L475</f>
        <v>420</v>
      </c>
      <c r="L48" s="11">
        <f>'Прил.№4 ведомств.'!M475</f>
        <v>420</v>
      </c>
      <c r="M48" s="11">
        <f>'Прил.№4 ведомств.'!N475</f>
        <v>110</v>
      </c>
      <c r="N48" s="7">
        <f t="shared" si="3"/>
        <v>26.190476190476193</v>
      </c>
    </row>
    <row r="49" spans="1:14" ht="47.25">
      <c r="A49" s="47" t="s">
        <v>314</v>
      </c>
      <c r="B49" s="42" t="s">
        <v>409</v>
      </c>
      <c r="C49" s="42" t="s">
        <v>297</v>
      </c>
      <c r="D49" s="42" t="s">
        <v>268</v>
      </c>
      <c r="E49" s="42"/>
      <c r="F49" s="42" t="s">
        <v>707</v>
      </c>
      <c r="G49" s="11">
        <f>G43</f>
        <v>420</v>
      </c>
      <c r="H49" s="11">
        <f t="shared" ref="H49:L49" si="27">H43</f>
        <v>420</v>
      </c>
      <c r="I49" s="11">
        <f t="shared" si="27"/>
        <v>420</v>
      </c>
      <c r="J49" s="11">
        <f t="shared" si="27"/>
        <v>420</v>
      </c>
      <c r="K49" s="11">
        <f t="shared" si="27"/>
        <v>420</v>
      </c>
      <c r="L49" s="11">
        <f t="shared" si="27"/>
        <v>420</v>
      </c>
      <c r="M49" s="11">
        <f t="shared" ref="M49" si="28">M43</f>
        <v>110</v>
      </c>
      <c r="N49" s="7">
        <f t="shared" si="3"/>
        <v>26.190476190476193</v>
      </c>
    </row>
    <row r="50" spans="1:14" ht="15.75">
      <c r="A50" s="64" t="s">
        <v>711</v>
      </c>
      <c r="B50" s="8" t="s">
        <v>412</v>
      </c>
      <c r="C50" s="8"/>
      <c r="D50" s="8"/>
      <c r="E50" s="8"/>
      <c r="F50" s="8"/>
      <c r="G50" s="68">
        <f>G51</f>
        <v>1595</v>
      </c>
      <c r="H50" s="68">
        <f t="shared" ref="H50:M52" si="29">H51</f>
        <v>1595</v>
      </c>
      <c r="I50" s="68">
        <f t="shared" si="29"/>
        <v>1595</v>
      </c>
      <c r="J50" s="68">
        <f t="shared" si="29"/>
        <v>1595</v>
      </c>
      <c r="K50" s="68">
        <f t="shared" si="29"/>
        <v>1595</v>
      </c>
      <c r="L50" s="68">
        <f t="shared" si="29"/>
        <v>1504.6</v>
      </c>
      <c r="M50" s="68">
        <f t="shared" si="29"/>
        <v>331.2</v>
      </c>
      <c r="N50" s="4">
        <f t="shared" si="3"/>
        <v>22.012495015286458</v>
      </c>
    </row>
    <row r="51" spans="1:14" ht="15.75">
      <c r="A51" s="47" t="s">
        <v>296</v>
      </c>
      <c r="B51" s="42" t="s">
        <v>412</v>
      </c>
      <c r="C51" s="42" t="s">
        <v>297</v>
      </c>
      <c r="D51" s="42"/>
      <c r="E51" s="42"/>
      <c r="F51" s="42"/>
      <c r="G51" s="11">
        <f>G52</f>
        <v>1595</v>
      </c>
      <c r="H51" s="11">
        <f t="shared" si="29"/>
        <v>1595</v>
      </c>
      <c r="I51" s="11">
        <f t="shared" si="29"/>
        <v>1595</v>
      </c>
      <c r="J51" s="11">
        <f t="shared" si="29"/>
        <v>1595</v>
      </c>
      <c r="K51" s="11">
        <f t="shared" si="29"/>
        <v>1595</v>
      </c>
      <c r="L51" s="11">
        <f t="shared" si="29"/>
        <v>1504.6</v>
      </c>
      <c r="M51" s="11">
        <f t="shared" si="29"/>
        <v>331.2</v>
      </c>
      <c r="N51" s="7">
        <f t="shared" si="3"/>
        <v>22.012495015286458</v>
      </c>
    </row>
    <row r="52" spans="1:14" ht="15.75">
      <c r="A52" s="47" t="s">
        <v>305</v>
      </c>
      <c r="B52" s="42" t="s">
        <v>412</v>
      </c>
      <c r="C52" s="42" t="s">
        <v>297</v>
      </c>
      <c r="D52" s="42" t="s">
        <v>268</v>
      </c>
      <c r="E52" s="42"/>
      <c r="F52" s="42"/>
      <c r="G52" s="11">
        <f>G53</f>
        <v>1595</v>
      </c>
      <c r="H52" s="11">
        <f t="shared" si="29"/>
        <v>1595</v>
      </c>
      <c r="I52" s="11">
        <f t="shared" si="29"/>
        <v>1595</v>
      </c>
      <c r="J52" s="11">
        <f t="shared" si="29"/>
        <v>1595</v>
      </c>
      <c r="K52" s="11">
        <f t="shared" si="29"/>
        <v>1595</v>
      </c>
      <c r="L52" s="11">
        <f t="shared" si="29"/>
        <v>1504.6</v>
      </c>
      <c r="M52" s="11">
        <f t="shared" si="29"/>
        <v>331.2</v>
      </c>
      <c r="N52" s="7">
        <f t="shared" si="3"/>
        <v>22.012495015286458</v>
      </c>
    </row>
    <row r="53" spans="1:14" ht="31.5">
      <c r="A53" s="31" t="s">
        <v>210</v>
      </c>
      <c r="B53" s="42" t="s">
        <v>413</v>
      </c>
      <c r="C53" s="42" t="s">
        <v>297</v>
      </c>
      <c r="D53" s="42" t="s">
        <v>268</v>
      </c>
      <c r="E53" s="42"/>
      <c r="F53" s="42"/>
      <c r="G53" s="11">
        <f>G54+G56</f>
        <v>1595</v>
      </c>
      <c r="H53" s="11">
        <f t="shared" ref="H53:L53" si="30">H54+H56</f>
        <v>1595</v>
      </c>
      <c r="I53" s="11">
        <f t="shared" si="30"/>
        <v>1595</v>
      </c>
      <c r="J53" s="11">
        <f t="shared" si="30"/>
        <v>1595</v>
      </c>
      <c r="K53" s="11">
        <f t="shared" si="30"/>
        <v>1595</v>
      </c>
      <c r="L53" s="11">
        <f t="shared" si="30"/>
        <v>1504.6</v>
      </c>
      <c r="M53" s="11">
        <f t="shared" ref="M53" si="31">M54+M56</f>
        <v>331.2</v>
      </c>
      <c r="N53" s="7">
        <f t="shared" si="3"/>
        <v>22.012495015286458</v>
      </c>
    </row>
    <row r="54" spans="1:14" ht="31.5">
      <c r="A54" s="31" t="s">
        <v>184</v>
      </c>
      <c r="B54" s="42" t="s">
        <v>413</v>
      </c>
      <c r="C54" s="42" t="s">
        <v>297</v>
      </c>
      <c r="D54" s="42" t="s">
        <v>268</v>
      </c>
      <c r="E54" s="42" t="s">
        <v>185</v>
      </c>
      <c r="F54" s="42"/>
      <c r="G54" s="11">
        <f>G55</f>
        <v>547</v>
      </c>
      <c r="H54" s="11">
        <f t="shared" ref="H54:M54" si="32">H55</f>
        <v>547</v>
      </c>
      <c r="I54" s="11">
        <f t="shared" si="32"/>
        <v>547</v>
      </c>
      <c r="J54" s="11">
        <f t="shared" si="32"/>
        <v>547</v>
      </c>
      <c r="K54" s="11">
        <f t="shared" si="32"/>
        <v>547</v>
      </c>
      <c r="L54" s="11">
        <f t="shared" si="32"/>
        <v>456.6</v>
      </c>
      <c r="M54" s="11">
        <f t="shared" si="32"/>
        <v>0</v>
      </c>
      <c r="N54" s="7">
        <f t="shared" si="3"/>
        <v>0</v>
      </c>
    </row>
    <row r="55" spans="1:14" ht="31.5">
      <c r="A55" s="31" t="s">
        <v>186</v>
      </c>
      <c r="B55" s="42" t="s">
        <v>413</v>
      </c>
      <c r="C55" s="42" t="s">
        <v>297</v>
      </c>
      <c r="D55" s="42" t="s">
        <v>268</v>
      </c>
      <c r="E55" s="42" t="s">
        <v>187</v>
      </c>
      <c r="F55" s="42"/>
      <c r="G55" s="11">
        <f>'Прил.№4 ведомств.'!G479</f>
        <v>547</v>
      </c>
      <c r="H55" s="11">
        <f>'Прил.№4 ведомств.'!I479</f>
        <v>547</v>
      </c>
      <c r="I55" s="11">
        <f>'Прил.№4 ведомств.'!J479</f>
        <v>547</v>
      </c>
      <c r="J55" s="11">
        <f>'Прил.№4 ведомств.'!K479</f>
        <v>547</v>
      </c>
      <c r="K55" s="11">
        <f>'Прил.№4 ведомств.'!L479</f>
        <v>547</v>
      </c>
      <c r="L55" s="11">
        <f>'Прил.№4 ведомств.'!M479</f>
        <v>456.6</v>
      </c>
      <c r="M55" s="11">
        <f>'Прил.№4 ведомств.'!N479</f>
        <v>0</v>
      </c>
      <c r="N55" s="7">
        <f t="shared" si="3"/>
        <v>0</v>
      </c>
    </row>
    <row r="56" spans="1:14" ht="15.75">
      <c r="A56" s="31" t="s">
        <v>301</v>
      </c>
      <c r="B56" s="42" t="s">
        <v>413</v>
      </c>
      <c r="C56" s="42" t="s">
        <v>297</v>
      </c>
      <c r="D56" s="42" t="s">
        <v>268</v>
      </c>
      <c r="E56" s="42" t="s">
        <v>302</v>
      </c>
      <c r="F56" s="42"/>
      <c r="G56" s="11">
        <f>G57</f>
        <v>1048</v>
      </c>
      <c r="H56" s="11">
        <f t="shared" ref="H56:M56" si="33">H57</f>
        <v>1048</v>
      </c>
      <c r="I56" s="11">
        <f t="shared" si="33"/>
        <v>1048</v>
      </c>
      <c r="J56" s="11">
        <f t="shared" si="33"/>
        <v>1048</v>
      </c>
      <c r="K56" s="11">
        <f t="shared" si="33"/>
        <v>1048</v>
      </c>
      <c r="L56" s="11">
        <f t="shared" si="33"/>
        <v>1048</v>
      </c>
      <c r="M56" s="11">
        <f t="shared" si="33"/>
        <v>331.2</v>
      </c>
      <c r="N56" s="7">
        <f t="shared" si="3"/>
        <v>31.603053435114504</v>
      </c>
    </row>
    <row r="57" spans="1:14" ht="31.5">
      <c r="A57" s="31" t="s">
        <v>401</v>
      </c>
      <c r="B57" s="42" t="s">
        <v>413</v>
      </c>
      <c r="C57" s="42" t="s">
        <v>297</v>
      </c>
      <c r="D57" s="42" t="s">
        <v>268</v>
      </c>
      <c r="E57" s="42" t="s">
        <v>402</v>
      </c>
      <c r="F57" s="42"/>
      <c r="G57" s="11">
        <f>'Прил.№4 ведомств.'!G481</f>
        <v>1048</v>
      </c>
      <c r="H57" s="11">
        <f>'Прил.№4 ведомств.'!I481</f>
        <v>1048</v>
      </c>
      <c r="I57" s="11">
        <f>'Прил.№4 ведомств.'!J481</f>
        <v>1048</v>
      </c>
      <c r="J57" s="11">
        <f>'Прил.№4 ведомств.'!K481</f>
        <v>1048</v>
      </c>
      <c r="K57" s="11">
        <f>'Прил.№4 ведомств.'!L481</f>
        <v>1048</v>
      </c>
      <c r="L57" s="11">
        <f>'Прил.№4 ведомств.'!M481</f>
        <v>1048</v>
      </c>
      <c r="M57" s="11">
        <f>'Прил.№4 ведомств.'!N481</f>
        <v>331.2</v>
      </c>
      <c r="N57" s="7">
        <f t="shared" si="3"/>
        <v>31.603053435114504</v>
      </c>
    </row>
    <row r="58" spans="1:14" ht="47.25">
      <c r="A58" s="47" t="s">
        <v>314</v>
      </c>
      <c r="B58" s="42" t="s">
        <v>412</v>
      </c>
      <c r="C58" s="42" t="s">
        <v>297</v>
      </c>
      <c r="D58" s="42" t="s">
        <v>268</v>
      </c>
      <c r="E58" s="42"/>
      <c r="F58" s="42" t="s">
        <v>707</v>
      </c>
      <c r="G58" s="11">
        <f>G50</f>
        <v>1595</v>
      </c>
      <c r="H58" s="11">
        <f t="shared" ref="H58:L58" si="34">H50</f>
        <v>1595</v>
      </c>
      <c r="I58" s="11">
        <f t="shared" si="34"/>
        <v>1595</v>
      </c>
      <c r="J58" s="11">
        <f t="shared" si="34"/>
        <v>1595</v>
      </c>
      <c r="K58" s="11">
        <f t="shared" si="34"/>
        <v>1595</v>
      </c>
      <c r="L58" s="11">
        <f t="shared" si="34"/>
        <v>1504.6</v>
      </c>
      <c r="M58" s="11">
        <f t="shared" ref="M58" si="35">M50</f>
        <v>331.2</v>
      </c>
      <c r="N58" s="7">
        <f t="shared" si="3"/>
        <v>22.012495015286458</v>
      </c>
    </row>
    <row r="59" spans="1:14" ht="31.5">
      <c r="A59" s="64" t="s">
        <v>713</v>
      </c>
      <c r="B59" s="8" t="s">
        <v>415</v>
      </c>
      <c r="C59" s="8"/>
      <c r="D59" s="8"/>
      <c r="E59" s="8"/>
      <c r="F59" s="8"/>
      <c r="G59" s="68">
        <f>G60</f>
        <v>335</v>
      </c>
      <c r="H59" s="68">
        <f t="shared" ref="H59:M63" si="36">H60</f>
        <v>335</v>
      </c>
      <c r="I59" s="68">
        <f t="shared" si="36"/>
        <v>1882</v>
      </c>
      <c r="J59" s="68">
        <f t="shared" si="36"/>
        <v>1962</v>
      </c>
      <c r="K59" s="68">
        <f t="shared" si="36"/>
        <v>1992</v>
      </c>
      <c r="L59" s="68">
        <f t="shared" si="36"/>
        <v>250</v>
      </c>
      <c r="M59" s="68">
        <f t="shared" si="36"/>
        <v>120</v>
      </c>
      <c r="N59" s="4">
        <f t="shared" si="3"/>
        <v>48</v>
      </c>
    </row>
    <row r="60" spans="1:14" ht="15.75">
      <c r="A60" s="47" t="s">
        <v>296</v>
      </c>
      <c r="B60" s="42" t="s">
        <v>415</v>
      </c>
      <c r="C60" s="42" t="s">
        <v>297</v>
      </c>
      <c r="D60" s="42"/>
      <c r="E60" s="42"/>
      <c r="F60" s="42"/>
      <c r="G60" s="11">
        <f>G61</f>
        <v>335</v>
      </c>
      <c r="H60" s="11">
        <f t="shared" si="36"/>
        <v>335</v>
      </c>
      <c r="I60" s="11">
        <f t="shared" si="36"/>
        <v>1882</v>
      </c>
      <c r="J60" s="11">
        <f t="shared" si="36"/>
        <v>1962</v>
      </c>
      <c r="K60" s="11">
        <f t="shared" si="36"/>
        <v>1992</v>
      </c>
      <c r="L60" s="11">
        <f t="shared" si="36"/>
        <v>250</v>
      </c>
      <c r="M60" s="11">
        <f t="shared" si="36"/>
        <v>120</v>
      </c>
      <c r="N60" s="7">
        <f t="shared" si="3"/>
        <v>48</v>
      </c>
    </row>
    <row r="61" spans="1:14" ht="21.75" customHeight="1">
      <c r="A61" s="47" t="s">
        <v>305</v>
      </c>
      <c r="B61" s="42" t="s">
        <v>415</v>
      </c>
      <c r="C61" s="42" t="s">
        <v>297</v>
      </c>
      <c r="D61" s="42" t="s">
        <v>268</v>
      </c>
      <c r="E61" s="42"/>
      <c r="F61" s="42"/>
      <c r="G61" s="11">
        <f>G62</f>
        <v>335</v>
      </c>
      <c r="H61" s="11">
        <f t="shared" si="36"/>
        <v>335</v>
      </c>
      <c r="I61" s="11">
        <f t="shared" si="36"/>
        <v>1882</v>
      </c>
      <c r="J61" s="11">
        <f t="shared" si="36"/>
        <v>1962</v>
      </c>
      <c r="K61" s="11">
        <f t="shared" si="36"/>
        <v>1992</v>
      </c>
      <c r="L61" s="11">
        <f t="shared" si="36"/>
        <v>250</v>
      </c>
      <c r="M61" s="11">
        <f t="shared" si="36"/>
        <v>120</v>
      </c>
      <c r="N61" s="7">
        <f t="shared" si="3"/>
        <v>48</v>
      </c>
    </row>
    <row r="62" spans="1:14" ht="31.5">
      <c r="A62" s="31" t="s">
        <v>210</v>
      </c>
      <c r="B62" s="42" t="s">
        <v>416</v>
      </c>
      <c r="C62" s="42" t="s">
        <v>297</v>
      </c>
      <c r="D62" s="42" t="s">
        <v>268</v>
      </c>
      <c r="E62" s="42"/>
      <c r="F62" s="42"/>
      <c r="G62" s="11">
        <f>G63</f>
        <v>335</v>
      </c>
      <c r="H62" s="11">
        <f t="shared" si="36"/>
        <v>335</v>
      </c>
      <c r="I62" s="11">
        <f t="shared" si="36"/>
        <v>1882</v>
      </c>
      <c r="J62" s="11">
        <f t="shared" si="36"/>
        <v>1962</v>
      </c>
      <c r="K62" s="11">
        <f t="shared" si="36"/>
        <v>1992</v>
      </c>
      <c r="L62" s="11">
        <f t="shared" si="36"/>
        <v>250</v>
      </c>
      <c r="M62" s="11">
        <f t="shared" si="36"/>
        <v>120</v>
      </c>
      <c r="N62" s="7">
        <f t="shared" si="3"/>
        <v>48</v>
      </c>
    </row>
    <row r="63" spans="1:14" ht="15.75">
      <c r="A63" s="31" t="s">
        <v>301</v>
      </c>
      <c r="B63" s="42" t="s">
        <v>416</v>
      </c>
      <c r="C63" s="42" t="s">
        <v>297</v>
      </c>
      <c r="D63" s="42" t="s">
        <v>268</v>
      </c>
      <c r="E63" s="42" t="s">
        <v>302</v>
      </c>
      <c r="F63" s="42"/>
      <c r="G63" s="11">
        <f>G64</f>
        <v>335</v>
      </c>
      <c r="H63" s="11">
        <f t="shared" si="36"/>
        <v>335</v>
      </c>
      <c r="I63" s="11">
        <f t="shared" si="36"/>
        <v>1882</v>
      </c>
      <c r="J63" s="11">
        <f t="shared" si="36"/>
        <v>1962</v>
      </c>
      <c r="K63" s="11">
        <f t="shared" si="36"/>
        <v>1992</v>
      </c>
      <c r="L63" s="11">
        <f t="shared" si="36"/>
        <v>250</v>
      </c>
      <c r="M63" s="11">
        <f t="shared" si="36"/>
        <v>120</v>
      </c>
      <c r="N63" s="7">
        <f t="shared" si="3"/>
        <v>48</v>
      </c>
    </row>
    <row r="64" spans="1:14" ht="31.5">
      <c r="A64" s="31" t="s">
        <v>401</v>
      </c>
      <c r="B64" s="42" t="s">
        <v>416</v>
      </c>
      <c r="C64" s="42" t="s">
        <v>297</v>
      </c>
      <c r="D64" s="42" t="s">
        <v>268</v>
      </c>
      <c r="E64" s="42" t="s">
        <v>402</v>
      </c>
      <c r="F64" s="42"/>
      <c r="G64" s="11">
        <f>'Прил.№4 ведомств.'!G485</f>
        <v>335</v>
      </c>
      <c r="H64" s="11">
        <f>'Прил.№4 ведомств.'!I485</f>
        <v>335</v>
      </c>
      <c r="I64" s="11">
        <f>'Прил.№4 ведомств.'!J485</f>
        <v>1882</v>
      </c>
      <c r="J64" s="11">
        <f>'Прил.№4 ведомств.'!K485</f>
        <v>1962</v>
      </c>
      <c r="K64" s="11">
        <f>'Прил.№4 ведомств.'!L485</f>
        <v>1992</v>
      </c>
      <c r="L64" s="11">
        <f>'Прил.№4 ведомств.'!M485</f>
        <v>250</v>
      </c>
      <c r="M64" s="11">
        <f>'Прил.№4 ведомств.'!N485</f>
        <v>120</v>
      </c>
      <c r="N64" s="7">
        <f t="shared" si="3"/>
        <v>48</v>
      </c>
    </row>
    <row r="65" spans="1:14" ht="47.25">
      <c r="A65" s="47" t="s">
        <v>314</v>
      </c>
      <c r="B65" s="42" t="s">
        <v>415</v>
      </c>
      <c r="C65" s="42" t="s">
        <v>297</v>
      </c>
      <c r="D65" s="42" t="s">
        <v>268</v>
      </c>
      <c r="E65" s="42"/>
      <c r="F65" s="42" t="s">
        <v>707</v>
      </c>
      <c r="G65" s="11">
        <f>G59</f>
        <v>335</v>
      </c>
      <c r="H65" s="11">
        <f t="shared" ref="H65:L65" si="37">H59</f>
        <v>335</v>
      </c>
      <c r="I65" s="11">
        <f t="shared" si="37"/>
        <v>1882</v>
      </c>
      <c r="J65" s="11">
        <f t="shared" si="37"/>
        <v>1962</v>
      </c>
      <c r="K65" s="11">
        <f t="shared" si="37"/>
        <v>1992</v>
      </c>
      <c r="L65" s="11">
        <f t="shared" si="37"/>
        <v>250</v>
      </c>
      <c r="M65" s="11">
        <f t="shared" ref="M65" si="38">M59</f>
        <v>120</v>
      </c>
      <c r="N65" s="7">
        <f t="shared" si="3"/>
        <v>48</v>
      </c>
    </row>
    <row r="66" spans="1:14" ht="47.25">
      <c r="A66" s="64" t="s">
        <v>417</v>
      </c>
      <c r="B66" s="8" t="s">
        <v>418</v>
      </c>
      <c r="C66" s="8"/>
      <c r="D66" s="8"/>
      <c r="E66" s="8"/>
      <c r="F66" s="8"/>
      <c r="G66" s="68">
        <f>G67</f>
        <v>210</v>
      </c>
      <c r="H66" s="68">
        <f t="shared" ref="H66:M70" si="39">H67</f>
        <v>210</v>
      </c>
      <c r="I66" s="68">
        <f t="shared" si="39"/>
        <v>210</v>
      </c>
      <c r="J66" s="68">
        <f t="shared" si="39"/>
        <v>210</v>
      </c>
      <c r="K66" s="68">
        <f t="shared" si="39"/>
        <v>210</v>
      </c>
      <c r="L66" s="68">
        <f t="shared" si="39"/>
        <v>210</v>
      </c>
      <c r="M66" s="68">
        <f t="shared" si="39"/>
        <v>0</v>
      </c>
      <c r="N66" s="4">
        <f t="shared" si="3"/>
        <v>0</v>
      </c>
    </row>
    <row r="67" spans="1:14" ht="15.75">
      <c r="A67" s="47" t="s">
        <v>296</v>
      </c>
      <c r="B67" s="42" t="s">
        <v>418</v>
      </c>
      <c r="C67" s="42" t="s">
        <v>297</v>
      </c>
      <c r="D67" s="42"/>
      <c r="E67" s="42"/>
      <c r="F67" s="42"/>
      <c r="G67" s="11">
        <f>G68</f>
        <v>210</v>
      </c>
      <c r="H67" s="11">
        <f t="shared" si="39"/>
        <v>210</v>
      </c>
      <c r="I67" s="11">
        <f t="shared" si="39"/>
        <v>210</v>
      </c>
      <c r="J67" s="11">
        <f t="shared" si="39"/>
        <v>210</v>
      </c>
      <c r="K67" s="11">
        <f t="shared" si="39"/>
        <v>210</v>
      </c>
      <c r="L67" s="11">
        <f t="shared" si="39"/>
        <v>210</v>
      </c>
      <c r="M67" s="11">
        <f t="shared" si="39"/>
        <v>0</v>
      </c>
      <c r="N67" s="7">
        <f t="shared" si="3"/>
        <v>0</v>
      </c>
    </row>
    <row r="68" spans="1:14" ht="15.75">
      <c r="A68" s="47" t="s">
        <v>305</v>
      </c>
      <c r="B68" s="42" t="s">
        <v>418</v>
      </c>
      <c r="C68" s="42" t="s">
        <v>297</v>
      </c>
      <c r="D68" s="42" t="s">
        <v>268</v>
      </c>
      <c r="E68" s="42"/>
      <c r="F68" s="42"/>
      <c r="G68" s="11">
        <f>G69</f>
        <v>210</v>
      </c>
      <c r="H68" s="11">
        <f t="shared" si="39"/>
        <v>210</v>
      </c>
      <c r="I68" s="11">
        <f t="shared" si="39"/>
        <v>210</v>
      </c>
      <c r="J68" s="11">
        <f t="shared" si="39"/>
        <v>210</v>
      </c>
      <c r="K68" s="11">
        <f t="shared" si="39"/>
        <v>210</v>
      </c>
      <c r="L68" s="11">
        <f t="shared" si="39"/>
        <v>210</v>
      </c>
      <c r="M68" s="11">
        <f t="shared" si="39"/>
        <v>0</v>
      </c>
      <c r="N68" s="7">
        <f t="shared" si="3"/>
        <v>0</v>
      </c>
    </row>
    <row r="69" spans="1:14" ht="42.75" customHeight="1">
      <c r="A69" s="31" t="s">
        <v>210</v>
      </c>
      <c r="B69" s="42" t="s">
        <v>419</v>
      </c>
      <c r="C69" s="42" t="s">
        <v>297</v>
      </c>
      <c r="D69" s="42" t="s">
        <v>268</v>
      </c>
      <c r="E69" s="42"/>
      <c r="F69" s="42"/>
      <c r="G69" s="11">
        <f>G70</f>
        <v>210</v>
      </c>
      <c r="H69" s="11">
        <f t="shared" si="39"/>
        <v>210</v>
      </c>
      <c r="I69" s="11">
        <f t="shared" si="39"/>
        <v>210</v>
      </c>
      <c r="J69" s="11">
        <f t="shared" si="39"/>
        <v>210</v>
      </c>
      <c r="K69" s="11">
        <f t="shared" si="39"/>
        <v>210</v>
      </c>
      <c r="L69" s="11">
        <f t="shared" si="39"/>
        <v>210</v>
      </c>
      <c r="M69" s="11">
        <f t="shared" si="39"/>
        <v>0</v>
      </c>
      <c r="N69" s="7">
        <f t="shared" si="3"/>
        <v>0</v>
      </c>
    </row>
    <row r="70" spans="1:14" ht="31.5">
      <c r="A70" s="31" t="s">
        <v>184</v>
      </c>
      <c r="B70" s="42" t="s">
        <v>419</v>
      </c>
      <c r="C70" s="42" t="s">
        <v>297</v>
      </c>
      <c r="D70" s="42" t="s">
        <v>268</v>
      </c>
      <c r="E70" s="42" t="s">
        <v>185</v>
      </c>
      <c r="F70" s="42"/>
      <c r="G70" s="11">
        <f>G71</f>
        <v>210</v>
      </c>
      <c r="H70" s="11">
        <f t="shared" si="39"/>
        <v>210</v>
      </c>
      <c r="I70" s="11">
        <f t="shared" si="39"/>
        <v>210</v>
      </c>
      <c r="J70" s="11">
        <f t="shared" si="39"/>
        <v>210</v>
      </c>
      <c r="K70" s="11">
        <f t="shared" si="39"/>
        <v>210</v>
      </c>
      <c r="L70" s="11">
        <f t="shared" si="39"/>
        <v>210</v>
      </c>
      <c r="M70" s="11">
        <f t="shared" si="39"/>
        <v>0</v>
      </c>
      <c r="N70" s="7">
        <f t="shared" si="3"/>
        <v>0</v>
      </c>
    </row>
    <row r="71" spans="1:14" ht="31.5">
      <c r="A71" s="31" t="s">
        <v>186</v>
      </c>
      <c r="B71" s="42" t="s">
        <v>419</v>
      </c>
      <c r="C71" s="42" t="s">
        <v>297</v>
      </c>
      <c r="D71" s="42" t="s">
        <v>268</v>
      </c>
      <c r="E71" s="42" t="s">
        <v>187</v>
      </c>
      <c r="F71" s="42"/>
      <c r="G71" s="11">
        <f>'Прил.№4 ведомств.'!G489</f>
        <v>210</v>
      </c>
      <c r="H71" s="11">
        <f>'Прил.№4 ведомств.'!I489</f>
        <v>210</v>
      </c>
      <c r="I71" s="11">
        <f>'Прил.№4 ведомств.'!J489</f>
        <v>210</v>
      </c>
      <c r="J71" s="11">
        <f>'Прил.№4 ведомств.'!K489</f>
        <v>210</v>
      </c>
      <c r="K71" s="11">
        <f>'Прил.№4 ведомств.'!L489</f>
        <v>210</v>
      </c>
      <c r="L71" s="11">
        <f>'Прил.№4 ведомств.'!M489</f>
        <v>210</v>
      </c>
      <c r="M71" s="11">
        <f>'Прил.№4 ведомств.'!N489</f>
        <v>0</v>
      </c>
      <c r="N71" s="7">
        <f t="shared" si="3"/>
        <v>0</v>
      </c>
    </row>
    <row r="72" spans="1:14" ht="47.25">
      <c r="A72" s="47" t="s">
        <v>314</v>
      </c>
      <c r="B72" s="42" t="s">
        <v>418</v>
      </c>
      <c r="C72" s="42" t="s">
        <v>297</v>
      </c>
      <c r="D72" s="42" t="s">
        <v>268</v>
      </c>
      <c r="E72" s="42"/>
      <c r="F72" s="42" t="s">
        <v>707</v>
      </c>
      <c r="G72" s="11">
        <f>G66</f>
        <v>210</v>
      </c>
      <c r="H72" s="11">
        <f t="shared" ref="H72:L72" si="40">H66</f>
        <v>210</v>
      </c>
      <c r="I72" s="11">
        <f t="shared" si="40"/>
        <v>210</v>
      </c>
      <c r="J72" s="11">
        <f t="shared" si="40"/>
        <v>210</v>
      </c>
      <c r="K72" s="11">
        <f t="shared" si="40"/>
        <v>210</v>
      </c>
      <c r="L72" s="11">
        <f t="shared" si="40"/>
        <v>210</v>
      </c>
      <c r="M72" s="11">
        <f t="shared" ref="M72" si="41">M66</f>
        <v>0</v>
      </c>
      <c r="N72" s="7">
        <f t="shared" si="3"/>
        <v>0</v>
      </c>
    </row>
    <row r="73" spans="1:14" ht="47.25">
      <c r="A73" s="43" t="s">
        <v>420</v>
      </c>
      <c r="B73" s="8" t="s">
        <v>421</v>
      </c>
      <c r="C73" s="8"/>
      <c r="D73" s="8"/>
      <c r="E73" s="8"/>
      <c r="F73" s="8"/>
      <c r="G73" s="68">
        <f>G74</f>
        <v>30</v>
      </c>
      <c r="H73" s="68">
        <f t="shared" ref="H73:M74" si="42">H74</f>
        <v>30</v>
      </c>
      <c r="I73" s="68">
        <f t="shared" si="42"/>
        <v>30</v>
      </c>
      <c r="J73" s="68">
        <f t="shared" si="42"/>
        <v>30</v>
      </c>
      <c r="K73" s="68">
        <f t="shared" si="42"/>
        <v>30</v>
      </c>
      <c r="L73" s="68">
        <f t="shared" si="42"/>
        <v>20</v>
      </c>
      <c r="M73" s="68">
        <f t="shared" si="42"/>
        <v>0</v>
      </c>
      <c r="N73" s="4">
        <f t="shared" si="3"/>
        <v>0</v>
      </c>
    </row>
    <row r="74" spans="1:14" ht="15.75">
      <c r="A74" s="47" t="s">
        <v>296</v>
      </c>
      <c r="B74" s="42" t="s">
        <v>421</v>
      </c>
      <c r="C74" s="42" t="s">
        <v>297</v>
      </c>
      <c r="D74" s="42"/>
      <c r="E74" s="42"/>
      <c r="F74" s="42"/>
      <c r="G74" s="11">
        <f>G75</f>
        <v>30</v>
      </c>
      <c r="H74" s="11">
        <f t="shared" si="42"/>
        <v>30</v>
      </c>
      <c r="I74" s="11">
        <f t="shared" si="42"/>
        <v>30</v>
      </c>
      <c r="J74" s="11">
        <f t="shared" si="42"/>
        <v>30</v>
      </c>
      <c r="K74" s="11">
        <f t="shared" si="42"/>
        <v>30</v>
      </c>
      <c r="L74" s="11">
        <f t="shared" si="42"/>
        <v>20</v>
      </c>
      <c r="M74" s="11">
        <f t="shared" si="42"/>
        <v>0</v>
      </c>
      <c r="N74" s="7">
        <f t="shared" si="3"/>
        <v>0</v>
      </c>
    </row>
    <row r="75" spans="1:14" ht="15.75">
      <c r="A75" s="47" t="s">
        <v>305</v>
      </c>
      <c r="B75" s="42" t="s">
        <v>421</v>
      </c>
      <c r="C75" s="42" t="s">
        <v>297</v>
      </c>
      <c r="D75" s="42" t="s">
        <v>268</v>
      </c>
      <c r="E75" s="42"/>
      <c r="F75" s="42"/>
      <c r="G75" s="11">
        <f>G76+G94+G85+G89+G81</f>
        <v>30</v>
      </c>
      <c r="H75" s="11">
        <f t="shared" ref="H75:L75" si="43">H76+H94+H85+H89+H81</f>
        <v>30</v>
      </c>
      <c r="I75" s="11">
        <f t="shared" si="43"/>
        <v>30</v>
      </c>
      <c r="J75" s="11">
        <f t="shared" si="43"/>
        <v>30</v>
      </c>
      <c r="K75" s="11">
        <f t="shared" si="43"/>
        <v>30</v>
      </c>
      <c r="L75" s="11">
        <f t="shared" si="43"/>
        <v>20</v>
      </c>
      <c r="M75" s="11">
        <f t="shared" ref="M75" si="44">M76+M94+M85+M89+M81</f>
        <v>0</v>
      </c>
      <c r="N75" s="7">
        <f t="shared" si="3"/>
        <v>0</v>
      </c>
    </row>
    <row r="76" spans="1:14" ht="45" customHeight="1">
      <c r="A76" s="31" t="s">
        <v>210</v>
      </c>
      <c r="B76" s="42" t="s">
        <v>423</v>
      </c>
      <c r="C76" s="42" t="s">
        <v>297</v>
      </c>
      <c r="D76" s="42" t="s">
        <v>268</v>
      </c>
      <c r="E76" s="42"/>
      <c r="F76" s="42"/>
      <c r="G76" s="11">
        <f>G79+G77</f>
        <v>20</v>
      </c>
      <c r="H76" s="11">
        <f t="shared" ref="H76:L76" si="45">H79+H77</f>
        <v>20</v>
      </c>
      <c r="I76" s="11">
        <f t="shared" si="45"/>
        <v>20</v>
      </c>
      <c r="J76" s="11">
        <f t="shared" si="45"/>
        <v>20</v>
      </c>
      <c r="K76" s="11">
        <f t="shared" si="45"/>
        <v>20</v>
      </c>
      <c r="L76" s="11">
        <f t="shared" si="45"/>
        <v>10</v>
      </c>
      <c r="M76" s="11">
        <f t="shared" ref="M76" si="46">M79+M77</f>
        <v>0</v>
      </c>
      <c r="N76" s="7">
        <f t="shared" ref="N76:N139" si="47">M76/L76*100</f>
        <v>0</v>
      </c>
    </row>
    <row r="77" spans="1:14" ht="31.5" hidden="1">
      <c r="A77" s="31" t="s">
        <v>184</v>
      </c>
      <c r="B77" s="42" t="s">
        <v>421</v>
      </c>
      <c r="C77" s="42" t="s">
        <v>297</v>
      </c>
      <c r="D77" s="42" t="s">
        <v>268</v>
      </c>
      <c r="E77" s="42" t="s">
        <v>185</v>
      </c>
      <c r="F77" s="42"/>
      <c r="G77" s="11">
        <f>G78</f>
        <v>0</v>
      </c>
      <c r="H77" s="11">
        <f t="shared" ref="H77:M77" si="48">H78</f>
        <v>0</v>
      </c>
      <c r="I77" s="11">
        <f t="shared" si="48"/>
        <v>0</v>
      </c>
      <c r="J77" s="11">
        <f t="shared" si="48"/>
        <v>0</v>
      </c>
      <c r="K77" s="11">
        <f t="shared" si="48"/>
        <v>0</v>
      </c>
      <c r="L77" s="11">
        <f t="shared" si="48"/>
        <v>0</v>
      </c>
      <c r="M77" s="11">
        <f t="shared" si="48"/>
        <v>0</v>
      </c>
      <c r="N77" s="7" t="e">
        <f t="shared" si="47"/>
        <v>#DIV/0!</v>
      </c>
    </row>
    <row r="78" spans="1:14" ht="31.5" hidden="1">
      <c r="A78" s="31" t="s">
        <v>186</v>
      </c>
      <c r="B78" s="42" t="s">
        <v>421</v>
      </c>
      <c r="C78" s="42" t="s">
        <v>297</v>
      </c>
      <c r="D78" s="42" t="s">
        <v>268</v>
      </c>
      <c r="E78" s="42" t="s">
        <v>187</v>
      </c>
      <c r="F78" s="42"/>
      <c r="G78" s="11"/>
      <c r="H78" s="11"/>
      <c r="I78" s="11"/>
      <c r="J78" s="11"/>
      <c r="K78" s="11"/>
      <c r="L78" s="11"/>
      <c r="M78" s="11"/>
      <c r="N78" s="7" t="e">
        <f t="shared" si="47"/>
        <v>#DIV/0!</v>
      </c>
    </row>
    <row r="79" spans="1:14" ht="31.5">
      <c r="A79" s="26" t="s">
        <v>325</v>
      </c>
      <c r="B79" s="42" t="s">
        <v>423</v>
      </c>
      <c r="C79" s="42" t="s">
        <v>297</v>
      </c>
      <c r="D79" s="42" t="s">
        <v>268</v>
      </c>
      <c r="E79" s="42" t="s">
        <v>326</v>
      </c>
      <c r="F79" s="42"/>
      <c r="G79" s="11">
        <f>G80</f>
        <v>20</v>
      </c>
      <c r="H79" s="11">
        <f t="shared" ref="H79:M79" si="49">H80</f>
        <v>20</v>
      </c>
      <c r="I79" s="11">
        <f t="shared" si="49"/>
        <v>20</v>
      </c>
      <c r="J79" s="11">
        <f t="shared" si="49"/>
        <v>20</v>
      </c>
      <c r="K79" s="11">
        <f t="shared" si="49"/>
        <v>20</v>
      </c>
      <c r="L79" s="11">
        <f t="shared" si="49"/>
        <v>10</v>
      </c>
      <c r="M79" s="11">
        <f t="shared" si="49"/>
        <v>0</v>
      </c>
      <c r="N79" s="7">
        <f t="shared" si="47"/>
        <v>0</v>
      </c>
    </row>
    <row r="80" spans="1:14" ht="72.75" customHeight="1">
      <c r="A80" s="26" t="s">
        <v>424</v>
      </c>
      <c r="B80" s="42" t="s">
        <v>423</v>
      </c>
      <c r="C80" s="42" t="s">
        <v>297</v>
      </c>
      <c r="D80" s="42" t="s">
        <v>268</v>
      </c>
      <c r="E80" s="42" t="s">
        <v>425</v>
      </c>
      <c r="F80" s="42"/>
      <c r="G80" s="11">
        <f>'Прил.№4 ведомств.'!G493</f>
        <v>20</v>
      </c>
      <c r="H80" s="11">
        <f>'Прил.№4 ведомств.'!I493</f>
        <v>20</v>
      </c>
      <c r="I80" s="11">
        <f>'Прил.№4 ведомств.'!J493</f>
        <v>20</v>
      </c>
      <c r="J80" s="11">
        <f>'Прил.№4 ведомств.'!K493</f>
        <v>20</v>
      </c>
      <c r="K80" s="11">
        <f>'Прил.№4 ведомств.'!L493</f>
        <v>20</v>
      </c>
      <c r="L80" s="11">
        <f>'Прил.№4 ведомств.'!M493</f>
        <v>10</v>
      </c>
      <c r="M80" s="11">
        <f>'Прил.№4 ведомств.'!N493</f>
        <v>0</v>
      </c>
      <c r="N80" s="7">
        <f t="shared" si="47"/>
        <v>0</v>
      </c>
    </row>
    <row r="81" spans="1:14" ht="47.25">
      <c r="A81" s="26" t="s">
        <v>428</v>
      </c>
      <c r="B81" s="21" t="s">
        <v>429</v>
      </c>
      <c r="C81" s="42" t="s">
        <v>297</v>
      </c>
      <c r="D81" s="42" t="s">
        <v>268</v>
      </c>
      <c r="E81" s="42"/>
      <c r="F81" s="42"/>
      <c r="G81" s="11">
        <f>G82</f>
        <v>10</v>
      </c>
      <c r="H81" s="11">
        <f t="shared" ref="H81:M82" si="50">H82</f>
        <v>10</v>
      </c>
      <c r="I81" s="11">
        <f t="shared" si="50"/>
        <v>10</v>
      </c>
      <c r="J81" s="11">
        <f t="shared" si="50"/>
        <v>10</v>
      </c>
      <c r="K81" s="11">
        <f t="shared" si="50"/>
        <v>10</v>
      </c>
      <c r="L81" s="11">
        <f t="shared" si="50"/>
        <v>10</v>
      </c>
      <c r="M81" s="11">
        <f t="shared" si="50"/>
        <v>0</v>
      </c>
      <c r="N81" s="7">
        <f t="shared" si="47"/>
        <v>0</v>
      </c>
    </row>
    <row r="82" spans="1:14" ht="15.75">
      <c r="A82" s="26" t="s">
        <v>301</v>
      </c>
      <c r="B82" s="21" t="s">
        <v>429</v>
      </c>
      <c r="C82" s="42" t="s">
        <v>297</v>
      </c>
      <c r="D82" s="42" t="s">
        <v>268</v>
      </c>
      <c r="E82" s="42" t="s">
        <v>302</v>
      </c>
      <c r="F82" s="42"/>
      <c r="G82" s="11">
        <f>G83</f>
        <v>10</v>
      </c>
      <c r="H82" s="11">
        <f t="shared" si="50"/>
        <v>10</v>
      </c>
      <c r="I82" s="11">
        <f t="shared" si="50"/>
        <v>10</v>
      </c>
      <c r="J82" s="11">
        <f t="shared" si="50"/>
        <v>10</v>
      </c>
      <c r="K82" s="11">
        <f t="shared" si="50"/>
        <v>10</v>
      </c>
      <c r="L82" s="11">
        <f t="shared" si="50"/>
        <v>10</v>
      </c>
      <c r="M82" s="11">
        <f t="shared" si="50"/>
        <v>0</v>
      </c>
      <c r="N82" s="7">
        <f t="shared" si="47"/>
        <v>0</v>
      </c>
    </row>
    <row r="83" spans="1:14" ht="31.5">
      <c r="A83" s="26" t="s">
        <v>303</v>
      </c>
      <c r="B83" s="21" t="s">
        <v>429</v>
      </c>
      <c r="C83" s="42" t="s">
        <v>297</v>
      </c>
      <c r="D83" s="42" t="s">
        <v>268</v>
      </c>
      <c r="E83" s="42" t="s">
        <v>304</v>
      </c>
      <c r="F83" s="42"/>
      <c r="G83" s="11">
        <f>'Прил.№4 ведомств.'!G502</f>
        <v>10</v>
      </c>
      <c r="H83" s="11">
        <f>'Прил.№4 ведомств.'!I502</f>
        <v>10</v>
      </c>
      <c r="I83" s="11">
        <f>'Прил.№4 ведомств.'!J502</f>
        <v>10</v>
      </c>
      <c r="J83" s="11">
        <f>'Прил.№4 ведомств.'!K502</f>
        <v>10</v>
      </c>
      <c r="K83" s="11">
        <f>'Прил.№4 ведомств.'!L502</f>
        <v>10</v>
      </c>
      <c r="L83" s="11">
        <f>'Прил.№4 ведомств.'!M502</f>
        <v>10</v>
      </c>
      <c r="M83" s="11">
        <f>'Прил.№4 ведомств.'!N502</f>
        <v>0</v>
      </c>
      <c r="N83" s="7">
        <f t="shared" si="47"/>
        <v>0</v>
      </c>
    </row>
    <row r="84" spans="1:14" ht="47.25">
      <c r="A84" s="47" t="s">
        <v>314</v>
      </c>
      <c r="B84" s="21" t="s">
        <v>421</v>
      </c>
      <c r="C84" s="42" t="s">
        <v>297</v>
      </c>
      <c r="D84" s="42" t="s">
        <v>268</v>
      </c>
      <c r="E84" s="42"/>
      <c r="F84" s="10" t="s">
        <v>707</v>
      </c>
      <c r="G84" s="11">
        <f>G73</f>
        <v>30</v>
      </c>
      <c r="H84" s="11">
        <f t="shared" ref="H84:L84" si="51">H73</f>
        <v>30</v>
      </c>
      <c r="I84" s="11">
        <f t="shared" si="51"/>
        <v>30</v>
      </c>
      <c r="J84" s="11">
        <f t="shared" si="51"/>
        <v>30</v>
      </c>
      <c r="K84" s="11">
        <f t="shared" si="51"/>
        <v>30</v>
      </c>
      <c r="L84" s="11">
        <f t="shared" si="51"/>
        <v>20</v>
      </c>
      <c r="M84" s="11">
        <f t="shared" ref="M84" si="52">M73</f>
        <v>0</v>
      </c>
      <c r="N84" s="7">
        <f t="shared" si="47"/>
        <v>0</v>
      </c>
    </row>
    <row r="85" spans="1:14" ht="110.25" hidden="1">
      <c r="A85" s="26" t="s">
        <v>426</v>
      </c>
      <c r="B85" s="21" t="s">
        <v>427</v>
      </c>
      <c r="C85" s="42" t="s">
        <v>297</v>
      </c>
      <c r="D85" s="42" t="s">
        <v>268</v>
      </c>
      <c r="E85" s="42"/>
      <c r="F85" s="10"/>
      <c r="G85" s="11">
        <f>G86</f>
        <v>0</v>
      </c>
      <c r="H85" s="11">
        <f t="shared" ref="H85:M86" si="53">H86</f>
        <v>0</v>
      </c>
      <c r="I85" s="11">
        <f t="shared" si="53"/>
        <v>0</v>
      </c>
      <c r="J85" s="11">
        <f t="shared" si="53"/>
        <v>0</v>
      </c>
      <c r="K85" s="11">
        <f t="shared" si="53"/>
        <v>0</v>
      </c>
      <c r="L85" s="11">
        <f t="shared" si="53"/>
        <v>0</v>
      </c>
      <c r="M85" s="11">
        <f t="shared" si="53"/>
        <v>0</v>
      </c>
      <c r="N85" s="4" t="e">
        <f t="shared" si="47"/>
        <v>#DIV/0!</v>
      </c>
    </row>
    <row r="86" spans="1:14" ht="15.75" hidden="1">
      <c r="A86" s="26" t="s">
        <v>188</v>
      </c>
      <c r="B86" s="21" t="s">
        <v>427</v>
      </c>
      <c r="C86" s="42" t="s">
        <v>297</v>
      </c>
      <c r="D86" s="42" t="s">
        <v>268</v>
      </c>
      <c r="E86" s="42" t="s">
        <v>198</v>
      </c>
      <c r="F86" s="10"/>
      <c r="G86" s="11">
        <f>G87</f>
        <v>0</v>
      </c>
      <c r="H86" s="11">
        <f t="shared" si="53"/>
        <v>0</v>
      </c>
      <c r="I86" s="11">
        <f t="shared" si="53"/>
        <v>0</v>
      </c>
      <c r="J86" s="11">
        <f t="shared" si="53"/>
        <v>0</v>
      </c>
      <c r="K86" s="11">
        <f t="shared" si="53"/>
        <v>0</v>
      </c>
      <c r="L86" s="11">
        <f t="shared" si="53"/>
        <v>0</v>
      </c>
      <c r="M86" s="11">
        <f t="shared" si="53"/>
        <v>0</v>
      </c>
      <c r="N86" s="4" t="e">
        <f t="shared" si="47"/>
        <v>#DIV/0!</v>
      </c>
    </row>
    <row r="87" spans="1:14" ht="47.25" hidden="1">
      <c r="A87" s="26" t="s">
        <v>237</v>
      </c>
      <c r="B87" s="21" t="s">
        <v>427</v>
      </c>
      <c r="C87" s="42" t="s">
        <v>297</v>
      </c>
      <c r="D87" s="42" t="s">
        <v>268</v>
      </c>
      <c r="E87" s="42" t="s">
        <v>213</v>
      </c>
      <c r="F87" s="10"/>
      <c r="G87" s="11"/>
      <c r="H87" s="11"/>
      <c r="I87" s="11"/>
      <c r="J87" s="11"/>
      <c r="K87" s="11"/>
      <c r="L87" s="11"/>
      <c r="M87" s="11"/>
      <c r="N87" s="4" t="e">
        <f t="shared" si="47"/>
        <v>#DIV/0!</v>
      </c>
    </row>
    <row r="88" spans="1:14" ht="47.25" hidden="1">
      <c r="A88" s="47" t="s">
        <v>314</v>
      </c>
      <c r="B88" s="21" t="s">
        <v>427</v>
      </c>
      <c r="C88" s="42" t="s">
        <v>297</v>
      </c>
      <c r="D88" s="42" t="s">
        <v>268</v>
      </c>
      <c r="E88" s="42"/>
      <c r="F88" s="10" t="s">
        <v>707</v>
      </c>
      <c r="G88" s="11">
        <f>G87</f>
        <v>0</v>
      </c>
      <c r="H88" s="11">
        <f t="shared" ref="H88:L88" si="54">H87</f>
        <v>0</v>
      </c>
      <c r="I88" s="11">
        <f t="shared" si="54"/>
        <v>0</v>
      </c>
      <c r="J88" s="11">
        <f t="shared" si="54"/>
        <v>0</v>
      </c>
      <c r="K88" s="11">
        <f t="shared" si="54"/>
        <v>0</v>
      </c>
      <c r="L88" s="11">
        <f t="shared" si="54"/>
        <v>0</v>
      </c>
      <c r="M88" s="11">
        <f t="shared" ref="M88" si="55">M87</f>
        <v>0</v>
      </c>
      <c r="N88" s="4" t="e">
        <f t="shared" si="47"/>
        <v>#DIV/0!</v>
      </c>
    </row>
    <row r="89" spans="1:14" ht="47.25" hidden="1">
      <c r="A89" s="26" t="s">
        <v>428</v>
      </c>
      <c r="B89" s="21" t="s">
        <v>429</v>
      </c>
      <c r="C89" s="42" t="s">
        <v>297</v>
      </c>
      <c r="D89" s="42" t="s">
        <v>268</v>
      </c>
      <c r="E89" s="42"/>
      <c r="F89" s="10"/>
      <c r="G89" s="11">
        <f>G90</f>
        <v>0</v>
      </c>
      <c r="H89" s="11">
        <f t="shared" ref="H89:M90" si="56">H90</f>
        <v>0</v>
      </c>
      <c r="I89" s="11">
        <f t="shared" si="56"/>
        <v>0</v>
      </c>
      <c r="J89" s="11">
        <f t="shared" si="56"/>
        <v>0</v>
      </c>
      <c r="K89" s="11">
        <f t="shared" si="56"/>
        <v>0</v>
      </c>
      <c r="L89" s="11">
        <f t="shared" si="56"/>
        <v>0</v>
      </c>
      <c r="M89" s="11">
        <f t="shared" si="56"/>
        <v>0</v>
      </c>
      <c r="N89" s="4" t="e">
        <f t="shared" si="47"/>
        <v>#DIV/0!</v>
      </c>
    </row>
    <row r="90" spans="1:14" ht="15.75" hidden="1">
      <c r="A90" s="31" t="s">
        <v>301</v>
      </c>
      <c r="B90" s="21" t="s">
        <v>429</v>
      </c>
      <c r="C90" s="42" t="s">
        <v>297</v>
      </c>
      <c r="D90" s="42" t="s">
        <v>268</v>
      </c>
      <c r="E90" s="42" t="s">
        <v>302</v>
      </c>
      <c r="F90" s="10"/>
      <c r="G90" s="11">
        <f>G91</f>
        <v>0</v>
      </c>
      <c r="H90" s="11">
        <f t="shared" si="56"/>
        <v>0</v>
      </c>
      <c r="I90" s="11">
        <f t="shared" si="56"/>
        <v>0</v>
      </c>
      <c r="J90" s="11">
        <f t="shared" si="56"/>
        <v>0</v>
      </c>
      <c r="K90" s="11">
        <f t="shared" si="56"/>
        <v>0</v>
      </c>
      <c r="L90" s="11">
        <f t="shared" si="56"/>
        <v>0</v>
      </c>
      <c r="M90" s="11">
        <f t="shared" si="56"/>
        <v>0</v>
      </c>
      <c r="N90" s="4" t="e">
        <f t="shared" si="47"/>
        <v>#DIV/0!</v>
      </c>
    </row>
    <row r="91" spans="1:14" ht="31.5" hidden="1">
      <c r="A91" s="31" t="s">
        <v>303</v>
      </c>
      <c r="B91" s="21" t="s">
        <v>429</v>
      </c>
      <c r="C91" s="42" t="s">
        <v>297</v>
      </c>
      <c r="D91" s="42" t="s">
        <v>268</v>
      </c>
      <c r="E91" s="42" t="s">
        <v>304</v>
      </c>
      <c r="F91" s="10"/>
      <c r="G91" s="11"/>
      <c r="H91" s="11"/>
      <c r="I91" s="11"/>
      <c r="J91" s="11"/>
      <c r="K91" s="11"/>
      <c r="L91" s="11"/>
      <c r="M91" s="11"/>
      <c r="N91" s="4" t="e">
        <f t="shared" si="47"/>
        <v>#DIV/0!</v>
      </c>
    </row>
    <row r="92" spans="1:14" ht="47.25" hidden="1">
      <c r="A92" s="47" t="s">
        <v>314</v>
      </c>
      <c r="B92" s="21" t="s">
        <v>429</v>
      </c>
      <c r="C92" s="42" t="s">
        <v>297</v>
      </c>
      <c r="D92" s="42" t="s">
        <v>268</v>
      </c>
      <c r="E92" s="42"/>
      <c r="F92" s="10" t="s">
        <v>707</v>
      </c>
      <c r="G92" s="11">
        <f>G89</f>
        <v>0</v>
      </c>
      <c r="H92" s="11">
        <f t="shared" ref="H92:L92" si="57">H89</f>
        <v>0</v>
      </c>
      <c r="I92" s="11">
        <f t="shared" si="57"/>
        <v>0</v>
      </c>
      <c r="J92" s="11">
        <f t="shared" si="57"/>
        <v>0</v>
      </c>
      <c r="K92" s="11">
        <f t="shared" si="57"/>
        <v>0</v>
      </c>
      <c r="L92" s="11">
        <f t="shared" si="57"/>
        <v>0</v>
      </c>
      <c r="M92" s="11">
        <f t="shared" ref="M92" si="58">M89</f>
        <v>0</v>
      </c>
      <c r="N92" s="4" t="e">
        <f t="shared" si="47"/>
        <v>#DIV/0!</v>
      </c>
    </row>
    <row r="93" spans="1:14" ht="31.5" hidden="1">
      <c r="A93" s="31" t="s">
        <v>430</v>
      </c>
      <c r="B93" s="21" t="s">
        <v>431</v>
      </c>
      <c r="C93" s="42" t="s">
        <v>297</v>
      </c>
      <c r="D93" s="42" t="s">
        <v>268</v>
      </c>
      <c r="E93" s="42"/>
      <c r="F93" s="42"/>
      <c r="G93" s="11">
        <f>G94</f>
        <v>0</v>
      </c>
      <c r="H93" s="11">
        <f t="shared" ref="H93:M94" si="59">H94</f>
        <v>0</v>
      </c>
      <c r="I93" s="11">
        <f t="shared" si="59"/>
        <v>0</v>
      </c>
      <c r="J93" s="11">
        <f t="shared" si="59"/>
        <v>0</v>
      </c>
      <c r="K93" s="11">
        <f t="shared" si="59"/>
        <v>0</v>
      </c>
      <c r="L93" s="11">
        <f t="shared" si="59"/>
        <v>0</v>
      </c>
      <c r="M93" s="11">
        <f t="shared" si="59"/>
        <v>0</v>
      </c>
      <c r="N93" s="4" t="e">
        <f t="shared" si="47"/>
        <v>#DIV/0!</v>
      </c>
    </row>
    <row r="94" spans="1:14" ht="31.5" hidden="1">
      <c r="A94" s="31" t="s">
        <v>184</v>
      </c>
      <c r="B94" s="21" t="s">
        <v>431</v>
      </c>
      <c r="C94" s="42" t="s">
        <v>297</v>
      </c>
      <c r="D94" s="42" t="s">
        <v>268</v>
      </c>
      <c r="E94" s="42" t="s">
        <v>185</v>
      </c>
      <c r="F94" s="42"/>
      <c r="G94" s="11">
        <f>G95</f>
        <v>0</v>
      </c>
      <c r="H94" s="11">
        <f t="shared" si="59"/>
        <v>0</v>
      </c>
      <c r="I94" s="11">
        <f t="shared" si="59"/>
        <v>0</v>
      </c>
      <c r="J94" s="11">
        <f t="shared" si="59"/>
        <v>0</v>
      </c>
      <c r="K94" s="11">
        <f t="shared" si="59"/>
        <v>0</v>
      </c>
      <c r="L94" s="11">
        <f t="shared" si="59"/>
        <v>0</v>
      </c>
      <c r="M94" s="11">
        <f t="shared" si="59"/>
        <v>0</v>
      </c>
      <c r="N94" s="4" t="e">
        <f t="shared" si="47"/>
        <v>#DIV/0!</v>
      </c>
    </row>
    <row r="95" spans="1:14" ht="31.5" hidden="1">
      <c r="A95" s="31" t="s">
        <v>186</v>
      </c>
      <c r="B95" s="21" t="s">
        <v>431</v>
      </c>
      <c r="C95" s="42" t="s">
        <v>297</v>
      </c>
      <c r="D95" s="42" t="s">
        <v>268</v>
      </c>
      <c r="E95" s="42" t="s">
        <v>187</v>
      </c>
      <c r="F95" s="42"/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4" t="e">
        <f t="shared" si="47"/>
        <v>#DIV/0!</v>
      </c>
    </row>
    <row r="96" spans="1:14" ht="15.75" hidden="1">
      <c r="A96" s="31" t="s">
        <v>188</v>
      </c>
      <c r="B96" s="21" t="s">
        <v>431</v>
      </c>
      <c r="C96" s="42" t="s">
        <v>297</v>
      </c>
      <c r="D96" s="42" t="s">
        <v>268</v>
      </c>
      <c r="E96" s="42" t="s">
        <v>198</v>
      </c>
      <c r="F96" s="42"/>
      <c r="G96" s="11"/>
      <c r="H96" s="11"/>
      <c r="I96" s="11"/>
      <c r="J96" s="11"/>
      <c r="K96" s="11"/>
      <c r="L96" s="11"/>
      <c r="M96" s="11"/>
      <c r="N96" s="4" t="e">
        <f t="shared" si="47"/>
        <v>#DIV/0!</v>
      </c>
    </row>
    <row r="97" spans="1:14" ht="47.25" hidden="1">
      <c r="A97" s="31" t="s">
        <v>237</v>
      </c>
      <c r="B97" s="21" t="s">
        <v>431</v>
      </c>
      <c r="C97" s="42" t="s">
        <v>297</v>
      </c>
      <c r="D97" s="42" t="s">
        <v>268</v>
      </c>
      <c r="E97" s="42" t="s">
        <v>213</v>
      </c>
      <c r="F97" s="42"/>
      <c r="G97" s="11"/>
      <c r="H97" s="11"/>
      <c r="I97" s="11"/>
      <c r="J97" s="11"/>
      <c r="K97" s="11"/>
      <c r="L97" s="11"/>
      <c r="M97" s="11"/>
      <c r="N97" s="4" t="e">
        <f t="shared" si="47"/>
        <v>#DIV/0!</v>
      </c>
    </row>
    <row r="98" spans="1:14" ht="47.25" hidden="1">
      <c r="A98" s="47" t="s">
        <v>314</v>
      </c>
      <c r="B98" s="21" t="s">
        <v>431</v>
      </c>
      <c r="C98" s="42" t="s">
        <v>297</v>
      </c>
      <c r="D98" s="42" t="s">
        <v>268</v>
      </c>
      <c r="E98" s="42"/>
      <c r="F98" s="10" t="s">
        <v>707</v>
      </c>
      <c r="G98" s="11">
        <f>G93</f>
        <v>0</v>
      </c>
      <c r="H98" s="11">
        <f t="shared" ref="H98:L98" si="60">H93</f>
        <v>0</v>
      </c>
      <c r="I98" s="11">
        <f t="shared" si="60"/>
        <v>0</v>
      </c>
      <c r="J98" s="11">
        <f t="shared" si="60"/>
        <v>0</v>
      </c>
      <c r="K98" s="11">
        <f t="shared" si="60"/>
        <v>0</v>
      </c>
      <c r="L98" s="11">
        <f t="shared" si="60"/>
        <v>0</v>
      </c>
      <c r="M98" s="11">
        <f t="shared" ref="M98" si="61">M93</f>
        <v>0</v>
      </c>
      <c r="N98" s="4" t="e">
        <f t="shared" si="47"/>
        <v>#DIV/0!</v>
      </c>
    </row>
    <row r="99" spans="1:14" ht="94.5">
      <c r="A99" s="43" t="s">
        <v>433</v>
      </c>
      <c r="B99" s="8" t="s">
        <v>434</v>
      </c>
      <c r="C99" s="8"/>
      <c r="D99" s="8"/>
      <c r="E99" s="8"/>
      <c r="F99" s="9"/>
      <c r="G99" s="68">
        <f>G100</f>
        <v>105</v>
      </c>
      <c r="H99" s="68">
        <f t="shared" ref="H99:M103" si="62">H100</f>
        <v>105</v>
      </c>
      <c r="I99" s="68">
        <f t="shared" si="62"/>
        <v>0</v>
      </c>
      <c r="J99" s="68">
        <f t="shared" si="62"/>
        <v>0</v>
      </c>
      <c r="K99" s="68">
        <f t="shared" si="62"/>
        <v>0</v>
      </c>
      <c r="L99" s="68">
        <f t="shared" si="62"/>
        <v>200</v>
      </c>
      <c r="M99" s="68">
        <f t="shared" si="62"/>
        <v>13.7</v>
      </c>
      <c r="N99" s="4">
        <f t="shared" si="47"/>
        <v>6.8499999999999988</v>
      </c>
    </row>
    <row r="100" spans="1:14" ht="15.75">
      <c r="A100" s="47" t="s">
        <v>296</v>
      </c>
      <c r="B100" s="42" t="s">
        <v>434</v>
      </c>
      <c r="C100" s="42" t="s">
        <v>297</v>
      </c>
      <c r="D100" s="42"/>
      <c r="E100" s="42"/>
      <c r="F100" s="10"/>
      <c r="G100" s="11">
        <f>G101</f>
        <v>105</v>
      </c>
      <c r="H100" s="11">
        <f t="shared" si="62"/>
        <v>105</v>
      </c>
      <c r="I100" s="11">
        <f t="shared" si="62"/>
        <v>0</v>
      </c>
      <c r="J100" s="11">
        <f t="shared" si="62"/>
        <v>0</v>
      </c>
      <c r="K100" s="11">
        <f t="shared" si="62"/>
        <v>0</v>
      </c>
      <c r="L100" s="11">
        <f t="shared" si="62"/>
        <v>200</v>
      </c>
      <c r="M100" s="11">
        <f t="shared" si="62"/>
        <v>13.7</v>
      </c>
      <c r="N100" s="7">
        <f t="shared" si="47"/>
        <v>6.8499999999999988</v>
      </c>
    </row>
    <row r="101" spans="1:14" ht="24.75" customHeight="1">
      <c r="A101" s="47" t="s">
        <v>305</v>
      </c>
      <c r="B101" s="42" t="s">
        <v>434</v>
      </c>
      <c r="C101" s="42" t="s">
        <v>297</v>
      </c>
      <c r="D101" s="42" t="s">
        <v>268</v>
      </c>
      <c r="E101" s="42"/>
      <c r="F101" s="10"/>
      <c r="G101" s="11">
        <f>G102</f>
        <v>105</v>
      </c>
      <c r="H101" s="11">
        <f t="shared" si="62"/>
        <v>105</v>
      </c>
      <c r="I101" s="11">
        <f t="shared" si="62"/>
        <v>0</v>
      </c>
      <c r="J101" s="11">
        <f t="shared" si="62"/>
        <v>0</v>
      </c>
      <c r="K101" s="11">
        <f t="shared" si="62"/>
        <v>0</v>
      </c>
      <c r="L101" s="11">
        <f t="shared" si="62"/>
        <v>200</v>
      </c>
      <c r="M101" s="11">
        <f t="shared" si="62"/>
        <v>13.7</v>
      </c>
      <c r="N101" s="7">
        <f t="shared" si="47"/>
        <v>6.8499999999999988</v>
      </c>
    </row>
    <row r="102" spans="1:14" ht="31.5">
      <c r="A102" s="31" t="s">
        <v>210</v>
      </c>
      <c r="B102" s="42" t="s">
        <v>435</v>
      </c>
      <c r="C102" s="42" t="s">
        <v>297</v>
      </c>
      <c r="D102" s="42" t="s">
        <v>268</v>
      </c>
      <c r="E102" s="42"/>
      <c r="F102" s="10"/>
      <c r="G102" s="11">
        <f>G103</f>
        <v>105</v>
      </c>
      <c r="H102" s="11">
        <f t="shared" si="62"/>
        <v>105</v>
      </c>
      <c r="I102" s="11">
        <f t="shared" si="62"/>
        <v>0</v>
      </c>
      <c r="J102" s="11">
        <f t="shared" si="62"/>
        <v>0</v>
      </c>
      <c r="K102" s="11">
        <f t="shared" si="62"/>
        <v>0</v>
      </c>
      <c r="L102" s="11">
        <f t="shared" si="62"/>
        <v>200</v>
      </c>
      <c r="M102" s="11">
        <f t="shared" si="62"/>
        <v>13.7</v>
      </c>
      <c r="N102" s="7">
        <f t="shared" si="47"/>
        <v>6.8499999999999988</v>
      </c>
    </row>
    <row r="103" spans="1:14" ht="31.5">
      <c r="A103" s="31" t="s">
        <v>184</v>
      </c>
      <c r="B103" s="42" t="s">
        <v>435</v>
      </c>
      <c r="C103" s="42" t="s">
        <v>297</v>
      </c>
      <c r="D103" s="42" t="s">
        <v>268</v>
      </c>
      <c r="E103" s="42" t="s">
        <v>185</v>
      </c>
      <c r="F103" s="10"/>
      <c r="G103" s="11">
        <f>G104</f>
        <v>105</v>
      </c>
      <c r="H103" s="11">
        <f t="shared" si="62"/>
        <v>105</v>
      </c>
      <c r="I103" s="11">
        <f t="shared" si="62"/>
        <v>0</v>
      </c>
      <c r="J103" s="11">
        <f t="shared" si="62"/>
        <v>0</v>
      </c>
      <c r="K103" s="11">
        <f t="shared" si="62"/>
        <v>0</v>
      </c>
      <c r="L103" s="11">
        <f t="shared" si="62"/>
        <v>200</v>
      </c>
      <c r="M103" s="11">
        <f t="shared" si="62"/>
        <v>13.7</v>
      </c>
      <c r="N103" s="7">
        <f t="shared" si="47"/>
        <v>6.8499999999999988</v>
      </c>
    </row>
    <row r="104" spans="1:14" ht="31.5">
      <c r="A104" s="31" t="s">
        <v>186</v>
      </c>
      <c r="B104" s="42" t="s">
        <v>435</v>
      </c>
      <c r="C104" s="42" t="s">
        <v>297</v>
      </c>
      <c r="D104" s="42" t="s">
        <v>268</v>
      </c>
      <c r="E104" s="42" t="s">
        <v>187</v>
      </c>
      <c r="F104" s="10"/>
      <c r="G104" s="11">
        <f>'Прил.№4 ведомств.'!G511</f>
        <v>105</v>
      </c>
      <c r="H104" s="11">
        <f>'Прил.№4 ведомств.'!I511</f>
        <v>105</v>
      </c>
      <c r="I104" s="11">
        <f>'Прил.№4 ведомств.'!J511</f>
        <v>0</v>
      </c>
      <c r="J104" s="11">
        <f>'Прил.№4 ведомств.'!K511</f>
        <v>0</v>
      </c>
      <c r="K104" s="11">
        <f>'Прил.№4 ведомств.'!L511</f>
        <v>0</v>
      </c>
      <c r="L104" s="11">
        <f>'Прил.№4 ведомств.'!M511</f>
        <v>200</v>
      </c>
      <c r="M104" s="11">
        <f>'Прил.№4 ведомств.'!N511</f>
        <v>13.7</v>
      </c>
      <c r="N104" s="7">
        <f t="shared" si="47"/>
        <v>6.8499999999999988</v>
      </c>
    </row>
    <row r="105" spans="1:14" ht="47.25">
      <c r="A105" s="47" t="s">
        <v>314</v>
      </c>
      <c r="B105" s="42" t="s">
        <v>434</v>
      </c>
      <c r="C105" s="42" t="s">
        <v>297</v>
      </c>
      <c r="D105" s="42" t="s">
        <v>268</v>
      </c>
      <c r="E105" s="42"/>
      <c r="F105" s="10" t="s">
        <v>707</v>
      </c>
      <c r="G105" s="11">
        <f>G99</f>
        <v>105</v>
      </c>
      <c r="H105" s="11">
        <f t="shared" ref="H105:L105" si="63">H99</f>
        <v>105</v>
      </c>
      <c r="I105" s="11">
        <f t="shared" si="63"/>
        <v>0</v>
      </c>
      <c r="J105" s="11">
        <f t="shared" si="63"/>
        <v>0</v>
      </c>
      <c r="K105" s="11">
        <f t="shared" si="63"/>
        <v>0</v>
      </c>
      <c r="L105" s="11">
        <f t="shared" si="63"/>
        <v>200</v>
      </c>
      <c r="M105" s="11">
        <f t="shared" ref="M105" si="64">M99</f>
        <v>13.7</v>
      </c>
      <c r="N105" s="7">
        <f t="shared" si="47"/>
        <v>6.8499999999999988</v>
      </c>
    </row>
    <row r="106" spans="1:14" ht="47.25">
      <c r="A106" s="64" t="s">
        <v>480</v>
      </c>
      <c r="B106" s="8" t="s">
        <v>460</v>
      </c>
      <c r="C106" s="8"/>
      <c r="D106" s="8"/>
      <c r="E106" s="8"/>
      <c r="F106" s="8"/>
      <c r="G106" s="68" t="e">
        <f t="shared" ref="G106:L106" si="65">G107+G122+G170+G204+G228</f>
        <v>#REF!</v>
      </c>
      <c r="H106" s="68" t="e">
        <f t="shared" si="65"/>
        <v>#REF!</v>
      </c>
      <c r="I106" s="68" t="e">
        <f t="shared" si="65"/>
        <v>#REF!</v>
      </c>
      <c r="J106" s="68" t="e">
        <f t="shared" si="65"/>
        <v>#REF!</v>
      </c>
      <c r="K106" s="68" t="e">
        <f t="shared" si="65"/>
        <v>#REF!</v>
      </c>
      <c r="L106" s="68">
        <f t="shared" si="65"/>
        <v>88297.3</v>
      </c>
      <c r="M106" s="68">
        <f t="shared" ref="M106" si="66">M107+M122+M170+M204+M228</f>
        <v>35427.1</v>
      </c>
      <c r="N106" s="4">
        <f t="shared" si="47"/>
        <v>40.122517902585919</v>
      </c>
    </row>
    <row r="107" spans="1:14" ht="31.5">
      <c r="A107" s="43" t="s">
        <v>461</v>
      </c>
      <c r="B107" s="8" t="s">
        <v>462</v>
      </c>
      <c r="C107" s="8"/>
      <c r="D107" s="8"/>
      <c r="E107" s="8"/>
      <c r="F107" s="8"/>
      <c r="G107" s="68">
        <f>G108</f>
        <v>70853.600000000006</v>
      </c>
      <c r="H107" s="68">
        <f t="shared" ref="H107:M107" si="67">H108</f>
        <v>71469.8</v>
      </c>
      <c r="I107" s="68">
        <f t="shared" si="67"/>
        <v>90165.7</v>
      </c>
      <c r="J107" s="68">
        <f t="shared" si="67"/>
        <v>93224</v>
      </c>
      <c r="K107" s="68">
        <f t="shared" si="67"/>
        <v>95100.6</v>
      </c>
      <c r="L107" s="68">
        <f t="shared" si="67"/>
        <v>67375</v>
      </c>
      <c r="M107" s="68">
        <f t="shared" si="67"/>
        <v>25525</v>
      </c>
      <c r="N107" s="4">
        <f t="shared" si="47"/>
        <v>37.884972170686453</v>
      </c>
    </row>
    <row r="108" spans="1:14" ht="15.75">
      <c r="A108" s="31" t="s">
        <v>316</v>
      </c>
      <c r="B108" s="42" t="s">
        <v>462</v>
      </c>
      <c r="C108" s="42" t="s">
        <v>317</v>
      </c>
      <c r="D108" s="42"/>
      <c r="E108" s="42"/>
      <c r="F108" s="42"/>
      <c r="G108" s="11">
        <f>G109+G113+G117</f>
        <v>70853.600000000006</v>
      </c>
      <c r="H108" s="11">
        <f t="shared" ref="H108:L108" si="68">H109+H113+H117</f>
        <v>71469.8</v>
      </c>
      <c r="I108" s="11">
        <f t="shared" si="68"/>
        <v>90165.7</v>
      </c>
      <c r="J108" s="11">
        <f t="shared" si="68"/>
        <v>93224</v>
      </c>
      <c r="K108" s="11">
        <f t="shared" si="68"/>
        <v>95100.6</v>
      </c>
      <c r="L108" s="11">
        <f t="shared" si="68"/>
        <v>67375</v>
      </c>
      <c r="M108" s="11">
        <f t="shared" ref="M108" si="69">M109+M113+M117</f>
        <v>25525</v>
      </c>
      <c r="N108" s="7">
        <f t="shared" si="47"/>
        <v>37.884972170686453</v>
      </c>
    </row>
    <row r="109" spans="1:14" ht="15.75">
      <c r="A109" s="47" t="s">
        <v>458</v>
      </c>
      <c r="B109" s="42" t="s">
        <v>462</v>
      </c>
      <c r="C109" s="42" t="s">
        <v>317</v>
      </c>
      <c r="D109" s="42" t="s">
        <v>171</v>
      </c>
      <c r="E109" s="42"/>
      <c r="F109" s="42"/>
      <c r="G109" s="11">
        <f>G110</f>
        <v>15578.400000000001</v>
      </c>
      <c r="H109" s="11">
        <f t="shared" ref="H109:M111" si="70">H110</f>
        <v>16300.2</v>
      </c>
      <c r="I109" s="11">
        <f t="shared" si="70"/>
        <v>35498.199999999997</v>
      </c>
      <c r="J109" s="11">
        <f t="shared" si="70"/>
        <v>36442.5</v>
      </c>
      <c r="K109" s="11">
        <f t="shared" si="70"/>
        <v>37029.5</v>
      </c>
      <c r="L109" s="11">
        <f t="shared" si="70"/>
        <v>15316.6</v>
      </c>
      <c r="M109" s="11">
        <f t="shared" si="70"/>
        <v>7100</v>
      </c>
      <c r="N109" s="7">
        <f t="shared" si="47"/>
        <v>46.354935168379399</v>
      </c>
    </row>
    <row r="110" spans="1:14" ht="31.5">
      <c r="A110" s="31" t="s">
        <v>463</v>
      </c>
      <c r="B110" s="42" t="s">
        <v>464</v>
      </c>
      <c r="C110" s="42" t="s">
        <v>317</v>
      </c>
      <c r="D110" s="42" t="s">
        <v>171</v>
      </c>
      <c r="E110" s="42"/>
      <c r="F110" s="42"/>
      <c r="G110" s="11">
        <f>G111</f>
        <v>15578.400000000001</v>
      </c>
      <c r="H110" s="11">
        <f t="shared" si="70"/>
        <v>16300.2</v>
      </c>
      <c r="I110" s="11">
        <f t="shared" si="70"/>
        <v>35498.199999999997</v>
      </c>
      <c r="J110" s="11">
        <f t="shared" si="70"/>
        <v>36442.5</v>
      </c>
      <c r="K110" s="11">
        <f t="shared" si="70"/>
        <v>37029.5</v>
      </c>
      <c r="L110" s="11">
        <f t="shared" si="70"/>
        <v>15316.6</v>
      </c>
      <c r="M110" s="11">
        <f t="shared" si="70"/>
        <v>7100</v>
      </c>
      <c r="N110" s="7">
        <f t="shared" si="47"/>
        <v>46.354935168379399</v>
      </c>
    </row>
    <row r="111" spans="1:14" ht="31.5">
      <c r="A111" s="31" t="s">
        <v>325</v>
      </c>
      <c r="B111" s="42" t="s">
        <v>464</v>
      </c>
      <c r="C111" s="42" t="s">
        <v>317</v>
      </c>
      <c r="D111" s="42" t="s">
        <v>171</v>
      </c>
      <c r="E111" s="42" t="s">
        <v>326</v>
      </c>
      <c r="F111" s="42"/>
      <c r="G111" s="11">
        <f>G112</f>
        <v>15578.400000000001</v>
      </c>
      <c r="H111" s="11">
        <f t="shared" si="70"/>
        <v>16300.2</v>
      </c>
      <c r="I111" s="11">
        <f t="shared" si="70"/>
        <v>35498.199999999997</v>
      </c>
      <c r="J111" s="11">
        <f t="shared" si="70"/>
        <v>36442.5</v>
      </c>
      <c r="K111" s="11">
        <f t="shared" si="70"/>
        <v>37029.5</v>
      </c>
      <c r="L111" s="11">
        <f t="shared" si="70"/>
        <v>15316.6</v>
      </c>
      <c r="M111" s="11">
        <f t="shared" si="70"/>
        <v>7100</v>
      </c>
      <c r="N111" s="7">
        <f t="shared" si="47"/>
        <v>46.354935168379399</v>
      </c>
    </row>
    <row r="112" spans="1:14" ht="15.75">
      <c r="A112" s="31" t="s">
        <v>327</v>
      </c>
      <c r="B112" s="42" t="s">
        <v>464</v>
      </c>
      <c r="C112" s="42" t="s">
        <v>317</v>
      </c>
      <c r="D112" s="42" t="s">
        <v>171</v>
      </c>
      <c r="E112" s="42" t="s">
        <v>328</v>
      </c>
      <c r="F112" s="42"/>
      <c r="G112" s="7">
        <f>'Прил.№4 ведомств.'!G596</f>
        <v>15578.400000000001</v>
      </c>
      <c r="H112" s="7">
        <f>'Прил.№4 ведомств.'!I596</f>
        <v>16300.2</v>
      </c>
      <c r="I112" s="7">
        <f>'Прил.№4 ведомств.'!J596</f>
        <v>35498.199999999997</v>
      </c>
      <c r="J112" s="7">
        <f>'Прил.№4 ведомств.'!K596</f>
        <v>36442.5</v>
      </c>
      <c r="K112" s="7">
        <f>'Прил.№4 ведомств.'!L596</f>
        <v>37029.5</v>
      </c>
      <c r="L112" s="7">
        <f>'Прил.№4 ведомств.'!M596</f>
        <v>15316.6</v>
      </c>
      <c r="M112" s="7">
        <f>'Прил.№4 ведомств.'!N596</f>
        <v>7100</v>
      </c>
      <c r="N112" s="7">
        <f t="shared" si="47"/>
        <v>46.354935168379399</v>
      </c>
    </row>
    <row r="113" spans="1:14" ht="15.75">
      <c r="A113" s="31" t="s">
        <v>479</v>
      </c>
      <c r="B113" s="42" t="s">
        <v>462</v>
      </c>
      <c r="C113" s="42" t="s">
        <v>317</v>
      </c>
      <c r="D113" s="42" t="s">
        <v>266</v>
      </c>
      <c r="E113" s="42"/>
      <c r="F113" s="42"/>
      <c r="G113" s="11">
        <f>G114</f>
        <v>34151.199999999997</v>
      </c>
      <c r="H113" s="11">
        <f t="shared" ref="H113:M115" si="71">H114</f>
        <v>33366.1</v>
      </c>
      <c r="I113" s="11">
        <f t="shared" si="71"/>
        <v>29080.799999999999</v>
      </c>
      <c r="J113" s="11">
        <f t="shared" si="71"/>
        <v>30905.8</v>
      </c>
      <c r="K113" s="11">
        <f t="shared" si="71"/>
        <v>32021.200000000001</v>
      </c>
      <c r="L113" s="11">
        <f t="shared" si="71"/>
        <v>30890.3</v>
      </c>
      <c r="M113" s="11">
        <f t="shared" si="71"/>
        <v>10885</v>
      </c>
      <c r="N113" s="7">
        <f t="shared" si="47"/>
        <v>35.2375988578939</v>
      </c>
    </row>
    <row r="114" spans="1:14" ht="30.75" customHeight="1">
      <c r="A114" s="31" t="s">
        <v>481</v>
      </c>
      <c r="B114" s="42" t="s">
        <v>482</v>
      </c>
      <c r="C114" s="42" t="s">
        <v>317</v>
      </c>
      <c r="D114" s="42" t="s">
        <v>266</v>
      </c>
      <c r="E114" s="42"/>
      <c r="F114" s="42"/>
      <c r="G114" s="11">
        <f>G115</f>
        <v>34151.199999999997</v>
      </c>
      <c r="H114" s="11">
        <f t="shared" si="71"/>
        <v>33366.1</v>
      </c>
      <c r="I114" s="11">
        <f t="shared" si="71"/>
        <v>29080.799999999999</v>
      </c>
      <c r="J114" s="11">
        <f t="shared" si="71"/>
        <v>30905.8</v>
      </c>
      <c r="K114" s="11">
        <f t="shared" si="71"/>
        <v>32021.200000000001</v>
      </c>
      <c r="L114" s="11">
        <f t="shared" si="71"/>
        <v>30890.3</v>
      </c>
      <c r="M114" s="11">
        <f t="shared" si="71"/>
        <v>10885</v>
      </c>
      <c r="N114" s="7">
        <f t="shared" si="47"/>
        <v>35.2375988578939</v>
      </c>
    </row>
    <row r="115" spans="1:14" ht="37.5" customHeight="1">
      <c r="A115" s="31" t="s">
        <v>325</v>
      </c>
      <c r="B115" s="42" t="s">
        <v>482</v>
      </c>
      <c r="C115" s="42" t="s">
        <v>317</v>
      </c>
      <c r="D115" s="42" t="s">
        <v>266</v>
      </c>
      <c r="E115" s="42" t="s">
        <v>326</v>
      </c>
      <c r="F115" s="42"/>
      <c r="G115" s="11">
        <f>G116</f>
        <v>34151.199999999997</v>
      </c>
      <c r="H115" s="11">
        <f t="shared" si="71"/>
        <v>33366.1</v>
      </c>
      <c r="I115" s="11">
        <f t="shared" si="71"/>
        <v>29080.799999999999</v>
      </c>
      <c r="J115" s="11">
        <f t="shared" si="71"/>
        <v>30905.8</v>
      </c>
      <c r="K115" s="11">
        <f t="shared" si="71"/>
        <v>32021.200000000001</v>
      </c>
      <c r="L115" s="11">
        <f t="shared" si="71"/>
        <v>30890.3</v>
      </c>
      <c r="M115" s="11">
        <f t="shared" si="71"/>
        <v>10885</v>
      </c>
      <c r="N115" s="7">
        <f t="shared" si="47"/>
        <v>35.2375988578939</v>
      </c>
    </row>
    <row r="116" spans="1:14" ht="15.75">
      <c r="A116" s="31" t="s">
        <v>327</v>
      </c>
      <c r="B116" s="42" t="s">
        <v>482</v>
      </c>
      <c r="C116" s="42" t="s">
        <v>317</v>
      </c>
      <c r="D116" s="42" t="s">
        <v>266</v>
      </c>
      <c r="E116" s="42" t="s">
        <v>328</v>
      </c>
      <c r="F116" s="42"/>
      <c r="G116" s="7">
        <f>'Прил.№4 ведомств.'!G641</f>
        <v>34151.199999999997</v>
      </c>
      <c r="H116" s="7">
        <f>'Прил.№4 ведомств.'!I641</f>
        <v>33366.1</v>
      </c>
      <c r="I116" s="7">
        <f>'Прил.№4 ведомств.'!J641</f>
        <v>29080.799999999999</v>
      </c>
      <c r="J116" s="7">
        <f>'Прил.№4 ведомств.'!K641</f>
        <v>30905.8</v>
      </c>
      <c r="K116" s="7">
        <f>'Прил.№4 ведомств.'!L641</f>
        <v>32021.200000000001</v>
      </c>
      <c r="L116" s="7">
        <f>'Прил.№4 ведомств.'!M641</f>
        <v>30890.3</v>
      </c>
      <c r="M116" s="7">
        <f>'Прил.№4 ведомств.'!N641</f>
        <v>10885</v>
      </c>
      <c r="N116" s="7">
        <f t="shared" si="47"/>
        <v>35.2375988578939</v>
      </c>
    </row>
    <row r="117" spans="1:14" ht="15.75">
      <c r="A117" s="31" t="s">
        <v>318</v>
      </c>
      <c r="B117" s="42" t="s">
        <v>462</v>
      </c>
      <c r="C117" s="42" t="s">
        <v>317</v>
      </c>
      <c r="D117" s="42" t="s">
        <v>268</v>
      </c>
      <c r="E117" s="42"/>
      <c r="F117" s="42"/>
      <c r="G117" s="7">
        <f>G118</f>
        <v>21124</v>
      </c>
      <c r="H117" s="7">
        <f t="shared" ref="H117:M119" si="72">H118</f>
        <v>21803.5</v>
      </c>
      <c r="I117" s="7">
        <f t="shared" si="72"/>
        <v>25586.7</v>
      </c>
      <c r="J117" s="7">
        <f t="shared" si="72"/>
        <v>25875.7</v>
      </c>
      <c r="K117" s="7">
        <f t="shared" si="72"/>
        <v>26049.9</v>
      </c>
      <c r="L117" s="7">
        <f t="shared" si="72"/>
        <v>21168.1</v>
      </c>
      <c r="M117" s="7">
        <f t="shared" si="72"/>
        <v>7540</v>
      </c>
      <c r="N117" s="7">
        <f t="shared" si="47"/>
        <v>35.619635205804961</v>
      </c>
    </row>
    <row r="118" spans="1:14" ht="47.25">
      <c r="A118" s="31" t="s">
        <v>323</v>
      </c>
      <c r="B118" s="42" t="s">
        <v>483</v>
      </c>
      <c r="C118" s="42" t="s">
        <v>317</v>
      </c>
      <c r="D118" s="42" t="s">
        <v>268</v>
      </c>
      <c r="E118" s="8"/>
      <c r="F118" s="8"/>
      <c r="G118" s="11">
        <f>G119</f>
        <v>21124</v>
      </c>
      <c r="H118" s="11">
        <f t="shared" si="72"/>
        <v>21803.5</v>
      </c>
      <c r="I118" s="11">
        <f t="shared" si="72"/>
        <v>25586.7</v>
      </c>
      <c r="J118" s="11">
        <f t="shared" si="72"/>
        <v>25875.7</v>
      </c>
      <c r="K118" s="11">
        <f t="shared" si="72"/>
        <v>26049.9</v>
      </c>
      <c r="L118" s="11">
        <f t="shared" si="72"/>
        <v>21168.1</v>
      </c>
      <c r="M118" s="11">
        <f t="shared" si="72"/>
        <v>7540</v>
      </c>
      <c r="N118" s="7">
        <f t="shared" si="47"/>
        <v>35.619635205804961</v>
      </c>
    </row>
    <row r="119" spans="1:14" ht="31.5">
      <c r="A119" s="31" t="s">
        <v>325</v>
      </c>
      <c r="B119" s="42" t="s">
        <v>483</v>
      </c>
      <c r="C119" s="42" t="s">
        <v>317</v>
      </c>
      <c r="D119" s="42" t="s">
        <v>268</v>
      </c>
      <c r="E119" s="42" t="s">
        <v>326</v>
      </c>
      <c r="F119" s="42"/>
      <c r="G119" s="11">
        <f>G120</f>
        <v>21124</v>
      </c>
      <c r="H119" s="11">
        <f t="shared" si="72"/>
        <v>21803.5</v>
      </c>
      <c r="I119" s="11">
        <f t="shared" si="72"/>
        <v>25586.7</v>
      </c>
      <c r="J119" s="11">
        <f t="shared" si="72"/>
        <v>25875.7</v>
      </c>
      <c r="K119" s="11">
        <f t="shared" si="72"/>
        <v>26049.9</v>
      </c>
      <c r="L119" s="11">
        <f t="shared" si="72"/>
        <v>21168.1</v>
      </c>
      <c r="M119" s="11">
        <f t="shared" si="72"/>
        <v>7540</v>
      </c>
      <c r="N119" s="7">
        <f t="shared" si="47"/>
        <v>35.619635205804961</v>
      </c>
    </row>
    <row r="120" spans="1:14" ht="15.75">
      <c r="A120" s="31" t="s">
        <v>327</v>
      </c>
      <c r="B120" s="42" t="s">
        <v>483</v>
      </c>
      <c r="C120" s="42" t="s">
        <v>317</v>
      </c>
      <c r="D120" s="42" t="s">
        <v>268</v>
      </c>
      <c r="E120" s="42" t="s">
        <v>328</v>
      </c>
      <c r="F120" s="42"/>
      <c r="G120" s="7">
        <f>'Прил.№4 ведомств.'!G710</f>
        <v>21124</v>
      </c>
      <c r="H120" s="7">
        <f>'Прил.№4 ведомств.'!I710</f>
        <v>21803.5</v>
      </c>
      <c r="I120" s="7">
        <f>'Прил.№4 ведомств.'!J710</f>
        <v>25586.7</v>
      </c>
      <c r="J120" s="7">
        <f>'Прил.№4 ведомств.'!K710</f>
        <v>25875.7</v>
      </c>
      <c r="K120" s="7">
        <f>'Прил.№4 ведомств.'!L710</f>
        <v>26049.9</v>
      </c>
      <c r="L120" s="7">
        <f>'Прил.№4 ведомств.'!M710</f>
        <v>21168.1</v>
      </c>
      <c r="M120" s="7">
        <f>'Прил.№4 ведомств.'!N710</f>
        <v>7540</v>
      </c>
      <c r="N120" s="7">
        <f t="shared" si="47"/>
        <v>35.619635205804961</v>
      </c>
    </row>
    <row r="121" spans="1:14" ht="31.5">
      <c r="A121" s="31" t="s">
        <v>457</v>
      </c>
      <c r="B121" s="42" t="s">
        <v>462</v>
      </c>
      <c r="C121" s="42" t="s">
        <v>317</v>
      </c>
      <c r="D121" s="42" t="s">
        <v>268</v>
      </c>
      <c r="E121" s="42"/>
      <c r="F121" s="42" t="s">
        <v>716</v>
      </c>
      <c r="G121" s="7">
        <f>G107</f>
        <v>70853.600000000006</v>
      </c>
      <c r="H121" s="7">
        <f t="shared" ref="H121:L121" si="73">H107</f>
        <v>71469.8</v>
      </c>
      <c r="I121" s="7">
        <f t="shared" si="73"/>
        <v>90165.7</v>
      </c>
      <c r="J121" s="7">
        <f t="shared" si="73"/>
        <v>93224</v>
      </c>
      <c r="K121" s="7">
        <f t="shared" si="73"/>
        <v>95100.6</v>
      </c>
      <c r="L121" s="7">
        <f t="shared" si="73"/>
        <v>67375</v>
      </c>
      <c r="M121" s="7">
        <f t="shared" ref="M121" si="74">M107</f>
        <v>25525</v>
      </c>
      <c r="N121" s="7">
        <f t="shared" si="47"/>
        <v>37.884972170686453</v>
      </c>
    </row>
    <row r="122" spans="1:14" ht="31.5">
      <c r="A122" s="43" t="s">
        <v>465</v>
      </c>
      <c r="B122" s="8" t="s">
        <v>466</v>
      </c>
      <c r="C122" s="8"/>
      <c r="D122" s="8"/>
      <c r="E122" s="8"/>
      <c r="F122" s="8"/>
      <c r="G122" s="68">
        <f>G123</f>
        <v>7875</v>
      </c>
      <c r="H122" s="68">
        <f t="shared" ref="H122:M122" si="75">H123</f>
        <v>7875</v>
      </c>
      <c r="I122" s="68">
        <f t="shared" si="75"/>
        <v>25698.3</v>
      </c>
      <c r="J122" s="68">
        <f t="shared" si="75"/>
        <v>20018.3</v>
      </c>
      <c r="K122" s="68">
        <f t="shared" si="75"/>
        <v>13968.3</v>
      </c>
      <c r="L122" s="68">
        <f t="shared" si="75"/>
        <v>10068.300000000001</v>
      </c>
      <c r="M122" s="68">
        <f t="shared" si="75"/>
        <v>5435</v>
      </c>
      <c r="N122" s="4">
        <f t="shared" si="47"/>
        <v>53.981307668623302</v>
      </c>
    </row>
    <row r="123" spans="1:14" ht="15.75">
      <c r="A123" s="31" t="s">
        <v>316</v>
      </c>
      <c r="B123" s="42" t="s">
        <v>466</v>
      </c>
      <c r="C123" s="42" t="s">
        <v>317</v>
      </c>
      <c r="D123" s="42"/>
      <c r="E123" s="42"/>
      <c r="F123" s="42"/>
      <c r="G123" s="11">
        <f>G124</f>
        <v>7875</v>
      </c>
      <c r="H123" s="11">
        <f t="shared" ref="H123:M123" si="76">H124</f>
        <v>7875</v>
      </c>
      <c r="I123" s="11">
        <f t="shared" si="76"/>
        <v>25698.3</v>
      </c>
      <c r="J123" s="11">
        <f t="shared" si="76"/>
        <v>20018.3</v>
      </c>
      <c r="K123" s="11">
        <f t="shared" si="76"/>
        <v>13968.3</v>
      </c>
      <c r="L123" s="11">
        <f t="shared" si="76"/>
        <v>10068.300000000001</v>
      </c>
      <c r="M123" s="11">
        <f t="shared" si="76"/>
        <v>5435</v>
      </c>
      <c r="N123" s="7">
        <f t="shared" si="47"/>
        <v>53.981307668623302</v>
      </c>
    </row>
    <row r="124" spans="1:14" ht="15.75">
      <c r="A124" s="47" t="s">
        <v>458</v>
      </c>
      <c r="B124" s="42" t="s">
        <v>466</v>
      </c>
      <c r="C124" s="42" t="s">
        <v>317</v>
      </c>
      <c r="D124" s="42" t="s">
        <v>171</v>
      </c>
      <c r="E124" s="42"/>
      <c r="F124" s="42"/>
      <c r="G124" s="11">
        <f>G135+G133+G129+G138+G141+G144</f>
        <v>7875</v>
      </c>
      <c r="H124" s="11">
        <f t="shared" ref="H124:L124" si="77">H135+H133+H129+H138+H141+H144</f>
        <v>7875</v>
      </c>
      <c r="I124" s="11">
        <f t="shared" si="77"/>
        <v>25698.3</v>
      </c>
      <c r="J124" s="11">
        <f t="shared" si="77"/>
        <v>20018.3</v>
      </c>
      <c r="K124" s="11">
        <f t="shared" si="77"/>
        <v>13968.3</v>
      </c>
      <c r="L124" s="11">
        <f t="shared" si="77"/>
        <v>10068.300000000001</v>
      </c>
      <c r="M124" s="11">
        <f t="shared" ref="M124" si="78">M135+M133+M129+M138+M141+M144</f>
        <v>5435</v>
      </c>
      <c r="N124" s="7">
        <f t="shared" si="47"/>
        <v>53.981307668623302</v>
      </c>
    </row>
    <row r="125" spans="1:14" ht="57.75" hidden="1" customHeight="1">
      <c r="A125" s="31" t="s">
        <v>660</v>
      </c>
      <c r="B125" s="42" t="s">
        <v>661</v>
      </c>
      <c r="C125" s="42" t="s">
        <v>317</v>
      </c>
      <c r="D125" s="42" t="s">
        <v>171</v>
      </c>
      <c r="E125" s="42"/>
      <c r="F125" s="42"/>
      <c r="G125" s="11">
        <f>G126</f>
        <v>0</v>
      </c>
      <c r="H125" s="11">
        <f t="shared" ref="H125:M126" si="79">H126</f>
        <v>0</v>
      </c>
      <c r="I125" s="11">
        <f t="shared" si="79"/>
        <v>0</v>
      </c>
      <c r="J125" s="11">
        <f t="shared" si="79"/>
        <v>0</v>
      </c>
      <c r="K125" s="11">
        <f t="shared" si="79"/>
        <v>0</v>
      </c>
      <c r="L125" s="11">
        <f t="shared" si="79"/>
        <v>0</v>
      </c>
      <c r="M125" s="11">
        <f t="shared" si="79"/>
        <v>0</v>
      </c>
      <c r="N125" s="7" t="e">
        <f t="shared" si="47"/>
        <v>#DIV/0!</v>
      </c>
    </row>
    <row r="126" spans="1:14" ht="31.5" hidden="1">
      <c r="A126" s="31" t="s">
        <v>325</v>
      </c>
      <c r="B126" s="42" t="s">
        <v>661</v>
      </c>
      <c r="C126" s="42" t="s">
        <v>317</v>
      </c>
      <c r="D126" s="42" t="s">
        <v>171</v>
      </c>
      <c r="E126" s="42" t="s">
        <v>326</v>
      </c>
      <c r="F126" s="42"/>
      <c r="G126" s="11">
        <f>G127</f>
        <v>0</v>
      </c>
      <c r="H126" s="11">
        <f t="shared" si="79"/>
        <v>0</v>
      </c>
      <c r="I126" s="11">
        <f t="shared" si="79"/>
        <v>0</v>
      </c>
      <c r="J126" s="11">
        <f t="shared" si="79"/>
        <v>0</v>
      </c>
      <c r="K126" s="11">
        <f t="shared" si="79"/>
        <v>0</v>
      </c>
      <c r="L126" s="11">
        <f t="shared" si="79"/>
        <v>0</v>
      </c>
      <c r="M126" s="11">
        <f t="shared" si="79"/>
        <v>0</v>
      </c>
      <c r="N126" s="7" t="e">
        <f t="shared" si="47"/>
        <v>#DIV/0!</v>
      </c>
    </row>
    <row r="127" spans="1:14" ht="15.75" hidden="1">
      <c r="A127" s="31" t="s">
        <v>327</v>
      </c>
      <c r="B127" s="42" t="s">
        <v>661</v>
      </c>
      <c r="C127" s="42" t="s">
        <v>317</v>
      </c>
      <c r="D127" s="42" t="s">
        <v>171</v>
      </c>
      <c r="E127" s="42" t="s">
        <v>328</v>
      </c>
      <c r="F127" s="42"/>
      <c r="G127" s="11"/>
      <c r="H127" s="11"/>
      <c r="I127" s="11"/>
      <c r="J127" s="11"/>
      <c r="K127" s="11"/>
      <c r="L127" s="11"/>
      <c r="M127" s="11"/>
      <c r="N127" s="7" t="e">
        <f t="shared" si="47"/>
        <v>#DIV/0!</v>
      </c>
    </row>
    <row r="128" spans="1:14" ht="31.5" hidden="1">
      <c r="A128" s="31" t="s">
        <v>457</v>
      </c>
      <c r="B128" s="42" t="s">
        <v>661</v>
      </c>
      <c r="C128" s="42" t="s">
        <v>317</v>
      </c>
      <c r="D128" s="42" t="s">
        <v>171</v>
      </c>
      <c r="E128" s="42"/>
      <c r="F128" s="42" t="s">
        <v>716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7" t="e">
        <f t="shared" si="47"/>
        <v>#DIV/0!</v>
      </c>
    </row>
    <row r="129" spans="1:14" ht="31.5">
      <c r="A129" s="31" t="s">
        <v>331</v>
      </c>
      <c r="B129" s="42" t="s">
        <v>467</v>
      </c>
      <c r="C129" s="42" t="s">
        <v>317</v>
      </c>
      <c r="D129" s="42" t="s">
        <v>171</v>
      </c>
      <c r="E129" s="42"/>
      <c r="F129" s="42"/>
      <c r="G129" s="11">
        <f>G130</f>
        <v>0</v>
      </c>
      <c r="H129" s="11">
        <f t="shared" ref="H129:M130" si="80">H130</f>
        <v>0</v>
      </c>
      <c r="I129" s="11">
        <f t="shared" si="80"/>
        <v>15330</v>
      </c>
      <c r="J129" s="11">
        <f t="shared" si="80"/>
        <v>10100</v>
      </c>
      <c r="K129" s="11">
        <f t="shared" si="80"/>
        <v>3600</v>
      </c>
      <c r="L129" s="11">
        <f t="shared" si="80"/>
        <v>200</v>
      </c>
      <c r="M129" s="11">
        <f t="shared" si="80"/>
        <v>0</v>
      </c>
      <c r="N129" s="7">
        <f t="shared" si="47"/>
        <v>0</v>
      </c>
    </row>
    <row r="130" spans="1:14" ht="31.5">
      <c r="A130" s="31" t="s">
        <v>325</v>
      </c>
      <c r="B130" s="42" t="s">
        <v>467</v>
      </c>
      <c r="C130" s="42" t="s">
        <v>317</v>
      </c>
      <c r="D130" s="42" t="s">
        <v>171</v>
      </c>
      <c r="E130" s="42" t="s">
        <v>326</v>
      </c>
      <c r="F130" s="42"/>
      <c r="G130" s="11">
        <f>G131</f>
        <v>0</v>
      </c>
      <c r="H130" s="11">
        <f t="shared" si="80"/>
        <v>0</v>
      </c>
      <c r="I130" s="11">
        <f t="shared" si="80"/>
        <v>15330</v>
      </c>
      <c r="J130" s="11">
        <f t="shared" si="80"/>
        <v>10100</v>
      </c>
      <c r="K130" s="11">
        <f t="shared" si="80"/>
        <v>3600</v>
      </c>
      <c r="L130" s="11">
        <f t="shared" si="80"/>
        <v>200</v>
      </c>
      <c r="M130" s="11">
        <f t="shared" si="80"/>
        <v>0</v>
      </c>
      <c r="N130" s="7">
        <f t="shared" si="47"/>
        <v>0</v>
      </c>
    </row>
    <row r="131" spans="1:14" ht="15.75">
      <c r="A131" s="31" t="s">
        <v>327</v>
      </c>
      <c r="B131" s="42" t="s">
        <v>467</v>
      </c>
      <c r="C131" s="42" t="s">
        <v>317</v>
      </c>
      <c r="D131" s="42" t="s">
        <v>171</v>
      </c>
      <c r="E131" s="42" t="s">
        <v>328</v>
      </c>
      <c r="F131" s="42"/>
      <c r="G131" s="11">
        <f>'Прил.№4 ведомств.'!G600</f>
        <v>0</v>
      </c>
      <c r="H131" s="11">
        <f>'Прил.№4 ведомств.'!I600</f>
        <v>0</v>
      </c>
      <c r="I131" s="11">
        <f>'Прил.№4 ведомств.'!J600</f>
        <v>15330</v>
      </c>
      <c r="J131" s="11">
        <f>'Прил.№4 ведомств.'!K600</f>
        <v>10100</v>
      </c>
      <c r="K131" s="11">
        <f>'Прил.№4 ведомств.'!L600</f>
        <v>3600</v>
      </c>
      <c r="L131" s="11">
        <f>'Прил.№4 ведомств.'!M600</f>
        <v>200</v>
      </c>
      <c r="M131" s="11">
        <f>'Прил.№4 ведомств.'!N600</f>
        <v>0</v>
      </c>
      <c r="N131" s="7">
        <f t="shared" si="47"/>
        <v>0</v>
      </c>
    </row>
    <row r="132" spans="1:14" ht="31.5" hidden="1">
      <c r="A132" s="31" t="s">
        <v>333</v>
      </c>
      <c r="B132" s="42" t="s">
        <v>468</v>
      </c>
      <c r="C132" s="42" t="s">
        <v>317</v>
      </c>
      <c r="D132" s="42" t="s">
        <v>171</v>
      </c>
      <c r="E132" s="42"/>
      <c r="F132" s="42"/>
      <c r="G132" s="11">
        <f>G133</f>
        <v>1145</v>
      </c>
      <c r="H132" s="11">
        <f t="shared" ref="H132:M133" si="81">H133</f>
        <v>1145</v>
      </c>
      <c r="I132" s="11">
        <f t="shared" si="81"/>
        <v>0</v>
      </c>
      <c r="J132" s="11">
        <f t="shared" si="81"/>
        <v>0</v>
      </c>
      <c r="K132" s="11">
        <f t="shared" si="81"/>
        <v>0</v>
      </c>
      <c r="L132" s="11">
        <f t="shared" si="81"/>
        <v>0</v>
      </c>
      <c r="M132" s="11">
        <f t="shared" si="81"/>
        <v>0</v>
      </c>
      <c r="N132" s="7" t="e">
        <f t="shared" si="47"/>
        <v>#DIV/0!</v>
      </c>
    </row>
    <row r="133" spans="1:14" ht="31.5" hidden="1">
      <c r="A133" s="31" t="s">
        <v>325</v>
      </c>
      <c r="B133" s="42" t="s">
        <v>468</v>
      </c>
      <c r="C133" s="42" t="s">
        <v>317</v>
      </c>
      <c r="D133" s="42" t="s">
        <v>171</v>
      </c>
      <c r="E133" s="42" t="s">
        <v>326</v>
      </c>
      <c r="F133" s="42"/>
      <c r="G133" s="11">
        <f>G134</f>
        <v>1145</v>
      </c>
      <c r="H133" s="11">
        <f t="shared" si="81"/>
        <v>1145</v>
      </c>
      <c r="I133" s="11">
        <f t="shared" si="81"/>
        <v>0</v>
      </c>
      <c r="J133" s="11">
        <f t="shared" si="81"/>
        <v>0</v>
      </c>
      <c r="K133" s="11">
        <f t="shared" si="81"/>
        <v>0</v>
      </c>
      <c r="L133" s="11">
        <f t="shared" si="81"/>
        <v>0</v>
      </c>
      <c r="M133" s="11">
        <f t="shared" si="81"/>
        <v>0</v>
      </c>
      <c r="N133" s="7" t="e">
        <f t="shared" si="47"/>
        <v>#DIV/0!</v>
      </c>
    </row>
    <row r="134" spans="1:14" ht="15.75" hidden="1">
      <c r="A134" s="31" t="s">
        <v>327</v>
      </c>
      <c r="B134" s="42" t="s">
        <v>468</v>
      </c>
      <c r="C134" s="42" t="s">
        <v>317</v>
      </c>
      <c r="D134" s="42" t="s">
        <v>171</v>
      </c>
      <c r="E134" s="42" t="s">
        <v>328</v>
      </c>
      <c r="F134" s="42"/>
      <c r="G134" s="11">
        <f>'Прил.№4 ведомств.'!G603</f>
        <v>1145</v>
      </c>
      <c r="H134" s="11">
        <f>'Прил.№4 ведомств.'!I603</f>
        <v>1145</v>
      </c>
      <c r="I134" s="11">
        <f>'Прил.№4 ведомств.'!J603</f>
        <v>0</v>
      </c>
      <c r="J134" s="11">
        <f>'Прил.№4 ведомств.'!K603</f>
        <v>0</v>
      </c>
      <c r="K134" s="11">
        <f>'Прил.№4 ведомств.'!L603</f>
        <v>0</v>
      </c>
      <c r="L134" s="11">
        <f>'Прил.№4 ведомств.'!M603</f>
        <v>0</v>
      </c>
      <c r="M134" s="11">
        <f>'Прил.№4 ведомств.'!N603</f>
        <v>0</v>
      </c>
      <c r="N134" s="7" t="e">
        <f t="shared" si="47"/>
        <v>#DIV/0!</v>
      </c>
    </row>
    <row r="135" spans="1:14" ht="31.5">
      <c r="A135" s="31" t="s">
        <v>469</v>
      </c>
      <c r="B135" s="42" t="s">
        <v>470</v>
      </c>
      <c r="C135" s="42" t="s">
        <v>317</v>
      </c>
      <c r="D135" s="42" t="s">
        <v>171</v>
      </c>
      <c r="E135" s="42"/>
      <c r="F135" s="42"/>
      <c r="G135" s="11">
        <f>G136</f>
        <v>6730</v>
      </c>
      <c r="H135" s="11">
        <f t="shared" ref="H135:M136" si="82">H136</f>
        <v>6730</v>
      </c>
      <c r="I135" s="11">
        <f t="shared" si="82"/>
        <v>5168.8</v>
      </c>
      <c r="J135" s="11">
        <f t="shared" si="82"/>
        <v>5168.8</v>
      </c>
      <c r="K135" s="11">
        <f t="shared" si="82"/>
        <v>5168.8</v>
      </c>
      <c r="L135" s="11">
        <f t="shared" si="82"/>
        <v>5168.8</v>
      </c>
      <c r="M135" s="11">
        <f t="shared" si="82"/>
        <v>2100</v>
      </c>
      <c r="N135" s="7">
        <f t="shared" si="47"/>
        <v>40.628385698808231</v>
      </c>
    </row>
    <row r="136" spans="1:14" ht="65.25" customHeight="1">
      <c r="A136" s="31" t="s">
        <v>325</v>
      </c>
      <c r="B136" s="42" t="s">
        <v>470</v>
      </c>
      <c r="C136" s="42" t="s">
        <v>317</v>
      </c>
      <c r="D136" s="42" t="s">
        <v>171</v>
      </c>
      <c r="E136" s="42" t="s">
        <v>326</v>
      </c>
      <c r="F136" s="42"/>
      <c r="G136" s="11">
        <f>G137</f>
        <v>6730</v>
      </c>
      <c r="H136" s="11">
        <f t="shared" si="82"/>
        <v>6730</v>
      </c>
      <c r="I136" s="11">
        <f t="shared" si="82"/>
        <v>5168.8</v>
      </c>
      <c r="J136" s="11">
        <f t="shared" si="82"/>
        <v>5168.8</v>
      </c>
      <c r="K136" s="11">
        <f t="shared" si="82"/>
        <v>5168.8</v>
      </c>
      <c r="L136" s="11">
        <f t="shared" si="82"/>
        <v>5168.8</v>
      </c>
      <c r="M136" s="11">
        <f t="shared" si="82"/>
        <v>2100</v>
      </c>
      <c r="N136" s="7">
        <f t="shared" si="47"/>
        <v>40.628385698808231</v>
      </c>
    </row>
    <row r="137" spans="1:14" ht="15.75">
      <c r="A137" s="31" t="s">
        <v>327</v>
      </c>
      <c r="B137" s="42" t="s">
        <v>470</v>
      </c>
      <c r="C137" s="42" t="s">
        <v>317</v>
      </c>
      <c r="D137" s="42" t="s">
        <v>171</v>
      </c>
      <c r="E137" s="42" t="s">
        <v>328</v>
      </c>
      <c r="F137" s="42"/>
      <c r="G137" s="7">
        <f>'Прил.№4 ведомств.'!G606</f>
        <v>6730</v>
      </c>
      <c r="H137" s="7">
        <f>'Прил.№4 ведомств.'!I606</f>
        <v>6730</v>
      </c>
      <c r="I137" s="7">
        <f>'Прил.№4 ведомств.'!J606</f>
        <v>5168.8</v>
      </c>
      <c r="J137" s="7">
        <f>'Прил.№4 ведомств.'!K606</f>
        <v>5168.8</v>
      </c>
      <c r="K137" s="7">
        <f>'Прил.№4 ведомств.'!L606</f>
        <v>5168.8</v>
      </c>
      <c r="L137" s="7">
        <f>'Прил.№4 ведомств.'!M606</f>
        <v>5168.8</v>
      </c>
      <c r="M137" s="7">
        <f>'Прил.№4 ведомств.'!N606</f>
        <v>2100</v>
      </c>
      <c r="N137" s="7">
        <f t="shared" si="47"/>
        <v>40.628385698808231</v>
      </c>
    </row>
    <row r="138" spans="1:14" ht="31.5" hidden="1">
      <c r="A138" s="31" t="s">
        <v>337</v>
      </c>
      <c r="B138" s="42" t="s">
        <v>471</v>
      </c>
      <c r="C138" s="42" t="s">
        <v>317</v>
      </c>
      <c r="D138" s="42" t="s">
        <v>171</v>
      </c>
      <c r="E138" s="42"/>
      <c r="F138" s="42"/>
      <c r="G138" s="11">
        <f>G139</f>
        <v>0</v>
      </c>
      <c r="H138" s="11">
        <f t="shared" ref="H138:M139" si="83">H139</f>
        <v>0</v>
      </c>
      <c r="I138" s="11">
        <f t="shared" si="83"/>
        <v>500</v>
      </c>
      <c r="J138" s="11">
        <f t="shared" si="83"/>
        <v>50</v>
      </c>
      <c r="K138" s="11">
        <f t="shared" si="83"/>
        <v>500</v>
      </c>
      <c r="L138" s="11">
        <f t="shared" si="83"/>
        <v>0</v>
      </c>
      <c r="M138" s="11">
        <f t="shared" si="83"/>
        <v>0</v>
      </c>
      <c r="N138" s="7" t="e">
        <f t="shared" si="47"/>
        <v>#DIV/0!</v>
      </c>
    </row>
    <row r="139" spans="1:14" ht="31.5" hidden="1">
      <c r="A139" s="31" t="s">
        <v>325</v>
      </c>
      <c r="B139" s="42" t="s">
        <v>471</v>
      </c>
      <c r="C139" s="42" t="s">
        <v>317</v>
      </c>
      <c r="D139" s="42" t="s">
        <v>171</v>
      </c>
      <c r="E139" s="42" t="s">
        <v>326</v>
      </c>
      <c r="F139" s="42"/>
      <c r="G139" s="11">
        <f>G140</f>
        <v>0</v>
      </c>
      <c r="H139" s="11">
        <f t="shared" si="83"/>
        <v>0</v>
      </c>
      <c r="I139" s="11">
        <f t="shared" si="83"/>
        <v>500</v>
      </c>
      <c r="J139" s="11">
        <f t="shared" si="83"/>
        <v>50</v>
      </c>
      <c r="K139" s="11">
        <f t="shared" si="83"/>
        <v>500</v>
      </c>
      <c r="L139" s="11">
        <f t="shared" si="83"/>
        <v>0</v>
      </c>
      <c r="M139" s="11">
        <f t="shared" si="83"/>
        <v>0</v>
      </c>
      <c r="N139" s="7" t="e">
        <f t="shared" si="47"/>
        <v>#DIV/0!</v>
      </c>
    </row>
    <row r="140" spans="1:14" ht="15.75" hidden="1">
      <c r="A140" s="31" t="s">
        <v>327</v>
      </c>
      <c r="B140" s="42" t="s">
        <v>471</v>
      </c>
      <c r="C140" s="42" t="s">
        <v>317</v>
      </c>
      <c r="D140" s="42" t="s">
        <v>171</v>
      </c>
      <c r="E140" s="42" t="s">
        <v>328</v>
      </c>
      <c r="F140" s="42"/>
      <c r="G140" s="11">
        <f>'Прил.№4 ведомств.'!G609</f>
        <v>0</v>
      </c>
      <c r="H140" s="11">
        <f>'Прил.№4 ведомств.'!I609</f>
        <v>0</v>
      </c>
      <c r="I140" s="11">
        <f>'Прил.№4 ведомств.'!J609</f>
        <v>500</v>
      </c>
      <c r="J140" s="11">
        <f>'Прил.№4 ведомств.'!K609</f>
        <v>50</v>
      </c>
      <c r="K140" s="11">
        <f>'Прил.№4 ведомств.'!L609</f>
        <v>500</v>
      </c>
      <c r="L140" s="11">
        <f>'Прил.№4 ведомств.'!M609</f>
        <v>0</v>
      </c>
      <c r="M140" s="11">
        <f>'Прил.№4 ведомств.'!N609</f>
        <v>0</v>
      </c>
      <c r="N140" s="7" t="e">
        <f t="shared" ref="N140:N203" si="84">M140/L140*100</f>
        <v>#DIV/0!</v>
      </c>
    </row>
    <row r="141" spans="1:14" ht="31.5">
      <c r="A141" s="70" t="s">
        <v>871</v>
      </c>
      <c r="B141" s="21" t="s">
        <v>874</v>
      </c>
      <c r="C141" s="21" t="s">
        <v>317</v>
      </c>
      <c r="D141" s="21" t="s">
        <v>171</v>
      </c>
      <c r="E141" s="21"/>
      <c r="F141" s="21"/>
      <c r="G141" s="11">
        <f>G142</f>
        <v>0</v>
      </c>
      <c r="H141" s="11">
        <f t="shared" ref="H141:M142" si="85">H142</f>
        <v>0</v>
      </c>
      <c r="I141" s="11">
        <f t="shared" si="85"/>
        <v>3468.9</v>
      </c>
      <c r="J141" s="11">
        <f t="shared" si="85"/>
        <v>3468.9</v>
      </c>
      <c r="K141" s="11">
        <f t="shared" si="85"/>
        <v>3468.9</v>
      </c>
      <c r="L141" s="11">
        <f t="shared" si="85"/>
        <v>3468.9</v>
      </c>
      <c r="M141" s="11">
        <f t="shared" si="85"/>
        <v>3000</v>
      </c>
      <c r="N141" s="7">
        <f t="shared" si="84"/>
        <v>86.482746692034937</v>
      </c>
    </row>
    <row r="142" spans="1:14" ht="31.5">
      <c r="A142" s="31" t="s">
        <v>325</v>
      </c>
      <c r="B142" s="21" t="s">
        <v>874</v>
      </c>
      <c r="C142" s="21" t="s">
        <v>317</v>
      </c>
      <c r="D142" s="21" t="s">
        <v>171</v>
      </c>
      <c r="E142" s="21" t="s">
        <v>326</v>
      </c>
      <c r="F142" s="21"/>
      <c r="G142" s="11">
        <f>G143</f>
        <v>0</v>
      </c>
      <c r="H142" s="11">
        <f t="shared" si="85"/>
        <v>0</v>
      </c>
      <c r="I142" s="11">
        <f t="shared" si="85"/>
        <v>3468.9</v>
      </c>
      <c r="J142" s="11">
        <f t="shared" si="85"/>
        <v>3468.9</v>
      </c>
      <c r="K142" s="11">
        <f t="shared" si="85"/>
        <v>3468.9</v>
      </c>
      <c r="L142" s="11">
        <f t="shared" si="85"/>
        <v>3468.9</v>
      </c>
      <c r="M142" s="11">
        <f t="shared" si="85"/>
        <v>3000</v>
      </c>
      <c r="N142" s="7">
        <f t="shared" si="84"/>
        <v>86.482746692034937</v>
      </c>
    </row>
    <row r="143" spans="1:14" ht="15.75">
      <c r="A143" s="258" t="s">
        <v>327</v>
      </c>
      <c r="B143" s="21" t="s">
        <v>874</v>
      </c>
      <c r="C143" s="21" t="s">
        <v>317</v>
      </c>
      <c r="D143" s="21" t="s">
        <v>171</v>
      </c>
      <c r="E143" s="21" t="s">
        <v>328</v>
      </c>
      <c r="F143" s="21"/>
      <c r="G143" s="11">
        <f>'Прил.№4 ведомств.'!G612</f>
        <v>0</v>
      </c>
      <c r="H143" s="11">
        <f>'Прил.№4 ведомств.'!I612</f>
        <v>0</v>
      </c>
      <c r="I143" s="11">
        <f>'Прил.№4 ведомств.'!J612</f>
        <v>3468.9</v>
      </c>
      <c r="J143" s="11">
        <f>'Прил.№4 ведомств.'!K612</f>
        <v>3468.9</v>
      </c>
      <c r="K143" s="11">
        <f>'Прил.№4 ведомств.'!L612</f>
        <v>3468.9</v>
      </c>
      <c r="L143" s="11">
        <f>'Прил.№4 ведомств.'!M612</f>
        <v>3468.9</v>
      </c>
      <c r="M143" s="11">
        <f>'Прил.№4 ведомств.'!N612</f>
        <v>3000</v>
      </c>
      <c r="N143" s="7">
        <f t="shared" si="84"/>
        <v>86.482746692034937</v>
      </c>
    </row>
    <row r="144" spans="1:14" ht="47.25">
      <c r="A144" s="70" t="s">
        <v>880</v>
      </c>
      <c r="B144" s="21" t="s">
        <v>875</v>
      </c>
      <c r="C144" s="21" t="s">
        <v>317</v>
      </c>
      <c r="D144" s="21" t="s">
        <v>171</v>
      </c>
      <c r="E144" s="21"/>
      <c r="F144" s="21"/>
      <c r="G144" s="11">
        <f>G145</f>
        <v>0</v>
      </c>
      <c r="H144" s="11">
        <f t="shared" ref="H144:M145" si="86">H145</f>
        <v>0</v>
      </c>
      <c r="I144" s="11">
        <f t="shared" si="86"/>
        <v>1230.5999999999999</v>
      </c>
      <c r="J144" s="11">
        <f t="shared" si="86"/>
        <v>1230.5999999999999</v>
      </c>
      <c r="K144" s="11">
        <f t="shared" si="86"/>
        <v>1230.5999999999999</v>
      </c>
      <c r="L144" s="11">
        <f t="shared" si="86"/>
        <v>1230.5999999999999</v>
      </c>
      <c r="M144" s="11">
        <f t="shared" si="86"/>
        <v>335</v>
      </c>
      <c r="N144" s="7">
        <f t="shared" si="84"/>
        <v>27.22249309280026</v>
      </c>
    </row>
    <row r="145" spans="1:14" ht="31.5">
      <c r="A145" s="31" t="s">
        <v>325</v>
      </c>
      <c r="B145" s="21" t="s">
        <v>875</v>
      </c>
      <c r="C145" s="21" t="s">
        <v>317</v>
      </c>
      <c r="D145" s="21" t="s">
        <v>171</v>
      </c>
      <c r="E145" s="21" t="s">
        <v>326</v>
      </c>
      <c r="F145" s="21"/>
      <c r="G145" s="11">
        <f>G146</f>
        <v>0</v>
      </c>
      <c r="H145" s="11">
        <f t="shared" si="86"/>
        <v>0</v>
      </c>
      <c r="I145" s="11">
        <f t="shared" si="86"/>
        <v>1230.5999999999999</v>
      </c>
      <c r="J145" s="11">
        <f t="shared" si="86"/>
        <v>1230.5999999999999</v>
      </c>
      <c r="K145" s="11">
        <f t="shared" si="86"/>
        <v>1230.5999999999999</v>
      </c>
      <c r="L145" s="11">
        <f t="shared" si="86"/>
        <v>1230.5999999999999</v>
      </c>
      <c r="M145" s="11">
        <f t="shared" si="86"/>
        <v>335</v>
      </c>
      <c r="N145" s="7">
        <f t="shared" si="84"/>
        <v>27.22249309280026</v>
      </c>
    </row>
    <row r="146" spans="1:14" ht="15.75">
      <c r="A146" s="258" t="s">
        <v>327</v>
      </c>
      <c r="B146" s="21" t="s">
        <v>875</v>
      </c>
      <c r="C146" s="21" t="s">
        <v>317</v>
      </c>
      <c r="D146" s="21" t="s">
        <v>171</v>
      </c>
      <c r="E146" s="21" t="s">
        <v>328</v>
      </c>
      <c r="F146" s="21"/>
      <c r="G146" s="11">
        <f>'Прил.№4 ведомств.'!G615</f>
        <v>0</v>
      </c>
      <c r="H146" s="11">
        <f>'Прил.№4 ведомств.'!I615</f>
        <v>0</v>
      </c>
      <c r="I146" s="11">
        <f>'Прил.№4 ведомств.'!J615</f>
        <v>1230.5999999999999</v>
      </c>
      <c r="J146" s="11">
        <f>'Прил.№4 ведомств.'!K615</f>
        <v>1230.5999999999999</v>
      </c>
      <c r="K146" s="11">
        <f>'Прил.№4 ведомств.'!L615</f>
        <v>1230.5999999999999</v>
      </c>
      <c r="L146" s="11">
        <f>'Прил.№4 ведомств.'!M615</f>
        <v>1230.5999999999999</v>
      </c>
      <c r="M146" s="11">
        <f>'Прил.№4 ведомств.'!N615</f>
        <v>335</v>
      </c>
      <c r="N146" s="7">
        <f t="shared" si="84"/>
        <v>27.22249309280026</v>
      </c>
    </row>
    <row r="147" spans="1:14" ht="31.5">
      <c r="A147" s="31" t="s">
        <v>457</v>
      </c>
      <c r="B147" s="42" t="s">
        <v>466</v>
      </c>
      <c r="C147" s="42" t="s">
        <v>317</v>
      </c>
      <c r="D147" s="42" t="s">
        <v>268</v>
      </c>
      <c r="E147" s="42"/>
      <c r="F147" s="42" t="s">
        <v>716</v>
      </c>
      <c r="G147" s="11">
        <f>G122</f>
        <v>7875</v>
      </c>
      <c r="H147" s="11">
        <f t="shared" ref="H147:L147" si="87">H122</f>
        <v>7875</v>
      </c>
      <c r="I147" s="11">
        <f t="shared" si="87"/>
        <v>25698.3</v>
      </c>
      <c r="J147" s="11">
        <f t="shared" si="87"/>
        <v>20018.3</v>
      </c>
      <c r="K147" s="11">
        <f t="shared" si="87"/>
        <v>13968.3</v>
      </c>
      <c r="L147" s="11">
        <f t="shared" si="87"/>
        <v>10068.300000000001</v>
      </c>
      <c r="M147" s="11">
        <f t="shared" ref="M147" si="88">M122</f>
        <v>5435</v>
      </c>
      <c r="N147" s="7">
        <f t="shared" si="84"/>
        <v>53.981307668623302</v>
      </c>
    </row>
    <row r="148" spans="1:14" ht="31.5">
      <c r="A148" s="43" t="s">
        <v>484</v>
      </c>
      <c r="B148" s="8" t="s">
        <v>485</v>
      </c>
      <c r="C148" s="8"/>
      <c r="D148" s="8"/>
      <c r="E148" s="8"/>
      <c r="F148" s="8"/>
      <c r="G148" s="4">
        <f>G169</f>
        <v>6675.4</v>
      </c>
      <c r="H148" s="4">
        <f t="shared" ref="H148:L148" si="89">H169</f>
        <v>6675.3666666666659</v>
      </c>
      <c r="I148" s="4">
        <f t="shared" si="89"/>
        <v>16647.800000000003</v>
      </c>
      <c r="J148" s="4">
        <f t="shared" si="89"/>
        <v>11746.7</v>
      </c>
      <c r="K148" s="4">
        <f t="shared" si="89"/>
        <v>9246.7000000000007</v>
      </c>
      <c r="L148" s="4">
        <f t="shared" si="89"/>
        <v>6615.9</v>
      </c>
      <c r="M148" s="4">
        <f t="shared" ref="M148" si="90">M169</f>
        <v>3767.1</v>
      </c>
      <c r="N148" s="4">
        <f t="shared" si="84"/>
        <v>56.940098852763796</v>
      </c>
    </row>
    <row r="149" spans="1:14" ht="70.5" hidden="1" customHeight="1">
      <c r="A149" s="31" t="s">
        <v>660</v>
      </c>
      <c r="B149" s="42" t="s">
        <v>666</v>
      </c>
      <c r="C149" s="42" t="s">
        <v>317</v>
      </c>
      <c r="D149" s="42" t="s">
        <v>266</v>
      </c>
      <c r="E149" s="42"/>
      <c r="F149" s="42"/>
      <c r="G149" s="11">
        <f>G150</f>
        <v>0</v>
      </c>
      <c r="H149" s="11">
        <f t="shared" ref="H149:M149" si="91">H150</f>
        <v>0</v>
      </c>
      <c r="I149" s="11">
        <f t="shared" si="91"/>
        <v>0</v>
      </c>
      <c r="J149" s="11">
        <f t="shared" si="91"/>
        <v>0</v>
      </c>
      <c r="K149" s="11">
        <f t="shared" si="91"/>
        <v>0</v>
      </c>
      <c r="L149" s="11">
        <f t="shared" si="91"/>
        <v>0</v>
      </c>
      <c r="M149" s="11">
        <f t="shared" si="91"/>
        <v>0</v>
      </c>
      <c r="N149" s="4" t="e">
        <f t="shared" si="84"/>
        <v>#DIV/0!</v>
      </c>
    </row>
    <row r="150" spans="1:14" ht="31.5" hidden="1">
      <c r="A150" s="31" t="s">
        <v>325</v>
      </c>
      <c r="B150" s="42" t="s">
        <v>666</v>
      </c>
      <c r="C150" s="42" t="s">
        <v>317</v>
      </c>
      <c r="D150" s="42" t="s">
        <v>266</v>
      </c>
      <c r="E150" s="42" t="s">
        <v>326</v>
      </c>
      <c r="F150" s="42"/>
      <c r="G150" s="11">
        <f>G152</f>
        <v>0</v>
      </c>
      <c r="H150" s="11">
        <f t="shared" ref="H150:L150" si="92">H152</f>
        <v>0</v>
      </c>
      <c r="I150" s="11">
        <f t="shared" si="92"/>
        <v>0</v>
      </c>
      <c r="J150" s="11">
        <f t="shared" si="92"/>
        <v>0</v>
      </c>
      <c r="K150" s="11">
        <f t="shared" si="92"/>
        <v>0</v>
      </c>
      <c r="L150" s="11">
        <f t="shared" si="92"/>
        <v>0</v>
      </c>
      <c r="M150" s="11">
        <f t="shared" ref="M150" si="93">M152</f>
        <v>0</v>
      </c>
      <c r="N150" s="4" t="e">
        <f t="shared" si="84"/>
        <v>#DIV/0!</v>
      </c>
    </row>
    <row r="151" spans="1:14" ht="18.75" hidden="1" customHeight="1">
      <c r="A151" s="31" t="s">
        <v>327</v>
      </c>
      <c r="B151" s="42" t="s">
        <v>666</v>
      </c>
      <c r="C151" s="42" t="s">
        <v>317</v>
      </c>
      <c r="D151" s="42" t="s">
        <v>266</v>
      </c>
      <c r="E151" s="42" t="s">
        <v>328</v>
      </c>
      <c r="F151" s="42"/>
      <c r="G151" s="11"/>
      <c r="H151" s="11"/>
      <c r="I151" s="11"/>
      <c r="J151" s="11"/>
      <c r="K151" s="11"/>
      <c r="L151" s="11"/>
      <c r="M151" s="11"/>
      <c r="N151" s="4" t="e">
        <f t="shared" si="84"/>
        <v>#DIV/0!</v>
      </c>
    </row>
    <row r="152" spans="1:14" ht="31.5" hidden="1">
      <c r="A152" s="31" t="s">
        <v>457</v>
      </c>
      <c r="B152" s="42" t="s">
        <v>666</v>
      </c>
      <c r="C152" s="42" t="s">
        <v>317</v>
      </c>
      <c r="D152" s="42" t="s">
        <v>266</v>
      </c>
      <c r="E152" s="42"/>
      <c r="F152" s="42" t="s">
        <v>716</v>
      </c>
      <c r="G152" s="11"/>
      <c r="H152" s="11"/>
      <c r="I152" s="11"/>
      <c r="J152" s="11"/>
      <c r="K152" s="11"/>
      <c r="L152" s="11"/>
      <c r="M152" s="11"/>
      <c r="N152" s="4" t="e">
        <f t="shared" si="84"/>
        <v>#DIV/0!</v>
      </c>
    </row>
    <row r="153" spans="1:14" ht="47.25" hidden="1">
      <c r="A153" s="26" t="s">
        <v>486</v>
      </c>
      <c r="B153" s="42" t="s">
        <v>487</v>
      </c>
      <c r="C153" s="42" t="s">
        <v>317</v>
      </c>
      <c r="D153" s="42" t="s">
        <v>266</v>
      </c>
      <c r="E153" s="42"/>
      <c r="F153" s="42"/>
      <c r="G153" s="11">
        <f>G154</f>
        <v>0</v>
      </c>
      <c r="H153" s="11">
        <f t="shared" ref="H153:M154" si="94">H154</f>
        <v>0</v>
      </c>
      <c r="I153" s="11">
        <f t="shared" si="94"/>
        <v>0</v>
      </c>
      <c r="J153" s="11">
        <f t="shared" si="94"/>
        <v>0</v>
      </c>
      <c r="K153" s="11">
        <f t="shared" si="94"/>
        <v>0</v>
      </c>
      <c r="L153" s="11">
        <f t="shared" si="94"/>
        <v>0</v>
      </c>
      <c r="M153" s="11">
        <f t="shared" si="94"/>
        <v>0</v>
      </c>
      <c r="N153" s="4" t="e">
        <f t="shared" si="84"/>
        <v>#DIV/0!</v>
      </c>
    </row>
    <row r="154" spans="1:14" ht="31.5" hidden="1">
      <c r="A154" s="31" t="s">
        <v>325</v>
      </c>
      <c r="B154" s="42" t="s">
        <v>487</v>
      </c>
      <c r="C154" s="42" t="s">
        <v>317</v>
      </c>
      <c r="D154" s="42" t="s">
        <v>266</v>
      </c>
      <c r="E154" s="42" t="s">
        <v>326</v>
      </c>
      <c r="F154" s="42"/>
      <c r="G154" s="11">
        <f>G155</f>
        <v>0</v>
      </c>
      <c r="H154" s="11">
        <f t="shared" si="94"/>
        <v>0</v>
      </c>
      <c r="I154" s="11">
        <f t="shared" si="94"/>
        <v>0</v>
      </c>
      <c r="J154" s="11">
        <f t="shared" si="94"/>
        <v>0</v>
      </c>
      <c r="K154" s="11">
        <f t="shared" si="94"/>
        <v>0</v>
      </c>
      <c r="L154" s="11">
        <f t="shared" si="94"/>
        <v>0</v>
      </c>
      <c r="M154" s="11">
        <f t="shared" si="94"/>
        <v>0</v>
      </c>
      <c r="N154" s="4" t="e">
        <f t="shared" si="84"/>
        <v>#DIV/0!</v>
      </c>
    </row>
    <row r="155" spans="1:14" ht="15.75" hidden="1">
      <c r="A155" s="31" t="s">
        <v>327</v>
      </c>
      <c r="B155" s="42" t="s">
        <v>487</v>
      </c>
      <c r="C155" s="42" t="s">
        <v>317</v>
      </c>
      <c r="D155" s="42" t="s">
        <v>266</v>
      </c>
      <c r="E155" s="42" t="s">
        <v>328</v>
      </c>
      <c r="F155" s="42"/>
      <c r="G155" s="11"/>
      <c r="H155" s="11"/>
      <c r="I155" s="11"/>
      <c r="J155" s="11"/>
      <c r="K155" s="11"/>
      <c r="L155" s="11"/>
      <c r="M155" s="11"/>
      <c r="N155" s="4" t="e">
        <f t="shared" si="84"/>
        <v>#DIV/0!</v>
      </c>
    </row>
    <row r="156" spans="1:14" ht="54.75" hidden="1" customHeight="1">
      <c r="A156" s="31" t="s">
        <v>457</v>
      </c>
      <c r="B156" s="42" t="s">
        <v>487</v>
      </c>
      <c r="C156" s="42" t="s">
        <v>317</v>
      </c>
      <c r="D156" s="42" t="s">
        <v>266</v>
      </c>
      <c r="E156" s="42"/>
      <c r="F156" s="42" t="s">
        <v>716</v>
      </c>
      <c r="G156" s="11">
        <f>G153</f>
        <v>0</v>
      </c>
      <c r="H156" s="11">
        <f t="shared" ref="H156:L156" si="95">H153</f>
        <v>0</v>
      </c>
      <c r="I156" s="11">
        <f t="shared" si="95"/>
        <v>0</v>
      </c>
      <c r="J156" s="11">
        <f t="shared" si="95"/>
        <v>0</v>
      </c>
      <c r="K156" s="11">
        <f t="shared" si="95"/>
        <v>0</v>
      </c>
      <c r="L156" s="11">
        <f t="shared" si="95"/>
        <v>0</v>
      </c>
      <c r="M156" s="11">
        <f t="shared" ref="M156" si="96">M153</f>
        <v>0</v>
      </c>
      <c r="N156" s="4" t="e">
        <f t="shared" si="84"/>
        <v>#DIV/0!</v>
      </c>
    </row>
    <row r="157" spans="1:14" ht="31.5" hidden="1">
      <c r="A157" s="26" t="s">
        <v>488</v>
      </c>
      <c r="B157" s="21" t="s">
        <v>489</v>
      </c>
      <c r="C157" s="42" t="s">
        <v>317</v>
      </c>
      <c r="D157" s="42" t="s">
        <v>266</v>
      </c>
      <c r="E157" s="42"/>
      <c r="F157" s="42"/>
      <c r="G157" s="11">
        <f>G158</f>
        <v>0</v>
      </c>
      <c r="H157" s="11">
        <f t="shared" ref="H157:M158" si="97">H158</f>
        <v>0</v>
      </c>
      <c r="I157" s="11">
        <f t="shared" si="97"/>
        <v>0</v>
      </c>
      <c r="J157" s="11">
        <f t="shared" si="97"/>
        <v>0</v>
      </c>
      <c r="K157" s="11">
        <f t="shared" si="97"/>
        <v>0</v>
      </c>
      <c r="L157" s="11">
        <f t="shared" si="97"/>
        <v>0</v>
      </c>
      <c r="M157" s="11">
        <f t="shared" si="97"/>
        <v>0</v>
      </c>
      <c r="N157" s="4" t="e">
        <f t="shared" si="84"/>
        <v>#DIV/0!</v>
      </c>
    </row>
    <row r="158" spans="1:14" ht="65.25" hidden="1" customHeight="1">
      <c r="A158" s="26" t="s">
        <v>325</v>
      </c>
      <c r="B158" s="21" t="s">
        <v>489</v>
      </c>
      <c r="C158" s="42" t="s">
        <v>317</v>
      </c>
      <c r="D158" s="42" t="s">
        <v>266</v>
      </c>
      <c r="E158" s="42" t="s">
        <v>326</v>
      </c>
      <c r="F158" s="42"/>
      <c r="G158" s="11">
        <f>G159</f>
        <v>0</v>
      </c>
      <c r="H158" s="11">
        <f t="shared" si="97"/>
        <v>0</v>
      </c>
      <c r="I158" s="11">
        <f t="shared" si="97"/>
        <v>0</v>
      </c>
      <c r="J158" s="11">
        <f t="shared" si="97"/>
        <v>0</v>
      </c>
      <c r="K158" s="11">
        <f t="shared" si="97"/>
        <v>0</v>
      </c>
      <c r="L158" s="11">
        <f t="shared" si="97"/>
        <v>0</v>
      </c>
      <c r="M158" s="11">
        <f t="shared" si="97"/>
        <v>0</v>
      </c>
      <c r="N158" s="4" t="e">
        <f t="shared" si="84"/>
        <v>#DIV/0!</v>
      </c>
    </row>
    <row r="159" spans="1:14" ht="15.75" hidden="1">
      <c r="A159" s="26" t="s">
        <v>327</v>
      </c>
      <c r="B159" s="21" t="s">
        <v>489</v>
      </c>
      <c r="C159" s="42" t="s">
        <v>317</v>
      </c>
      <c r="D159" s="42" t="s">
        <v>266</v>
      </c>
      <c r="E159" s="42" t="s">
        <v>328</v>
      </c>
      <c r="F159" s="42"/>
      <c r="G159" s="11"/>
      <c r="H159" s="11"/>
      <c r="I159" s="11"/>
      <c r="J159" s="11"/>
      <c r="K159" s="11"/>
      <c r="L159" s="11"/>
      <c r="M159" s="11"/>
      <c r="N159" s="4" t="e">
        <f t="shared" si="84"/>
        <v>#DIV/0!</v>
      </c>
    </row>
    <row r="160" spans="1:14" ht="31.5" hidden="1">
      <c r="A160" s="31" t="s">
        <v>457</v>
      </c>
      <c r="B160" s="21" t="s">
        <v>489</v>
      </c>
      <c r="C160" s="42" t="s">
        <v>317</v>
      </c>
      <c r="D160" s="42" t="s">
        <v>266</v>
      </c>
      <c r="E160" s="42"/>
      <c r="F160" s="42" t="s">
        <v>716</v>
      </c>
      <c r="G160" s="11">
        <f>G157</f>
        <v>0</v>
      </c>
      <c r="H160" s="11">
        <f t="shared" ref="H160:L160" si="98">H157</f>
        <v>0</v>
      </c>
      <c r="I160" s="11">
        <f t="shared" si="98"/>
        <v>0</v>
      </c>
      <c r="J160" s="11">
        <f t="shared" si="98"/>
        <v>0</v>
      </c>
      <c r="K160" s="11">
        <f t="shared" si="98"/>
        <v>0</v>
      </c>
      <c r="L160" s="11">
        <f t="shared" si="98"/>
        <v>0</v>
      </c>
      <c r="M160" s="11">
        <f t="shared" ref="M160" si="99">M157</f>
        <v>0</v>
      </c>
      <c r="N160" s="4" t="e">
        <f t="shared" si="84"/>
        <v>#DIV/0!</v>
      </c>
    </row>
    <row r="161" spans="1:14" ht="47.25" hidden="1">
      <c r="A161" s="26" t="s">
        <v>492</v>
      </c>
      <c r="B161" s="21" t="s">
        <v>493</v>
      </c>
      <c r="C161" s="42" t="s">
        <v>317</v>
      </c>
      <c r="D161" s="42" t="s">
        <v>266</v>
      </c>
      <c r="E161" s="42"/>
      <c r="F161" s="42"/>
      <c r="G161" s="11">
        <f>G162</f>
        <v>0</v>
      </c>
      <c r="H161" s="11">
        <f t="shared" ref="H161:M162" si="100">H162</f>
        <v>0</v>
      </c>
      <c r="I161" s="11">
        <f t="shared" si="100"/>
        <v>0</v>
      </c>
      <c r="J161" s="11">
        <f t="shared" si="100"/>
        <v>0</v>
      </c>
      <c r="K161" s="11">
        <f t="shared" si="100"/>
        <v>0</v>
      </c>
      <c r="L161" s="11">
        <f t="shared" si="100"/>
        <v>0</v>
      </c>
      <c r="M161" s="11">
        <f t="shared" si="100"/>
        <v>0</v>
      </c>
      <c r="N161" s="4" t="e">
        <f t="shared" si="84"/>
        <v>#DIV/0!</v>
      </c>
    </row>
    <row r="162" spans="1:14" ht="31.5" hidden="1">
      <c r="A162" s="31" t="s">
        <v>325</v>
      </c>
      <c r="B162" s="21" t="s">
        <v>493</v>
      </c>
      <c r="C162" s="42" t="s">
        <v>317</v>
      </c>
      <c r="D162" s="42" t="s">
        <v>266</v>
      </c>
      <c r="E162" s="42" t="s">
        <v>326</v>
      </c>
      <c r="F162" s="42"/>
      <c r="G162" s="11">
        <f>G163</f>
        <v>0</v>
      </c>
      <c r="H162" s="11">
        <f t="shared" si="100"/>
        <v>0</v>
      </c>
      <c r="I162" s="11">
        <f t="shared" si="100"/>
        <v>0</v>
      </c>
      <c r="J162" s="11">
        <f t="shared" si="100"/>
        <v>0</v>
      </c>
      <c r="K162" s="11">
        <f t="shared" si="100"/>
        <v>0</v>
      </c>
      <c r="L162" s="11">
        <f t="shared" si="100"/>
        <v>0</v>
      </c>
      <c r="M162" s="11">
        <f t="shared" si="100"/>
        <v>0</v>
      </c>
      <c r="N162" s="4" t="e">
        <f t="shared" si="84"/>
        <v>#DIV/0!</v>
      </c>
    </row>
    <row r="163" spans="1:14" ht="15.75" hidden="1">
      <c r="A163" s="31" t="s">
        <v>327</v>
      </c>
      <c r="B163" s="21" t="s">
        <v>493</v>
      </c>
      <c r="C163" s="42" t="s">
        <v>317</v>
      </c>
      <c r="D163" s="42" t="s">
        <v>266</v>
      </c>
      <c r="E163" s="42" t="s">
        <v>328</v>
      </c>
      <c r="F163" s="42"/>
      <c r="G163" s="11"/>
      <c r="H163" s="11"/>
      <c r="I163" s="11"/>
      <c r="J163" s="11"/>
      <c r="K163" s="11"/>
      <c r="L163" s="11"/>
      <c r="M163" s="11"/>
      <c r="N163" s="4" t="e">
        <f t="shared" si="84"/>
        <v>#DIV/0!</v>
      </c>
    </row>
    <row r="164" spans="1:14" ht="31.5" hidden="1">
      <c r="A164" s="31" t="s">
        <v>457</v>
      </c>
      <c r="B164" s="21" t="s">
        <v>493</v>
      </c>
      <c r="C164" s="42" t="s">
        <v>317</v>
      </c>
      <c r="D164" s="42" t="s">
        <v>266</v>
      </c>
      <c r="E164" s="42"/>
      <c r="F164" s="42" t="s">
        <v>716</v>
      </c>
      <c r="G164" s="11">
        <f>G163</f>
        <v>0</v>
      </c>
      <c r="H164" s="11">
        <f t="shared" ref="H164:L164" si="101">H163</f>
        <v>0</v>
      </c>
      <c r="I164" s="11">
        <f t="shared" si="101"/>
        <v>0</v>
      </c>
      <c r="J164" s="11">
        <f t="shared" si="101"/>
        <v>0</v>
      </c>
      <c r="K164" s="11">
        <f t="shared" si="101"/>
        <v>0</v>
      </c>
      <c r="L164" s="11">
        <f t="shared" si="101"/>
        <v>0</v>
      </c>
      <c r="M164" s="11">
        <f t="shared" ref="M164" si="102">M163</f>
        <v>0</v>
      </c>
      <c r="N164" s="4" t="e">
        <f t="shared" si="84"/>
        <v>#DIV/0!</v>
      </c>
    </row>
    <row r="165" spans="1:14" ht="31.5" hidden="1">
      <c r="A165" s="26" t="s">
        <v>669</v>
      </c>
      <c r="B165" s="21" t="s">
        <v>496</v>
      </c>
      <c r="C165" s="42" t="s">
        <v>317</v>
      </c>
      <c r="D165" s="42" t="s">
        <v>266</v>
      </c>
      <c r="E165" s="42"/>
      <c r="F165" s="42"/>
      <c r="G165" s="11">
        <f>G166</f>
        <v>0</v>
      </c>
      <c r="H165" s="11">
        <f t="shared" ref="H165:M166" si="103">H166</f>
        <v>0</v>
      </c>
      <c r="I165" s="11">
        <f t="shared" si="103"/>
        <v>0</v>
      </c>
      <c r="J165" s="11">
        <f t="shared" si="103"/>
        <v>0</v>
      </c>
      <c r="K165" s="11">
        <f t="shared" si="103"/>
        <v>0</v>
      </c>
      <c r="L165" s="11">
        <f t="shared" si="103"/>
        <v>0</v>
      </c>
      <c r="M165" s="11">
        <f t="shared" si="103"/>
        <v>0</v>
      </c>
      <c r="N165" s="4" t="e">
        <f t="shared" si="84"/>
        <v>#DIV/0!</v>
      </c>
    </row>
    <row r="166" spans="1:14" ht="31.5" hidden="1">
      <c r="A166" s="26" t="s">
        <v>325</v>
      </c>
      <c r="B166" s="21" t="s">
        <v>496</v>
      </c>
      <c r="C166" s="42" t="s">
        <v>317</v>
      </c>
      <c r="D166" s="42" t="s">
        <v>266</v>
      </c>
      <c r="E166" s="42" t="s">
        <v>326</v>
      </c>
      <c r="F166" s="42"/>
      <c r="G166" s="11">
        <f>G167</f>
        <v>0</v>
      </c>
      <c r="H166" s="11">
        <f t="shared" si="103"/>
        <v>0</v>
      </c>
      <c r="I166" s="11">
        <f t="shared" si="103"/>
        <v>0</v>
      </c>
      <c r="J166" s="11">
        <f t="shared" si="103"/>
        <v>0</v>
      </c>
      <c r="K166" s="11">
        <f t="shared" si="103"/>
        <v>0</v>
      </c>
      <c r="L166" s="11">
        <f t="shared" si="103"/>
        <v>0</v>
      </c>
      <c r="M166" s="11">
        <f t="shared" si="103"/>
        <v>0</v>
      </c>
      <c r="N166" s="4" t="e">
        <f t="shared" si="84"/>
        <v>#DIV/0!</v>
      </c>
    </row>
    <row r="167" spans="1:14" ht="15.75" hidden="1">
      <c r="A167" s="26" t="s">
        <v>327</v>
      </c>
      <c r="B167" s="21" t="s">
        <v>496</v>
      </c>
      <c r="C167" s="42" t="s">
        <v>317</v>
      </c>
      <c r="D167" s="42" t="s">
        <v>266</v>
      </c>
      <c r="E167" s="42" t="s">
        <v>328</v>
      </c>
      <c r="F167" s="42"/>
      <c r="G167" s="11"/>
      <c r="H167" s="11"/>
      <c r="I167" s="11"/>
      <c r="J167" s="11"/>
      <c r="K167" s="11"/>
      <c r="L167" s="11"/>
      <c r="M167" s="11"/>
      <c r="N167" s="4" t="e">
        <f t="shared" si="84"/>
        <v>#DIV/0!</v>
      </c>
    </row>
    <row r="168" spans="1:14" ht="31.5" hidden="1">
      <c r="A168" s="31" t="s">
        <v>457</v>
      </c>
      <c r="B168" s="21" t="s">
        <v>496</v>
      </c>
      <c r="C168" s="42" t="s">
        <v>317</v>
      </c>
      <c r="D168" s="42" t="s">
        <v>266</v>
      </c>
      <c r="E168" s="42"/>
      <c r="F168" s="42" t="s">
        <v>716</v>
      </c>
      <c r="G168" s="11">
        <f>G166</f>
        <v>0</v>
      </c>
      <c r="H168" s="11">
        <f t="shared" ref="H168:L168" si="104">H166</f>
        <v>0</v>
      </c>
      <c r="I168" s="11">
        <f t="shared" si="104"/>
        <v>0</v>
      </c>
      <c r="J168" s="11">
        <f t="shared" si="104"/>
        <v>0</v>
      </c>
      <c r="K168" s="11">
        <f t="shared" si="104"/>
        <v>0</v>
      </c>
      <c r="L168" s="11">
        <f t="shared" si="104"/>
        <v>0</v>
      </c>
      <c r="M168" s="11">
        <f t="shared" ref="M168" si="105">M166</f>
        <v>0</v>
      </c>
      <c r="N168" s="4" t="e">
        <f t="shared" si="84"/>
        <v>#DIV/0!</v>
      </c>
    </row>
    <row r="169" spans="1:14" ht="15.75">
      <c r="A169" s="31" t="s">
        <v>316</v>
      </c>
      <c r="B169" s="42" t="s">
        <v>485</v>
      </c>
      <c r="C169" s="42" t="s">
        <v>317</v>
      </c>
      <c r="D169" s="42"/>
      <c r="E169" s="42"/>
      <c r="F169" s="42"/>
      <c r="G169" s="11">
        <f>G170</f>
        <v>6675.4</v>
      </c>
      <c r="H169" s="11">
        <f t="shared" ref="H169:M169" si="106">H170</f>
        <v>6675.3666666666659</v>
      </c>
      <c r="I169" s="11">
        <f t="shared" si="106"/>
        <v>16647.800000000003</v>
      </c>
      <c r="J169" s="11">
        <f t="shared" si="106"/>
        <v>11746.7</v>
      </c>
      <c r="K169" s="11">
        <f t="shared" si="106"/>
        <v>9246.7000000000007</v>
      </c>
      <c r="L169" s="11">
        <f t="shared" si="106"/>
        <v>6615.9</v>
      </c>
      <c r="M169" s="11">
        <f t="shared" si="106"/>
        <v>3767.1</v>
      </c>
      <c r="N169" s="7">
        <f t="shared" si="84"/>
        <v>56.940098852763796</v>
      </c>
    </row>
    <row r="170" spans="1:14" ht="15.75">
      <c r="A170" s="31" t="s">
        <v>479</v>
      </c>
      <c r="B170" s="42" t="s">
        <v>485</v>
      </c>
      <c r="C170" s="42" t="s">
        <v>317</v>
      </c>
      <c r="D170" s="42" t="s">
        <v>266</v>
      </c>
      <c r="E170" s="42"/>
      <c r="F170" s="42"/>
      <c r="G170" s="11">
        <f>G171+G174+G186+G180+G189+G183+G192</f>
        <v>6675.4</v>
      </c>
      <c r="H170" s="11">
        <f t="shared" ref="H170:K170" si="107">H171+H174+H186+H180+H189+H183+H192</f>
        <v>6675.3666666666659</v>
      </c>
      <c r="I170" s="11">
        <f t="shared" si="107"/>
        <v>16647.800000000003</v>
      </c>
      <c r="J170" s="11">
        <f t="shared" si="107"/>
        <v>11746.7</v>
      </c>
      <c r="K170" s="11">
        <f t="shared" si="107"/>
        <v>9246.7000000000007</v>
      </c>
      <c r="L170" s="11">
        <f>L171+L174+L186+L180+L189+L183+L192+L177</f>
        <v>6615.9</v>
      </c>
      <c r="M170" s="11">
        <f t="shared" ref="M170" si="108">M171+M174+M186+M180+M189+M183+M192+M177</f>
        <v>3767.1</v>
      </c>
      <c r="N170" s="7">
        <f t="shared" si="84"/>
        <v>56.940098852763796</v>
      </c>
    </row>
    <row r="171" spans="1:14" ht="47.25">
      <c r="A171" s="31" t="s">
        <v>668</v>
      </c>
      <c r="B171" s="21" t="s">
        <v>491</v>
      </c>
      <c r="C171" s="42" t="s">
        <v>317</v>
      </c>
      <c r="D171" s="42" t="s">
        <v>266</v>
      </c>
      <c r="E171" s="42"/>
      <c r="F171" s="42"/>
      <c r="G171" s="11">
        <f>G172</f>
        <v>2690</v>
      </c>
      <c r="H171" s="11">
        <f t="shared" ref="H171:M172" si="109">H172</f>
        <v>2206.6666666666665</v>
      </c>
      <c r="I171" s="11">
        <f t="shared" si="109"/>
        <v>2967.9</v>
      </c>
      <c r="J171" s="11">
        <f t="shared" si="109"/>
        <v>2967.9</v>
      </c>
      <c r="K171" s="11">
        <f t="shared" si="109"/>
        <v>2967.9</v>
      </c>
      <c r="L171" s="11">
        <f t="shared" si="109"/>
        <v>2967.9</v>
      </c>
      <c r="M171" s="11">
        <f t="shared" si="109"/>
        <v>970</v>
      </c>
      <c r="N171" s="7">
        <f t="shared" si="84"/>
        <v>32.683041881465009</v>
      </c>
    </row>
    <row r="172" spans="1:14" ht="31.5">
      <c r="A172" s="31" t="s">
        <v>325</v>
      </c>
      <c r="B172" s="21" t="s">
        <v>491</v>
      </c>
      <c r="C172" s="42" t="s">
        <v>317</v>
      </c>
      <c r="D172" s="42" t="s">
        <v>266</v>
      </c>
      <c r="E172" s="42" t="s">
        <v>326</v>
      </c>
      <c r="F172" s="42"/>
      <c r="G172" s="11">
        <f>G173</f>
        <v>2690</v>
      </c>
      <c r="H172" s="11">
        <f t="shared" si="109"/>
        <v>2206.6666666666665</v>
      </c>
      <c r="I172" s="11">
        <f t="shared" si="109"/>
        <v>2967.9</v>
      </c>
      <c r="J172" s="11">
        <f t="shared" si="109"/>
        <v>2967.9</v>
      </c>
      <c r="K172" s="11">
        <f t="shared" si="109"/>
        <v>2967.9</v>
      </c>
      <c r="L172" s="11">
        <f t="shared" si="109"/>
        <v>2967.9</v>
      </c>
      <c r="M172" s="11">
        <f t="shared" si="109"/>
        <v>970</v>
      </c>
      <c r="N172" s="7">
        <f t="shared" si="84"/>
        <v>32.683041881465009</v>
      </c>
    </row>
    <row r="173" spans="1:14" ht="24" customHeight="1">
      <c r="A173" s="31" t="s">
        <v>327</v>
      </c>
      <c r="B173" s="21" t="s">
        <v>491</v>
      </c>
      <c r="C173" s="42" t="s">
        <v>317</v>
      </c>
      <c r="D173" s="42" t="s">
        <v>266</v>
      </c>
      <c r="E173" s="42" t="s">
        <v>328</v>
      </c>
      <c r="F173" s="42"/>
      <c r="G173" s="7">
        <f>'Прил.№4 ведомств.'!G651</f>
        <v>2690</v>
      </c>
      <c r="H173" s="7">
        <f>'Прил.№4 ведомств.'!I651</f>
        <v>2206.6666666666665</v>
      </c>
      <c r="I173" s="7">
        <f>'Прил.№4 ведомств.'!J651</f>
        <v>2967.9</v>
      </c>
      <c r="J173" s="7">
        <f>'Прил.№4 ведомств.'!K651</f>
        <v>2967.9</v>
      </c>
      <c r="K173" s="7">
        <f>'Прил.№4 ведомств.'!L651</f>
        <v>2967.9</v>
      </c>
      <c r="L173" s="7">
        <f>'Прил.№4 ведомств.'!M651</f>
        <v>2967.9</v>
      </c>
      <c r="M173" s="7">
        <f>'Прил.№4 ведомств.'!N651</f>
        <v>970</v>
      </c>
      <c r="N173" s="7">
        <f t="shared" si="84"/>
        <v>32.683041881465009</v>
      </c>
    </row>
    <row r="174" spans="1:14" ht="47.25">
      <c r="A174" s="26" t="s">
        <v>492</v>
      </c>
      <c r="B174" s="21" t="s">
        <v>493</v>
      </c>
      <c r="C174" s="42" t="s">
        <v>317</v>
      </c>
      <c r="D174" s="42" t="s">
        <v>266</v>
      </c>
      <c r="E174" s="42"/>
      <c r="F174" s="42"/>
      <c r="G174" s="7">
        <f>G175</f>
        <v>320</v>
      </c>
      <c r="H174" s="7">
        <f t="shared" ref="H174:M175" si="110">H175</f>
        <v>803.3</v>
      </c>
      <c r="I174" s="7">
        <f t="shared" si="110"/>
        <v>320</v>
      </c>
      <c r="J174" s="7">
        <f t="shared" si="110"/>
        <v>320</v>
      </c>
      <c r="K174" s="7">
        <f t="shared" si="110"/>
        <v>320</v>
      </c>
      <c r="L174" s="7">
        <f t="shared" si="110"/>
        <v>320</v>
      </c>
      <c r="M174" s="7">
        <f t="shared" si="110"/>
        <v>182.3</v>
      </c>
      <c r="N174" s="7">
        <f t="shared" si="84"/>
        <v>56.96875</v>
      </c>
    </row>
    <row r="175" spans="1:14" ht="31.5">
      <c r="A175" s="26" t="s">
        <v>325</v>
      </c>
      <c r="B175" s="21" t="s">
        <v>493</v>
      </c>
      <c r="C175" s="42" t="s">
        <v>317</v>
      </c>
      <c r="D175" s="42" t="s">
        <v>266</v>
      </c>
      <c r="E175" s="42" t="s">
        <v>326</v>
      </c>
      <c r="F175" s="42"/>
      <c r="G175" s="7">
        <f>G176</f>
        <v>320</v>
      </c>
      <c r="H175" s="7">
        <f t="shared" si="110"/>
        <v>803.3</v>
      </c>
      <c r="I175" s="7">
        <f t="shared" si="110"/>
        <v>320</v>
      </c>
      <c r="J175" s="7">
        <f t="shared" si="110"/>
        <v>320</v>
      </c>
      <c r="K175" s="7">
        <f t="shared" si="110"/>
        <v>320</v>
      </c>
      <c r="L175" s="7">
        <f t="shared" si="110"/>
        <v>320</v>
      </c>
      <c r="M175" s="7">
        <f t="shared" si="110"/>
        <v>182.3</v>
      </c>
      <c r="N175" s="7">
        <f t="shared" si="84"/>
        <v>56.96875</v>
      </c>
    </row>
    <row r="176" spans="1:14" ht="15.75">
      <c r="A176" s="26" t="s">
        <v>327</v>
      </c>
      <c r="B176" s="21" t="s">
        <v>493</v>
      </c>
      <c r="C176" s="42" t="s">
        <v>317</v>
      </c>
      <c r="D176" s="42" t="s">
        <v>266</v>
      </c>
      <c r="E176" s="42" t="s">
        <v>328</v>
      </c>
      <c r="F176" s="42"/>
      <c r="G176" s="7">
        <f>'Прил.№4 ведомств.'!G654</f>
        <v>320</v>
      </c>
      <c r="H176" s="7">
        <f>'Прил.№4 ведомств.'!I654</f>
        <v>803.3</v>
      </c>
      <c r="I176" s="7">
        <f>'Прил.№4 ведомств.'!J654</f>
        <v>320</v>
      </c>
      <c r="J176" s="7">
        <f>'Прил.№4 ведомств.'!K654</f>
        <v>320</v>
      </c>
      <c r="K176" s="7">
        <f>'Прил.№4 ведомств.'!L654</f>
        <v>320</v>
      </c>
      <c r="L176" s="7">
        <f>'Прил.№4 ведомств.'!M654</f>
        <v>320</v>
      </c>
      <c r="M176" s="7">
        <f>'Прил.№4 ведомств.'!N654</f>
        <v>182.3</v>
      </c>
      <c r="N176" s="7">
        <f t="shared" si="84"/>
        <v>56.96875</v>
      </c>
    </row>
    <row r="177" spans="1:14" ht="47.25">
      <c r="A177" s="26" t="s">
        <v>994</v>
      </c>
      <c r="B177" s="21" t="s">
        <v>495</v>
      </c>
      <c r="C177" s="42" t="s">
        <v>317</v>
      </c>
      <c r="D177" s="42" t="s">
        <v>266</v>
      </c>
      <c r="E177" s="42"/>
      <c r="F177" s="42"/>
      <c r="G177" s="7"/>
      <c r="H177" s="7"/>
      <c r="I177" s="7"/>
      <c r="J177" s="7"/>
      <c r="K177" s="7"/>
      <c r="L177" s="7">
        <f>L178</f>
        <v>107</v>
      </c>
      <c r="M177" s="7">
        <f t="shared" ref="M177:M178" si="111">M178</f>
        <v>107</v>
      </c>
      <c r="N177" s="7">
        <f t="shared" si="84"/>
        <v>100</v>
      </c>
    </row>
    <row r="178" spans="1:14" ht="31.5">
      <c r="A178" s="26" t="s">
        <v>325</v>
      </c>
      <c r="B178" s="21" t="s">
        <v>495</v>
      </c>
      <c r="C178" s="42" t="s">
        <v>317</v>
      </c>
      <c r="D178" s="42" t="s">
        <v>266</v>
      </c>
      <c r="E178" s="42" t="s">
        <v>326</v>
      </c>
      <c r="F178" s="42"/>
      <c r="G178" s="7"/>
      <c r="H178" s="7"/>
      <c r="I178" s="7"/>
      <c r="J178" s="7"/>
      <c r="K178" s="7"/>
      <c r="L178" s="7">
        <f>L179</f>
        <v>107</v>
      </c>
      <c r="M178" s="7">
        <f t="shared" si="111"/>
        <v>107</v>
      </c>
      <c r="N178" s="7">
        <f t="shared" si="84"/>
        <v>100</v>
      </c>
    </row>
    <row r="179" spans="1:14" ht="15.75">
      <c r="A179" s="26" t="s">
        <v>327</v>
      </c>
      <c r="B179" s="21" t="s">
        <v>495</v>
      </c>
      <c r="C179" s="42" t="s">
        <v>317</v>
      </c>
      <c r="D179" s="42" t="s">
        <v>266</v>
      </c>
      <c r="E179" s="42" t="s">
        <v>328</v>
      </c>
      <c r="F179" s="42"/>
      <c r="G179" s="7"/>
      <c r="H179" s="7"/>
      <c r="I179" s="7"/>
      <c r="J179" s="7"/>
      <c r="K179" s="7"/>
      <c r="L179" s="7">
        <f>'Прил.№4 ведомств.'!M657</f>
        <v>107</v>
      </c>
      <c r="M179" s="7">
        <f>'Прил.№4 ведомств.'!N657</f>
        <v>107</v>
      </c>
      <c r="N179" s="7">
        <f t="shared" si="84"/>
        <v>100</v>
      </c>
    </row>
    <row r="180" spans="1:14" ht="31.5">
      <c r="A180" s="26" t="s">
        <v>331</v>
      </c>
      <c r="B180" s="42" t="s">
        <v>496</v>
      </c>
      <c r="C180" s="42" t="s">
        <v>317</v>
      </c>
      <c r="D180" s="42" t="s">
        <v>266</v>
      </c>
      <c r="E180" s="42"/>
      <c r="F180" s="42"/>
      <c r="G180" s="7">
        <f>G181</f>
        <v>3309</v>
      </c>
      <c r="H180" s="7">
        <f t="shared" ref="H180:M181" si="112">H181</f>
        <v>3309</v>
      </c>
      <c r="I180" s="7">
        <f t="shared" si="112"/>
        <v>8601.1</v>
      </c>
      <c r="J180" s="7">
        <f t="shared" si="112"/>
        <v>4500</v>
      </c>
      <c r="K180" s="7">
        <f t="shared" si="112"/>
        <v>2000</v>
      </c>
      <c r="L180" s="7">
        <f t="shared" si="112"/>
        <v>300</v>
      </c>
      <c r="M180" s="7">
        <f t="shared" si="112"/>
        <v>0</v>
      </c>
      <c r="N180" s="7">
        <f t="shared" si="84"/>
        <v>0</v>
      </c>
    </row>
    <row r="181" spans="1:14" ht="31.5">
      <c r="A181" s="26" t="s">
        <v>325</v>
      </c>
      <c r="B181" s="42" t="s">
        <v>496</v>
      </c>
      <c r="C181" s="42" t="s">
        <v>317</v>
      </c>
      <c r="D181" s="42" t="s">
        <v>266</v>
      </c>
      <c r="E181" s="42" t="s">
        <v>326</v>
      </c>
      <c r="F181" s="42"/>
      <c r="G181" s="7">
        <f>G182</f>
        <v>3309</v>
      </c>
      <c r="H181" s="7">
        <f t="shared" si="112"/>
        <v>3309</v>
      </c>
      <c r="I181" s="7">
        <f t="shared" si="112"/>
        <v>8601.1</v>
      </c>
      <c r="J181" s="7">
        <f t="shared" si="112"/>
        <v>4500</v>
      </c>
      <c r="K181" s="7">
        <f t="shared" si="112"/>
        <v>2000</v>
      </c>
      <c r="L181" s="7">
        <f t="shared" si="112"/>
        <v>300</v>
      </c>
      <c r="M181" s="7">
        <f t="shared" si="112"/>
        <v>0</v>
      </c>
      <c r="N181" s="7">
        <f t="shared" si="84"/>
        <v>0</v>
      </c>
    </row>
    <row r="182" spans="1:14" ht="15.75">
      <c r="A182" s="26" t="s">
        <v>327</v>
      </c>
      <c r="B182" s="42" t="s">
        <v>496</v>
      </c>
      <c r="C182" s="42" t="s">
        <v>317</v>
      </c>
      <c r="D182" s="42" t="s">
        <v>266</v>
      </c>
      <c r="E182" s="42" t="s">
        <v>328</v>
      </c>
      <c r="F182" s="42"/>
      <c r="G182" s="7">
        <f>'Прил.№4 ведомств.'!G660</f>
        <v>3309</v>
      </c>
      <c r="H182" s="7">
        <f>'Прил.№4 ведомств.'!I660</f>
        <v>3309</v>
      </c>
      <c r="I182" s="7">
        <f>'Прил.№4 ведомств.'!J660</f>
        <v>8601.1</v>
      </c>
      <c r="J182" s="7">
        <f>'Прил.№4 ведомств.'!K660</f>
        <v>4500</v>
      </c>
      <c r="K182" s="7">
        <f>'Прил.№4 ведомств.'!L660</f>
        <v>2000</v>
      </c>
      <c r="L182" s="7">
        <f>'Прил.№4 ведомств.'!M660</f>
        <v>300</v>
      </c>
      <c r="M182" s="7">
        <f>'Прил.№4 ведомств.'!N660</f>
        <v>0</v>
      </c>
      <c r="N182" s="7">
        <f t="shared" si="84"/>
        <v>0</v>
      </c>
    </row>
    <row r="183" spans="1:14" ht="31.5" hidden="1">
      <c r="A183" s="26" t="s">
        <v>333</v>
      </c>
      <c r="B183" s="42" t="s">
        <v>497</v>
      </c>
      <c r="C183" s="42" t="s">
        <v>317</v>
      </c>
      <c r="D183" s="42" t="s">
        <v>266</v>
      </c>
      <c r="E183" s="42"/>
      <c r="F183" s="42"/>
      <c r="G183" s="7">
        <f>G184</f>
        <v>0</v>
      </c>
      <c r="H183" s="7">
        <f t="shared" ref="H183:M184" si="113">H184</f>
        <v>0</v>
      </c>
      <c r="I183" s="7">
        <f t="shared" si="113"/>
        <v>1000</v>
      </c>
      <c r="J183" s="7">
        <f t="shared" si="113"/>
        <v>700</v>
      </c>
      <c r="K183" s="7">
        <f t="shared" si="113"/>
        <v>700</v>
      </c>
      <c r="L183" s="7">
        <f t="shared" si="113"/>
        <v>0</v>
      </c>
      <c r="M183" s="7">
        <f t="shared" si="113"/>
        <v>0</v>
      </c>
      <c r="N183" s="7" t="e">
        <f t="shared" si="84"/>
        <v>#DIV/0!</v>
      </c>
    </row>
    <row r="184" spans="1:14" ht="31.5" hidden="1">
      <c r="A184" s="26" t="s">
        <v>325</v>
      </c>
      <c r="B184" s="42" t="s">
        <v>497</v>
      </c>
      <c r="C184" s="42" t="s">
        <v>317</v>
      </c>
      <c r="D184" s="42" t="s">
        <v>266</v>
      </c>
      <c r="E184" s="42" t="s">
        <v>326</v>
      </c>
      <c r="F184" s="42"/>
      <c r="G184" s="7">
        <f>G185</f>
        <v>0</v>
      </c>
      <c r="H184" s="7">
        <f t="shared" si="113"/>
        <v>0</v>
      </c>
      <c r="I184" s="7">
        <f t="shared" si="113"/>
        <v>1000</v>
      </c>
      <c r="J184" s="7">
        <f t="shared" si="113"/>
        <v>700</v>
      </c>
      <c r="K184" s="7">
        <f t="shared" si="113"/>
        <v>700</v>
      </c>
      <c r="L184" s="7">
        <f t="shared" si="113"/>
        <v>0</v>
      </c>
      <c r="M184" s="7">
        <f t="shared" si="113"/>
        <v>0</v>
      </c>
      <c r="N184" s="7" t="e">
        <f t="shared" si="84"/>
        <v>#DIV/0!</v>
      </c>
    </row>
    <row r="185" spans="1:14" ht="15.75" hidden="1">
      <c r="A185" s="26" t="s">
        <v>327</v>
      </c>
      <c r="B185" s="42" t="s">
        <v>497</v>
      </c>
      <c r="C185" s="42" t="s">
        <v>317</v>
      </c>
      <c r="D185" s="42" t="s">
        <v>266</v>
      </c>
      <c r="E185" s="42" t="s">
        <v>328</v>
      </c>
      <c r="F185" s="42"/>
      <c r="G185" s="7">
        <f>'Прил.№4 ведомств.'!G663</f>
        <v>0</v>
      </c>
      <c r="H185" s="7">
        <f>'Прил.№4 ведомств.'!I663</f>
        <v>0</v>
      </c>
      <c r="I185" s="7">
        <f>'Прил.№4 ведомств.'!J663</f>
        <v>1000</v>
      </c>
      <c r="J185" s="7">
        <f>'Прил.№4 ведомств.'!K663</f>
        <v>700</v>
      </c>
      <c r="K185" s="7">
        <f>'Прил.№4 ведомств.'!L663</f>
        <v>700</v>
      </c>
      <c r="L185" s="7">
        <f>'Прил.№4 ведомств.'!M663</f>
        <v>0</v>
      </c>
      <c r="M185" s="7">
        <f>'Прил.№4 ведомств.'!N663</f>
        <v>0</v>
      </c>
      <c r="N185" s="7" t="e">
        <f t="shared" si="84"/>
        <v>#DIV/0!</v>
      </c>
    </row>
    <row r="186" spans="1:14" ht="31.5">
      <c r="A186" s="31" t="s">
        <v>335</v>
      </c>
      <c r="B186" s="42" t="s">
        <v>498</v>
      </c>
      <c r="C186" s="42" t="s">
        <v>317</v>
      </c>
      <c r="D186" s="42" t="s">
        <v>266</v>
      </c>
      <c r="E186" s="42"/>
      <c r="F186" s="42"/>
      <c r="G186" s="11">
        <f>G187</f>
        <v>127</v>
      </c>
      <c r="H186" s="11">
        <f t="shared" ref="H186:M187" si="114">H187</f>
        <v>127</v>
      </c>
      <c r="I186" s="11">
        <f t="shared" si="114"/>
        <v>214.8</v>
      </c>
      <c r="J186" s="11">
        <f t="shared" si="114"/>
        <v>214.8</v>
      </c>
      <c r="K186" s="11">
        <f t="shared" si="114"/>
        <v>214.8</v>
      </c>
      <c r="L186" s="11">
        <f t="shared" si="114"/>
        <v>127</v>
      </c>
      <c r="M186" s="11">
        <f t="shared" si="114"/>
        <v>7.8</v>
      </c>
      <c r="N186" s="7">
        <f t="shared" si="84"/>
        <v>6.1417322834645667</v>
      </c>
    </row>
    <row r="187" spans="1:14" ht="31.5">
      <c r="A187" s="31" t="s">
        <v>325</v>
      </c>
      <c r="B187" s="42" t="s">
        <v>498</v>
      </c>
      <c r="C187" s="42" t="s">
        <v>317</v>
      </c>
      <c r="D187" s="42" t="s">
        <v>266</v>
      </c>
      <c r="E187" s="42" t="s">
        <v>326</v>
      </c>
      <c r="F187" s="42"/>
      <c r="G187" s="11">
        <f>G188</f>
        <v>127</v>
      </c>
      <c r="H187" s="11">
        <f t="shared" si="114"/>
        <v>127</v>
      </c>
      <c r="I187" s="11">
        <f t="shared" si="114"/>
        <v>214.8</v>
      </c>
      <c r="J187" s="11">
        <f t="shared" si="114"/>
        <v>214.8</v>
      </c>
      <c r="K187" s="11">
        <f t="shared" si="114"/>
        <v>214.8</v>
      </c>
      <c r="L187" s="11">
        <f t="shared" si="114"/>
        <v>127</v>
      </c>
      <c r="M187" s="11">
        <f t="shared" si="114"/>
        <v>7.8</v>
      </c>
      <c r="N187" s="7">
        <f t="shared" si="84"/>
        <v>6.1417322834645667</v>
      </c>
    </row>
    <row r="188" spans="1:14" ht="26.25" customHeight="1">
      <c r="A188" s="31" t="s">
        <v>327</v>
      </c>
      <c r="B188" s="42" t="s">
        <v>498</v>
      </c>
      <c r="C188" s="42" t="s">
        <v>317</v>
      </c>
      <c r="D188" s="42" t="s">
        <v>266</v>
      </c>
      <c r="E188" s="42" t="s">
        <v>328</v>
      </c>
      <c r="F188" s="42"/>
      <c r="G188" s="11">
        <f>'Прил.№4 ведомств.'!G666</f>
        <v>127</v>
      </c>
      <c r="H188" s="11">
        <f>'Прил.№4 ведомств.'!I666</f>
        <v>127</v>
      </c>
      <c r="I188" s="11">
        <f>'Прил.№4 ведомств.'!J666</f>
        <v>214.8</v>
      </c>
      <c r="J188" s="11">
        <f>'Прил.№4 ведомств.'!K666</f>
        <v>214.8</v>
      </c>
      <c r="K188" s="11">
        <f>'Прил.№4 ведомств.'!L666</f>
        <v>214.8</v>
      </c>
      <c r="L188" s="11">
        <f>'Прил.№4 ведомств.'!M666</f>
        <v>127</v>
      </c>
      <c r="M188" s="11">
        <f>'Прил.№4 ведомств.'!N666</f>
        <v>7.8</v>
      </c>
      <c r="N188" s="7">
        <f t="shared" si="84"/>
        <v>6.1417322834645667</v>
      </c>
    </row>
    <row r="189" spans="1:14" ht="31.5" hidden="1">
      <c r="A189" s="31" t="s">
        <v>337</v>
      </c>
      <c r="B189" s="42" t="s">
        <v>499</v>
      </c>
      <c r="C189" s="42" t="s">
        <v>317</v>
      </c>
      <c r="D189" s="42" t="s">
        <v>266</v>
      </c>
      <c r="E189" s="42"/>
      <c r="F189" s="42"/>
      <c r="G189" s="11">
        <f>G190</f>
        <v>229.4</v>
      </c>
      <c r="H189" s="11">
        <f t="shared" ref="H189:M190" si="115">H190</f>
        <v>229.4</v>
      </c>
      <c r="I189" s="11">
        <f t="shared" si="115"/>
        <v>750</v>
      </c>
      <c r="J189" s="11">
        <f t="shared" si="115"/>
        <v>250</v>
      </c>
      <c r="K189" s="11">
        <f t="shared" si="115"/>
        <v>250</v>
      </c>
      <c r="L189" s="11">
        <f t="shared" si="115"/>
        <v>0</v>
      </c>
      <c r="M189" s="11">
        <f t="shared" si="115"/>
        <v>0</v>
      </c>
      <c r="N189" s="7" t="e">
        <f t="shared" si="84"/>
        <v>#DIV/0!</v>
      </c>
    </row>
    <row r="190" spans="1:14" ht="31.5" hidden="1">
      <c r="A190" s="31" t="s">
        <v>325</v>
      </c>
      <c r="B190" s="42" t="s">
        <v>499</v>
      </c>
      <c r="C190" s="42" t="s">
        <v>317</v>
      </c>
      <c r="D190" s="42" t="s">
        <v>266</v>
      </c>
      <c r="E190" s="42" t="s">
        <v>326</v>
      </c>
      <c r="F190" s="42"/>
      <c r="G190" s="11">
        <f>G191</f>
        <v>229.4</v>
      </c>
      <c r="H190" s="11">
        <f t="shared" si="115"/>
        <v>229.4</v>
      </c>
      <c r="I190" s="11">
        <f t="shared" si="115"/>
        <v>750</v>
      </c>
      <c r="J190" s="11">
        <f t="shared" si="115"/>
        <v>250</v>
      </c>
      <c r="K190" s="11">
        <f t="shared" si="115"/>
        <v>250</v>
      </c>
      <c r="L190" s="11">
        <f t="shared" si="115"/>
        <v>0</v>
      </c>
      <c r="M190" s="11">
        <f t="shared" si="115"/>
        <v>0</v>
      </c>
      <c r="N190" s="7" t="e">
        <f t="shared" si="84"/>
        <v>#DIV/0!</v>
      </c>
    </row>
    <row r="191" spans="1:14" ht="26.25" hidden="1" customHeight="1">
      <c r="A191" s="31" t="s">
        <v>327</v>
      </c>
      <c r="B191" s="42" t="s">
        <v>499</v>
      </c>
      <c r="C191" s="42" t="s">
        <v>317</v>
      </c>
      <c r="D191" s="42" t="s">
        <v>266</v>
      </c>
      <c r="E191" s="42" t="s">
        <v>328</v>
      </c>
      <c r="F191" s="42"/>
      <c r="G191" s="11">
        <f>'Прил.№4 ведомств.'!G669</f>
        <v>229.4</v>
      </c>
      <c r="H191" s="11">
        <f>'Прил.№4 ведомств.'!I669</f>
        <v>229.4</v>
      </c>
      <c r="I191" s="11">
        <f>'Прил.№4 ведомств.'!J669</f>
        <v>750</v>
      </c>
      <c r="J191" s="11">
        <f>'Прил.№4 ведомств.'!K669</f>
        <v>250</v>
      </c>
      <c r="K191" s="11">
        <f>'Прил.№4 ведомств.'!L669</f>
        <v>250</v>
      </c>
      <c r="L191" s="11">
        <f>'Прил.№4 ведомств.'!M669</f>
        <v>0</v>
      </c>
      <c r="M191" s="11">
        <f>'Прил.№4 ведомств.'!N669</f>
        <v>0</v>
      </c>
      <c r="N191" s="7" t="e">
        <f t="shared" si="84"/>
        <v>#DIV/0!</v>
      </c>
    </row>
    <row r="192" spans="1:14" ht="51.75" customHeight="1">
      <c r="A192" s="70" t="s">
        <v>871</v>
      </c>
      <c r="B192" s="42" t="s">
        <v>873</v>
      </c>
      <c r="C192" s="42" t="s">
        <v>317</v>
      </c>
      <c r="D192" s="42" t="s">
        <v>266</v>
      </c>
      <c r="E192" s="42"/>
      <c r="F192" s="42"/>
      <c r="G192" s="11">
        <f>G193</f>
        <v>0</v>
      </c>
      <c r="H192" s="11">
        <f t="shared" ref="H192:M193" si="116">H193</f>
        <v>0</v>
      </c>
      <c r="I192" s="11">
        <f t="shared" si="116"/>
        <v>2794</v>
      </c>
      <c r="J192" s="11">
        <f t="shared" si="116"/>
        <v>2794</v>
      </c>
      <c r="K192" s="11">
        <f t="shared" si="116"/>
        <v>2794</v>
      </c>
      <c r="L192" s="11">
        <f t="shared" si="116"/>
        <v>2794</v>
      </c>
      <c r="M192" s="11">
        <f t="shared" si="116"/>
        <v>2500</v>
      </c>
      <c r="N192" s="7">
        <f t="shared" si="84"/>
        <v>89.477451682176095</v>
      </c>
    </row>
    <row r="193" spans="1:14" ht="65.25" customHeight="1">
      <c r="A193" s="31" t="s">
        <v>325</v>
      </c>
      <c r="B193" s="42" t="s">
        <v>873</v>
      </c>
      <c r="C193" s="42" t="s">
        <v>317</v>
      </c>
      <c r="D193" s="42" t="s">
        <v>266</v>
      </c>
      <c r="E193" s="42" t="s">
        <v>326</v>
      </c>
      <c r="F193" s="42"/>
      <c r="G193" s="11">
        <f>G194</f>
        <v>0</v>
      </c>
      <c r="H193" s="11">
        <f t="shared" si="116"/>
        <v>0</v>
      </c>
      <c r="I193" s="11">
        <f t="shared" si="116"/>
        <v>2794</v>
      </c>
      <c r="J193" s="11">
        <f t="shared" si="116"/>
        <v>2794</v>
      </c>
      <c r="K193" s="11">
        <f t="shared" si="116"/>
        <v>2794</v>
      </c>
      <c r="L193" s="11">
        <f t="shared" si="116"/>
        <v>2794</v>
      </c>
      <c r="M193" s="11">
        <f t="shared" si="116"/>
        <v>2500</v>
      </c>
      <c r="N193" s="7">
        <f t="shared" si="84"/>
        <v>89.477451682176095</v>
      </c>
    </row>
    <row r="194" spans="1:14" ht="26.25" customHeight="1">
      <c r="A194" s="258" t="s">
        <v>327</v>
      </c>
      <c r="B194" s="42" t="s">
        <v>873</v>
      </c>
      <c r="C194" s="42" t="s">
        <v>317</v>
      </c>
      <c r="D194" s="42" t="s">
        <v>266</v>
      </c>
      <c r="E194" s="42" t="s">
        <v>328</v>
      </c>
      <c r="F194" s="42"/>
      <c r="G194" s="11">
        <f>'Прил.№4 ведомств.'!G672</f>
        <v>0</v>
      </c>
      <c r="H194" s="11">
        <f>'Прил.№4 ведомств.'!I672</f>
        <v>0</v>
      </c>
      <c r="I194" s="11">
        <f>'Прил.№4 ведомств.'!J672</f>
        <v>2794</v>
      </c>
      <c r="J194" s="11">
        <f>'Прил.№4 ведомств.'!K672</f>
        <v>2794</v>
      </c>
      <c r="K194" s="11">
        <f>'Прил.№4 ведомств.'!L672</f>
        <v>2794</v>
      </c>
      <c r="L194" s="11">
        <f>'Прил.№4 ведомств.'!M672</f>
        <v>2794</v>
      </c>
      <c r="M194" s="11">
        <f>'Прил.№4 ведомств.'!N672</f>
        <v>2500</v>
      </c>
      <c r="N194" s="7">
        <f t="shared" si="84"/>
        <v>89.477451682176095</v>
      </c>
    </row>
    <row r="195" spans="1:14" ht="31.5">
      <c r="A195" s="31" t="s">
        <v>457</v>
      </c>
      <c r="B195" s="42" t="s">
        <v>485</v>
      </c>
      <c r="C195" s="42" t="s">
        <v>317</v>
      </c>
      <c r="D195" s="42" t="s">
        <v>266</v>
      </c>
      <c r="E195" s="42"/>
      <c r="F195" s="42" t="s">
        <v>716</v>
      </c>
      <c r="G195" s="11">
        <f>G148</f>
        <v>6675.4</v>
      </c>
      <c r="H195" s="11">
        <f t="shared" ref="H195:L195" si="117">H148</f>
        <v>6675.3666666666659</v>
      </c>
      <c r="I195" s="11">
        <f t="shared" si="117"/>
        <v>16647.800000000003</v>
      </c>
      <c r="J195" s="11">
        <f t="shared" si="117"/>
        <v>11746.7</v>
      </c>
      <c r="K195" s="11">
        <f t="shared" si="117"/>
        <v>9246.7000000000007</v>
      </c>
      <c r="L195" s="11">
        <f t="shared" si="117"/>
        <v>6615.9</v>
      </c>
      <c r="M195" s="11">
        <f t="shared" ref="M195" si="118">M148</f>
        <v>3767.1</v>
      </c>
      <c r="N195" s="7">
        <f t="shared" si="84"/>
        <v>56.940098852763796</v>
      </c>
    </row>
    <row r="196" spans="1:14" ht="31.5" hidden="1">
      <c r="A196" s="31" t="s">
        <v>337</v>
      </c>
      <c r="B196" s="42" t="s">
        <v>670</v>
      </c>
      <c r="C196" s="42" t="s">
        <v>317</v>
      </c>
      <c r="D196" s="42" t="s">
        <v>266</v>
      </c>
      <c r="E196" s="42"/>
      <c r="F196" s="42"/>
      <c r="G196" s="11">
        <f>G197</f>
        <v>0</v>
      </c>
      <c r="H196" s="11">
        <f t="shared" ref="H196:M197" si="119">H197</f>
        <v>0</v>
      </c>
      <c r="I196" s="11">
        <f t="shared" si="119"/>
        <v>0</v>
      </c>
      <c r="J196" s="11">
        <f t="shared" si="119"/>
        <v>0</v>
      </c>
      <c r="K196" s="11">
        <f t="shared" si="119"/>
        <v>0</v>
      </c>
      <c r="L196" s="11">
        <f t="shared" si="119"/>
        <v>0</v>
      </c>
      <c r="M196" s="11">
        <f t="shared" si="119"/>
        <v>0</v>
      </c>
      <c r="N196" s="4" t="e">
        <f t="shared" si="84"/>
        <v>#DIV/0!</v>
      </c>
    </row>
    <row r="197" spans="1:14" ht="31.5" hidden="1">
      <c r="A197" s="31" t="s">
        <v>325</v>
      </c>
      <c r="B197" s="42" t="s">
        <v>670</v>
      </c>
      <c r="C197" s="42" t="s">
        <v>317</v>
      </c>
      <c r="D197" s="42" t="s">
        <v>266</v>
      </c>
      <c r="E197" s="42" t="s">
        <v>326</v>
      </c>
      <c r="F197" s="42"/>
      <c r="G197" s="11">
        <f>G198</f>
        <v>0</v>
      </c>
      <c r="H197" s="11">
        <f t="shared" si="119"/>
        <v>0</v>
      </c>
      <c r="I197" s="11">
        <f t="shared" si="119"/>
        <v>0</v>
      </c>
      <c r="J197" s="11">
        <f t="shared" si="119"/>
        <v>0</v>
      </c>
      <c r="K197" s="11">
        <f t="shared" si="119"/>
        <v>0</v>
      </c>
      <c r="L197" s="11">
        <f t="shared" si="119"/>
        <v>0</v>
      </c>
      <c r="M197" s="11">
        <f t="shared" si="119"/>
        <v>0</v>
      </c>
      <c r="N197" s="4" t="e">
        <f t="shared" si="84"/>
        <v>#DIV/0!</v>
      </c>
    </row>
    <row r="198" spans="1:14" ht="15.75" hidden="1">
      <c r="A198" s="31" t="s">
        <v>327</v>
      </c>
      <c r="B198" s="42" t="s">
        <v>670</v>
      </c>
      <c r="C198" s="42" t="s">
        <v>317</v>
      </c>
      <c r="D198" s="42" t="s">
        <v>266</v>
      </c>
      <c r="E198" s="42" t="s">
        <v>328</v>
      </c>
      <c r="F198" s="42"/>
      <c r="G198" s="11"/>
      <c r="H198" s="11"/>
      <c r="I198" s="11"/>
      <c r="J198" s="11"/>
      <c r="K198" s="11"/>
      <c r="L198" s="11"/>
      <c r="M198" s="11"/>
      <c r="N198" s="4" t="e">
        <f t="shared" si="84"/>
        <v>#DIV/0!</v>
      </c>
    </row>
    <row r="199" spans="1:14" ht="31.5" hidden="1">
      <c r="A199" s="31" t="s">
        <v>457</v>
      </c>
      <c r="B199" s="42" t="s">
        <v>670</v>
      </c>
      <c r="C199" s="42" t="s">
        <v>317</v>
      </c>
      <c r="D199" s="42" t="s">
        <v>266</v>
      </c>
      <c r="E199" s="42"/>
      <c r="F199" s="42" t="s">
        <v>716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4" t="e">
        <f t="shared" si="84"/>
        <v>#DIV/0!</v>
      </c>
    </row>
    <row r="200" spans="1:14" ht="31.5" hidden="1">
      <c r="A200" s="31" t="s">
        <v>717</v>
      </c>
      <c r="B200" s="42" t="s">
        <v>671</v>
      </c>
      <c r="C200" s="42" t="s">
        <v>317</v>
      </c>
      <c r="D200" s="42" t="s">
        <v>266</v>
      </c>
      <c r="E200" s="42"/>
      <c r="F200" s="42"/>
      <c r="G200" s="11">
        <f>G201</f>
        <v>0</v>
      </c>
      <c r="H200" s="11">
        <f t="shared" ref="H200:M201" si="120">H201</f>
        <v>0</v>
      </c>
      <c r="I200" s="11">
        <f t="shared" si="120"/>
        <v>0</v>
      </c>
      <c r="J200" s="11">
        <f t="shared" si="120"/>
        <v>0</v>
      </c>
      <c r="K200" s="11">
        <f t="shared" si="120"/>
        <v>0</v>
      </c>
      <c r="L200" s="11">
        <f t="shared" si="120"/>
        <v>0</v>
      </c>
      <c r="M200" s="11">
        <f t="shared" si="120"/>
        <v>0</v>
      </c>
      <c r="N200" s="4" t="e">
        <f t="shared" si="84"/>
        <v>#DIV/0!</v>
      </c>
    </row>
    <row r="201" spans="1:14" ht="31.5" hidden="1">
      <c r="A201" s="31" t="s">
        <v>325</v>
      </c>
      <c r="B201" s="42" t="s">
        <v>671</v>
      </c>
      <c r="C201" s="42" t="s">
        <v>317</v>
      </c>
      <c r="D201" s="42" t="s">
        <v>266</v>
      </c>
      <c r="E201" s="42" t="s">
        <v>326</v>
      </c>
      <c r="F201" s="42"/>
      <c r="G201" s="11">
        <f>G202</f>
        <v>0</v>
      </c>
      <c r="H201" s="11">
        <f t="shared" si="120"/>
        <v>0</v>
      </c>
      <c r="I201" s="11">
        <f t="shared" si="120"/>
        <v>0</v>
      </c>
      <c r="J201" s="11">
        <f t="shared" si="120"/>
        <v>0</v>
      </c>
      <c r="K201" s="11">
        <f t="shared" si="120"/>
        <v>0</v>
      </c>
      <c r="L201" s="11">
        <f t="shared" si="120"/>
        <v>0</v>
      </c>
      <c r="M201" s="11">
        <f t="shared" si="120"/>
        <v>0</v>
      </c>
      <c r="N201" s="4" t="e">
        <f t="shared" si="84"/>
        <v>#DIV/0!</v>
      </c>
    </row>
    <row r="202" spans="1:14" ht="15.75" hidden="1">
      <c r="A202" s="31" t="s">
        <v>327</v>
      </c>
      <c r="B202" s="42" t="s">
        <v>671</v>
      </c>
      <c r="C202" s="42" t="s">
        <v>317</v>
      </c>
      <c r="D202" s="42" t="s">
        <v>266</v>
      </c>
      <c r="E202" s="42" t="s">
        <v>328</v>
      </c>
      <c r="F202" s="42"/>
      <c r="G202" s="11"/>
      <c r="H202" s="11"/>
      <c r="I202" s="11"/>
      <c r="J202" s="11"/>
      <c r="K202" s="11"/>
      <c r="L202" s="11"/>
      <c r="M202" s="11"/>
      <c r="N202" s="4" t="e">
        <f t="shared" si="84"/>
        <v>#DIV/0!</v>
      </c>
    </row>
    <row r="203" spans="1:14" ht="31.5" hidden="1">
      <c r="A203" s="31" t="s">
        <v>457</v>
      </c>
      <c r="B203" s="42" t="s">
        <v>671</v>
      </c>
      <c r="C203" s="42" t="s">
        <v>317</v>
      </c>
      <c r="D203" s="42" t="s">
        <v>266</v>
      </c>
      <c r="E203" s="42"/>
      <c r="F203" s="42" t="s">
        <v>716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4" t="e">
        <f t="shared" si="84"/>
        <v>#DIV/0!</v>
      </c>
    </row>
    <row r="204" spans="1:14" ht="45.75" customHeight="1">
      <c r="A204" s="43" t="s">
        <v>500</v>
      </c>
      <c r="B204" s="8" t="s">
        <v>501</v>
      </c>
      <c r="C204" s="8"/>
      <c r="D204" s="8"/>
      <c r="E204" s="8"/>
      <c r="F204" s="8"/>
      <c r="G204" s="68" t="e">
        <f>G205</f>
        <v>#REF!</v>
      </c>
      <c r="H204" s="68" t="e">
        <f t="shared" ref="H204:M207" si="121">H205</f>
        <v>#REF!</v>
      </c>
      <c r="I204" s="68" t="e">
        <f t="shared" si="121"/>
        <v>#REF!</v>
      </c>
      <c r="J204" s="68" t="e">
        <f t="shared" si="121"/>
        <v>#REF!</v>
      </c>
      <c r="K204" s="68" t="e">
        <f t="shared" si="121"/>
        <v>#REF!</v>
      </c>
      <c r="L204" s="68">
        <f t="shared" si="121"/>
        <v>753.1</v>
      </c>
      <c r="M204" s="68">
        <f t="shared" si="121"/>
        <v>700</v>
      </c>
      <c r="N204" s="4">
        <f t="shared" ref="N204:N267" si="122">M204/L204*100</f>
        <v>92.949143540034513</v>
      </c>
    </row>
    <row r="205" spans="1:14" ht="21" customHeight="1">
      <c r="A205" s="31" t="s">
        <v>316</v>
      </c>
      <c r="B205" s="42" t="s">
        <v>501</v>
      </c>
      <c r="C205" s="42" t="s">
        <v>317</v>
      </c>
      <c r="D205" s="42"/>
      <c r="E205" s="42"/>
      <c r="F205" s="42"/>
      <c r="G205" s="11" t="e">
        <f>G206</f>
        <v>#REF!</v>
      </c>
      <c r="H205" s="11" t="e">
        <f t="shared" si="121"/>
        <v>#REF!</v>
      </c>
      <c r="I205" s="11" t="e">
        <f t="shared" si="121"/>
        <v>#REF!</v>
      </c>
      <c r="J205" s="11" t="e">
        <f t="shared" si="121"/>
        <v>#REF!</v>
      </c>
      <c r="K205" s="11" t="e">
        <f t="shared" si="121"/>
        <v>#REF!</v>
      </c>
      <c r="L205" s="11">
        <f t="shared" si="121"/>
        <v>753.1</v>
      </c>
      <c r="M205" s="11">
        <f t="shared" si="121"/>
        <v>700</v>
      </c>
      <c r="N205" s="7">
        <f t="shared" si="122"/>
        <v>92.949143540034513</v>
      </c>
    </row>
    <row r="206" spans="1:14" ht="22.5" customHeight="1">
      <c r="A206" s="31" t="s">
        <v>318</v>
      </c>
      <c r="B206" s="42" t="s">
        <v>501</v>
      </c>
      <c r="C206" s="42" t="s">
        <v>317</v>
      </c>
      <c r="D206" s="42" t="s">
        <v>268</v>
      </c>
      <c r="E206" s="42"/>
      <c r="F206" s="42"/>
      <c r="G206" s="11" t="e">
        <f>#REF!</f>
        <v>#REF!</v>
      </c>
      <c r="H206" s="11" t="e">
        <f>#REF!</f>
        <v>#REF!</v>
      </c>
      <c r="I206" s="11" t="e">
        <f>#REF!</f>
        <v>#REF!</v>
      </c>
      <c r="J206" s="11" t="e">
        <f>#REF!</f>
        <v>#REF!</v>
      </c>
      <c r="K206" s="11" t="e">
        <f>#REF!</f>
        <v>#REF!</v>
      </c>
      <c r="L206" s="11">
        <f>L209</f>
        <v>753.1</v>
      </c>
      <c r="M206" s="11">
        <f t="shared" ref="M206" si="123">M209</f>
        <v>700</v>
      </c>
      <c r="N206" s="7">
        <f t="shared" si="122"/>
        <v>92.949143540034513</v>
      </c>
    </row>
    <row r="207" spans="1:14" ht="31.5" hidden="1">
      <c r="A207" s="31" t="s">
        <v>325</v>
      </c>
      <c r="B207" s="21" t="s">
        <v>798</v>
      </c>
      <c r="C207" s="42" t="s">
        <v>317</v>
      </c>
      <c r="D207" s="42" t="s">
        <v>268</v>
      </c>
      <c r="E207" s="42" t="s">
        <v>326</v>
      </c>
      <c r="F207" s="42"/>
      <c r="G207" s="11">
        <f>G208</f>
        <v>355.9</v>
      </c>
      <c r="H207" s="11">
        <f t="shared" si="121"/>
        <v>355.9</v>
      </c>
      <c r="I207" s="11">
        <f t="shared" si="121"/>
        <v>0</v>
      </c>
      <c r="J207" s="11">
        <f t="shared" si="121"/>
        <v>0</v>
      </c>
      <c r="K207" s="11">
        <f t="shared" si="121"/>
        <v>0</v>
      </c>
      <c r="L207" s="11">
        <f t="shared" si="121"/>
        <v>0</v>
      </c>
      <c r="M207" s="11">
        <f t="shared" si="121"/>
        <v>0</v>
      </c>
      <c r="N207" s="7" t="e">
        <f t="shared" si="122"/>
        <v>#DIV/0!</v>
      </c>
    </row>
    <row r="208" spans="1:14" ht="15.75" hidden="1">
      <c r="A208" s="31" t="s">
        <v>327</v>
      </c>
      <c r="B208" s="21" t="s">
        <v>798</v>
      </c>
      <c r="C208" s="42" t="s">
        <v>317</v>
      </c>
      <c r="D208" s="42" t="s">
        <v>268</v>
      </c>
      <c r="E208" s="42" t="s">
        <v>328</v>
      </c>
      <c r="F208" s="42"/>
      <c r="G208" s="11">
        <f>'Прил.№4 ведомств.'!G714</f>
        <v>355.9</v>
      </c>
      <c r="H208" s="11">
        <f>'Прил.№4 ведомств.'!I714</f>
        <v>355.9</v>
      </c>
      <c r="I208" s="11">
        <f>'Прил.№4 ведомств.'!J714</f>
        <v>0</v>
      </c>
      <c r="J208" s="11">
        <f>'Прил.№4 ведомств.'!K714</f>
        <v>0</v>
      </c>
      <c r="K208" s="11">
        <f>'Прил.№4 ведомств.'!L714</f>
        <v>0</v>
      </c>
      <c r="L208" s="11">
        <f>'Прил.№4 ведомств.'!M714</f>
        <v>0</v>
      </c>
      <c r="M208" s="11">
        <f>'Прил.№4 ведомств.'!N714</f>
        <v>0</v>
      </c>
      <c r="N208" s="7" t="e">
        <f t="shared" si="122"/>
        <v>#DIV/0!</v>
      </c>
    </row>
    <row r="209" spans="1:14" ht="31.5">
      <c r="A209" s="47" t="s">
        <v>871</v>
      </c>
      <c r="B209" s="21" t="s">
        <v>872</v>
      </c>
      <c r="C209" s="21" t="s">
        <v>317</v>
      </c>
      <c r="D209" s="21" t="s">
        <v>268</v>
      </c>
      <c r="E209" s="21"/>
      <c r="F209" s="21"/>
      <c r="G209" s="11">
        <f>G210</f>
        <v>0</v>
      </c>
      <c r="H209" s="11">
        <f t="shared" ref="H209:M210" si="124">H210</f>
        <v>0</v>
      </c>
      <c r="I209" s="11">
        <f t="shared" si="124"/>
        <v>753.1</v>
      </c>
      <c r="J209" s="11">
        <f t="shared" si="124"/>
        <v>753.1</v>
      </c>
      <c r="K209" s="11">
        <f t="shared" si="124"/>
        <v>753.1</v>
      </c>
      <c r="L209" s="11">
        <f t="shared" si="124"/>
        <v>753.1</v>
      </c>
      <c r="M209" s="11">
        <f t="shared" si="124"/>
        <v>700</v>
      </c>
      <c r="N209" s="7">
        <f t="shared" si="122"/>
        <v>92.949143540034513</v>
      </c>
    </row>
    <row r="210" spans="1:14" ht="31.5">
      <c r="A210" s="31" t="s">
        <v>325</v>
      </c>
      <c r="B210" s="21" t="s">
        <v>872</v>
      </c>
      <c r="C210" s="21" t="s">
        <v>317</v>
      </c>
      <c r="D210" s="21" t="s">
        <v>268</v>
      </c>
      <c r="E210" s="21" t="s">
        <v>326</v>
      </c>
      <c r="F210" s="21"/>
      <c r="G210" s="11">
        <f>G211</f>
        <v>0</v>
      </c>
      <c r="H210" s="11">
        <f t="shared" si="124"/>
        <v>0</v>
      </c>
      <c r="I210" s="11">
        <f t="shared" si="124"/>
        <v>753.1</v>
      </c>
      <c r="J210" s="11">
        <f t="shared" si="124"/>
        <v>753.1</v>
      </c>
      <c r="K210" s="11">
        <f t="shared" si="124"/>
        <v>753.1</v>
      </c>
      <c r="L210" s="11">
        <f t="shared" si="124"/>
        <v>753.1</v>
      </c>
      <c r="M210" s="11">
        <f t="shared" si="124"/>
        <v>700</v>
      </c>
      <c r="N210" s="7">
        <f t="shared" si="122"/>
        <v>92.949143540034513</v>
      </c>
    </row>
    <row r="211" spans="1:14" ht="15.75">
      <c r="A211" s="33" t="s">
        <v>327</v>
      </c>
      <c r="B211" s="21" t="s">
        <v>872</v>
      </c>
      <c r="C211" s="21" t="s">
        <v>317</v>
      </c>
      <c r="D211" s="21" t="s">
        <v>268</v>
      </c>
      <c r="E211" s="21" t="s">
        <v>328</v>
      </c>
      <c r="F211" s="21"/>
      <c r="G211" s="11">
        <f>'Прил.№4 ведомств.'!G717</f>
        <v>0</v>
      </c>
      <c r="H211" s="11">
        <f>'Прил.№4 ведомств.'!I717</f>
        <v>0</v>
      </c>
      <c r="I211" s="11">
        <f>'Прил.№4 ведомств.'!J717</f>
        <v>753.1</v>
      </c>
      <c r="J211" s="11">
        <f>'Прил.№4 ведомств.'!K717</f>
        <v>753.1</v>
      </c>
      <c r="K211" s="11">
        <f>'Прил.№4 ведомств.'!L717</f>
        <v>753.1</v>
      </c>
      <c r="L211" s="11">
        <f>'Прил.№4 ведомств.'!M717</f>
        <v>753.1</v>
      </c>
      <c r="M211" s="11">
        <f>'Прил.№4 ведомств.'!N717</f>
        <v>700</v>
      </c>
      <c r="N211" s="7">
        <f t="shared" si="122"/>
        <v>92.949143540034513</v>
      </c>
    </row>
    <row r="212" spans="1:14" ht="31.5">
      <c r="A212" s="31" t="s">
        <v>457</v>
      </c>
      <c r="B212" s="21" t="s">
        <v>501</v>
      </c>
      <c r="C212" s="42" t="s">
        <v>317</v>
      </c>
      <c r="D212" s="42" t="s">
        <v>268</v>
      </c>
      <c r="E212" s="42"/>
      <c r="F212" s="42" t="s">
        <v>716</v>
      </c>
      <c r="G212" s="11" t="e">
        <f t="shared" ref="G212:L212" si="125">G205</f>
        <v>#REF!</v>
      </c>
      <c r="H212" s="11" t="e">
        <f t="shared" si="125"/>
        <v>#REF!</v>
      </c>
      <c r="I212" s="11" t="e">
        <f t="shared" si="125"/>
        <v>#REF!</v>
      </c>
      <c r="J212" s="11" t="e">
        <f t="shared" si="125"/>
        <v>#REF!</v>
      </c>
      <c r="K212" s="11" t="e">
        <f t="shared" si="125"/>
        <v>#REF!</v>
      </c>
      <c r="L212" s="11">
        <f t="shared" si="125"/>
        <v>753.1</v>
      </c>
      <c r="M212" s="11">
        <f t="shared" ref="M212" si="126">M205</f>
        <v>700</v>
      </c>
      <c r="N212" s="7">
        <f t="shared" si="122"/>
        <v>92.949143540034513</v>
      </c>
    </row>
    <row r="213" spans="1:14" ht="31.5" hidden="1">
      <c r="A213" s="31" t="s">
        <v>718</v>
      </c>
      <c r="B213" s="42" t="s">
        <v>672</v>
      </c>
      <c r="C213" s="42" t="s">
        <v>317</v>
      </c>
      <c r="D213" s="42" t="s">
        <v>266</v>
      </c>
      <c r="E213" s="42"/>
      <c r="F213" s="42"/>
      <c r="G213" s="11">
        <f>G217</f>
        <v>0</v>
      </c>
      <c r="H213" s="11">
        <f t="shared" ref="H213:L213" si="127">H217</f>
        <v>0</v>
      </c>
      <c r="I213" s="11">
        <f t="shared" si="127"/>
        <v>0</v>
      </c>
      <c r="J213" s="11">
        <f t="shared" si="127"/>
        <v>0</v>
      </c>
      <c r="K213" s="11">
        <f t="shared" si="127"/>
        <v>0</v>
      </c>
      <c r="L213" s="11">
        <f t="shared" si="127"/>
        <v>0</v>
      </c>
      <c r="M213" s="11">
        <f t="shared" ref="M213" si="128">M217</f>
        <v>0</v>
      </c>
      <c r="N213" s="4" t="e">
        <f t="shared" si="122"/>
        <v>#DIV/0!</v>
      </c>
    </row>
    <row r="214" spans="1:14" ht="31.5" hidden="1">
      <c r="A214" s="31" t="s">
        <v>325</v>
      </c>
      <c r="B214" s="42" t="s">
        <v>672</v>
      </c>
      <c r="C214" s="42" t="s">
        <v>522</v>
      </c>
      <c r="D214" s="42" t="s">
        <v>719</v>
      </c>
      <c r="E214" s="42" t="s">
        <v>326</v>
      </c>
      <c r="F214" s="42"/>
      <c r="G214" s="11">
        <f>G215</f>
        <v>0</v>
      </c>
      <c r="H214" s="11">
        <f t="shared" ref="H214:M216" si="129">H215</f>
        <v>0</v>
      </c>
      <c r="I214" s="11">
        <f t="shared" si="129"/>
        <v>0</v>
      </c>
      <c r="J214" s="11">
        <f t="shared" si="129"/>
        <v>0</v>
      </c>
      <c r="K214" s="11">
        <f t="shared" si="129"/>
        <v>0</v>
      </c>
      <c r="L214" s="11">
        <f t="shared" si="129"/>
        <v>0</v>
      </c>
      <c r="M214" s="11">
        <f t="shared" si="129"/>
        <v>0</v>
      </c>
      <c r="N214" s="4" t="e">
        <f t="shared" si="122"/>
        <v>#DIV/0!</v>
      </c>
    </row>
    <row r="215" spans="1:14" ht="15.75" hidden="1">
      <c r="A215" s="31" t="s">
        <v>327</v>
      </c>
      <c r="B215" s="42" t="s">
        <v>672</v>
      </c>
      <c r="C215" s="42" t="s">
        <v>522</v>
      </c>
      <c r="D215" s="42" t="s">
        <v>719</v>
      </c>
      <c r="E215" s="42" t="s">
        <v>328</v>
      </c>
      <c r="F215" s="42"/>
      <c r="G215" s="11">
        <f>G216</f>
        <v>0</v>
      </c>
      <c r="H215" s="11">
        <f t="shared" si="129"/>
        <v>0</v>
      </c>
      <c r="I215" s="11">
        <f t="shared" si="129"/>
        <v>0</v>
      </c>
      <c r="J215" s="11">
        <f t="shared" si="129"/>
        <v>0</v>
      </c>
      <c r="K215" s="11">
        <f t="shared" si="129"/>
        <v>0</v>
      </c>
      <c r="L215" s="11">
        <f t="shared" si="129"/>
        <v>0</v>
      </c>
      <c r="M215" s="11">
        <f t="shared" si="129"/>
        <v>0</v>
      </c>
      <c r="N215" s="4" t="e">
        <f t="shared" si="122"/>
        <v>#DIV/0!</v>
      </c>
    </row>
    <row r="216" spans="1:14" ht="15.75" hidden="1">
      <c r="A216" s="31" t="s">
        <v>663</v>
      </c>
      <c r="B216" s="42" t="s">
        <v>672</v>
      </c>
      <c r="C216" s="42" t="s">
        <v>522</v>
      </c>
      <c r="D216" s="42" t="s">
        <v>719</v>
      </c>
      <c r="E216" s="42" t="s">
        <v>664</v>
      </c>
      <c r="F216" s="42"/>
      <c r="G216" s="11">
        <f>G217</f>
        <v>0</v>
      </c>
      <c r="H216" s="11">
        <f t="shared" si="129"/>
        <v>0</v>
      </c>
      <c r="I216" s="11">
        <f t="shared" si="129"/>
        <v>0</v>
      </c>
      <c r="J216" s="11">
        <f t="shared" si="129"/>
        <v>0</v>
      </c>
      <c r="K216" s="11">
        <f t="shared" si="129"/>
        <v>0</v>
      </c>
      <c r="L216" s="11">
        <f t="shared" si="129"/>
        <v>0</v>
      </c>
      <c r="M216" s="11">
        <f t="shared" si="129"/>
        <v>0</v>
      </c>
      <c r="N216" s="4" t="e">
        <f t="shared" si="122"/>
        <v>#DIV/0!</v>
      </c>
    </row>
    <row r="217" spans="1:14" ht="31.5" hidden="1">
      <c r="A217" s="31" t="s">
        <v>457</v>
      </c>
      <c r="B217" s="42" t="s">
        <v>672</v>
      </c>
      <c r="C217" s="42" t="s">
        <v>317</v>
      </c>
      <c r="D217" s="42" t="s">
        <v>266</v>
      </c>
      <c r="E217" s="42"/>
      <c r="F217" s="42" t="s">
        <v>716</v>
      </c>
      <c r="G217" s="11"/>
      <c r="H217" s="11"/>
      <c r="I217" s="11"/>
      <c r="J217" s="11"/>
      <c r="K217" s="11"/>
      <c r="L217" s="11"/>
      <c r="M217" s="11"/>
      <c r="N217" s="4" t="e">
        <f t="shared" si="122"/>
        <v>#DIV/0!</v>
      </c>
    </row>
    <row r="218" spans="1:14" ht="31.5" hidden="1">
      <c r="A218" s="31" t="s">
        <v>720</v>
      </c>
      <c r="B218" s="21" t="s">
        <v>502</v>
      </c>
      <c r="C218" s="42" t="s">
        <v>317</v>
      </c>
      <c r="D218" s="42" t="s">
        <v>266</v>
      </c>
      <c r="E218" s="42"/>
      <c r="F218" s="42"/>
      <c r="G218" s="11">
        <f>G219</f>
        <v>0</v>
      </c>
      <c r="H218" s="11">
        <f t="shared" ref="H218:M219" si="130">H219</f>
        <v>0</v>
      </c>
      <c r="I218" s="11">
        <f t="shared" si="130"/>
        <v>0</v>
      </c>
      <c r="J218" s="11">
        <f t="shared" si="130"/>
        <v>0</v>
      </c>
      <c r="K218" s="11">
        <f t="shared" si="130"/>
        <v>0</v>
      </c>
      <c r="L218" s="11">
        <f t="shared" si="130"/>
        <v>0</v>
      </c>
      <c r="M218" s="11">
        <f t="shared" si="130"/>
        <v>0</v>
      </c>
      <c r="N218" s="4" t="e">
        <f t="shared" si="122"/>
        <v>#DIV/0!</v>
      </c>
    </row>
    <row r="219" spans="1:14" ht="31.5" hidden="1">
      <c r="A219" s="31" t="s">
        <v>333</v>
      </c>
      <c r="B219" s="21" t="s">
        <v>502</v>
      </c>
      <c r="C219" s="42" t="s">
        <v>317</v>
      </c>
      <c r="D219" s="42" t="s">
        <v>266</v>
      </c>
      <c r="E219" s="42" t="s">
        <v>326</v>
      </c>
      <c r="F219" s="42"/>
      <c r="G219" s="11">
        <f>G220</f>
        <v>0</v>
      </c>
      <c r="H219" s="11">
        <f t="shared" si="130"/>
        <v>0</v>
      </c>
      <c r="I219" s="11">
        <f t="shared" si="130"/>
        <v>0</v>
      </c>
      <c r="J219" s="11">
        <f t="shared" si="130"/>
        <v>0</v>
      </c>
      <c r="K219" s="11">
        <f t="shared" si="130"/>
        <v>0</v>
      </c>
      <c r="L219" s="11">
        <f t="shared" si="130"/>
        <v>0</v>
      </c>
      <c r="M219" s="11">
        <f t="shared" si="130"/>
        <v>0</v>
      </c>
      <c r="N219" s="4" t="e">
        <f t="shared" si="122"/>
        <v>#DIV/0!</v>
      </c>
    </row>
    <row r="220" spans="1:14" ht="15.75" hidden="1">
      <c r="A220" s="31" t="s">
        <v>327</v>
      </c>
      <c r="B220" s="21" t="s">
        <v>502</v>
      </c>
      <c r="C220" s="42" t="s">
        <v>317</v>
      </c>
      <c r="D220" s="42" t="s">
        <v>266</v>
      </c>
      <c r="E220" s="42" t="s">
        <v>328</v>
      </c>
      <c r="F220" s="42"/>
      <c r="G220" s="11"/>
      <c r="H220" s="11"/>
      <c r="I220" s="11"/>
      <c r="J220" s="11"/>
      <c r="K220" s="11"/>
      <c r="L220" s="11"/>
      <c r="M220" s="11"/>
      <c r="N220" s="4" t="e">
        <f t="shared" si="122"/>
        <v>#DIV/0!</v>
      </c>
    </row>
    <row r="221" spans="1:14" ht="15.75" hidden="1">
      <c r="A221" s="31" t="s">
        <v>663</v>
      </c>
      <c r="B221" s="21" t="s">
        <v>502</v>
      </c>
      <c r="C221" s="42" t="s">
        <v>317</v>
      </c>
      <c r="D221" s="42" t="s">
        <v>266</v>
      </c>
      <c r="E221" s="42" t="s">
        <v>664</v>
      </c>
      <c r="F221" s="42"/>
      <c r="G221" s="11"/>
      <c r="H221" s="11"/>
      <c r="I221" s="11"/>
      <c r="J221" s="11"/>
      <c r="K221" s="11"/>
      <c r="L221" s="11"/>
      <c r="M221" s="11"/>
      <c r="N221" s="4" t="e">
        <f t="shared" si="122"/>
        <v>#DIV/0!</v>
      </c>
    </row>
    <row r="222" spans="1:14" ht="31.5" hidden="1">
      <c r="A222" s="31" t="s">
        <v>457</v>
      </c>
      <c r="B222" s="21" t="s">
        <v>502</v>
      </c>
      <c r="C222" s="42" t="s">
        <v>317</v>
      </c>
      <c r="D222" s="42" t="s">
        <v>266</v>
      </c>
      <c r="E222" s="42"/>
      <c r="F222" s="42" t="s">
        <v>716</v>
      </c>
      <c r="G222" s="7">
        <f>G218</f>
        <v>0</v>
      </c>
      <c r="H222" s="7">
        <f t="shared" ref="H222:L222" si="131">H218</f>
        <v>0</v>
      </c>
      <c r="I222" s="7">
        <f t="shared" si="131"/>
        <v>0</v>
      </c>
      <c r="J222" s="7">
        <f t="shared" si="131"/>
        <v>0</v>
      </c>
      <c r="K222" s="7">
        <f t="shared" si="131"/>
        <v>0</v>
      </c>
      <c r="L222" s="7">
        <f t="shared" si="131"/>
        <v>0</v>
      </c>
      <c r="M222" s="7">
        <f t="shared" ref="M222" si="132">M218</f>
        <v>0</v>
      </c>
      <c r="N222" s="4" t="e">
        <f t="shared" si="122"/>
        <v>#DIV/0!</v>
      </c>
    </row>
    <row r="223" spans="1:14" ht="31.5" hidden="1">
      <c r="A223" s="31" t="s">
        <v>669</v>
      </c>
      <c r="B223" s="42" t="s">
        <v>503</v>
      </c>
      <c r="C223" s="42" t="s">
        <v>317</v>
      </c>
      <c r="D223" s="42" t="s">
        <v>266</v>
      </c>
      <c r="E223" s="42"/>
      <c r="F223" s="42"/>
      <c r="G223" s="11">
        <f>G224</f>
        <v>0</v>
      </c>
      <c r="H223" s="11">
        <f t="shared" ref="H223:M224" si="133">H224</f>
        <v>0</v>
      </c>
      <c r="I223" s="11">
        <f t="shared" si="133"/>
        <v>0</v>
      </c>
      <c r="J223" s="11">
        <f t="shared" si="133"/>
        <v>0</v>
      </c>
      <c r="K223" s="11">
        <f t="shared" si="133"/>
        <v>0</v>
      </c>
      <c r="L223" s="11">
        <f t="shared" si="133"/>
        <v>0</v>
      </c>
      <c r="M223" s="11">
        <f t="shared" si="133"/>
        <v>0</v>
      </c>
      <c r="N223" s="4" t="e">
        <f t="shared" si="122"/>
        <v>#DIV/0!</v>
      </c>
    </row>
    <row r="224" spans="1:14" ht="31.5" hidden="1">
      <c r="A224" s="31" t="s">
        <v>325</v>
      </c>
      <c r="B224" s="42" t="s">
        <v>503</v>
      </c>
      <c r="C224" s="42" t="s">
        <v>317</v>
      </c>
      <c r="D224" s="42" t="s">
        <v>266</v>
      </c>
      <c r="E224" s="42" t="s">
        <v>326</v>
      </c>
      <c r="F224" s="42"/>
      <c r="G224" s="11">
        <f>G225</f>
        <v>0</v>
      </c>
      <c r="H224" s="11">
        <f t="shared" si="133"/>
        <v>0</v>
      </c>
      <c r="I224" s="11">
        <f t="shared" si="133"/>
        <v>0</v>
      </c>
      <c r="J224" s="11">
        <f t="shared" si="133"/>
        <v>0</v>
      </c>
      <c r="K224" s="11">
        <f t="shared" si="133"/>
        <v>0</v>
      </c>
      <c r="L224" s="11">
        <f t="shared" si="133"/>
        <v>0</v>
      </c>
      <c r="M224" s="11">
        <f t="shared" si="133"/>
        <v>0</v>
      </c>
      <c r="N224" s="4" t="e">
        <f t="shared" si="122"/>
        <v>#DIV/0!</v>
      </c>
    </row>
    <row r="225" spans="1:14" ht="15.75" hidden="1">
      <c r="A225" s="31" t="s">
        <v>327</v>
      </c>
      <c r="B225" s="42" t="s">
        <v>503</v>
      </c>
      <c r="C225" s="42" t="s">
        <v>317</v>
      </c>
      <c r="D225" s="42" t="s">
        <v>266</v>
      </c>
      <c r="E225" s="42" t="s">
        <v>328</v>
      </c>
      <c r="F225" s="42" t="s">
        <v>716</v>
      </c>
      <c r="G225" s="11"/>
      <c r="H225" s="11"/>
      <c r="I225" s="11"/>
      <c r="J225" s="11"/>
      <c r="K225" s="11"/>
      <c r="L225" s="11"/>
      <c r="M225" s="11"/>
      <c r="N225" s="4" t="e">
        <f t="shared" si="122"/>
        <v>#DIV/0!</v>
      </c>
    </row>
    <row r="226" spans="1:14" ht="15.75" hidden="1">
      <c r="A226" s="31"/>
      <c r="B226" s="42"/>
      <c r="C226" s="42"/>
      <c r="D226" s="42"/>
      <c r="E226" s="42"/>
      <c r="F226" s="42"/>
      <c r="G226" s="11"/>
      <c r="H226" s="11"/>
      <c r="I226" s="11"/>
      <c r="J226" s="11"/>
      <c r="K226" s="11"/>
      <c r="L226" s="11"/>
      <c r="M226" s="11"/>
      <c r="N226" s="4" t="e">
        <f t="shared" si="122"/>
        <v>#DIV/0!</v>
      </c>
    </row>
    <row r="227" spans="1:14" ht="15.75" hidden="1">
      <c r="A227" s="31"/>
      <c r="B227" s="42"/>
      <c r="C227" s="42"/>
      <c r="D227" s="42"/>
      <c r="E227" s="42"/>
      <c r="F227" s="42"/>
      <c r="G227" s="11"/>
      <c r="H227" s="11"/>
      <c r="I227" s="11"/>
      <c r="J227" s="11"/>
      <c r="K227" s="11"/>
      <c r="L227" s="11"/>
      <c r="M227" s="11"/>
      <c r="N227" s="4" t="e">
        <f t="shared" si="122"/>
        <v>#DIV/0!</v>
      </c>
    </row>
    <row r="228" spans="1:14" ht="31.5">
      <c r="A228" s="43" t="s">
        <v>521</v>
      </c>
      <c r="B228" s="8" t="s">
        <v>523</v>
      </c>
      <c r="C228" s="8"/>
      <c r="D228" s="8"/>
      <c r="E228" s="8"/>
      <c r="F228" s="8"/>
      <c r="G228" s="68">
        <f>G229</f>
        <v>3484.8</v>
      </c>
      <c r="H228" s="68">
        <f t="shared" ref="H228:M232" si="134">H229</f>
        <v>3484.8</v>
      </c>
      <c r="I228" s="68">
        <f t="shared" si="134"/>
        <v>4171</v>
      </c>
      <c r="J228" s="68">
        <f t="shared" si="134"/>
        <v>4171</v>
      </c>
      <c r="K228" s="68">
        <f t="shared" si="134"/>
        <v>4171</v>
      </c>
      <c r="L228" s="68">
        <f t="shared" si="134"/>
        <v>3485</v>
      </c>
      <c r="M228" s="68">
        <f t="shared" si="134"/>
        <v>0</v>
      </c>
      <c r="N228" s="4">
        <f t="shared" si="122"/>
        <v>0</v>
      </c>
    </row>
    <row r="229" spans="1:14" ht="15.75">
      <c r="A229" s="31" t="s">
        <v>316</v>
      </c>
      <c r="B229" s="42" t="s">
        <v>523</v>
      </c>
      <c r="C229" s="42" t="s">
        <v>317</v>
      </c>
      <c r="D229" s="42"/>
      <c r="E229" s="42"/>
      <c r="F229" s="42"/>
      <c r="G229" s="11">
        <f>G230</f>
        <v>3484.8</v>
      </c>
      <c r="H229" s="11">
        <f t="shared" si="134"/>
        <v>3484.8</v>
      </c>
      <c r="I229" s="11">
        <f t="shared" si="134"/>
        <v>4171</v>
      </c>
      <c r="J229" s="11">
        <f t="shared" si="134"/>
        <v>4171</v>
      </c>
      <c r="K229" s="11">
        <f t="shared" si="134"/>
        <v>4171</v>
      </c>
      <c r="L229" s="11">
        <f t="shared" si="134"/>
        <v>3485</v>
      </c>
      <c r="M229" s="11">
        <f t="shared" si="134"/>
        <v>0</v>
      </c>
      <c r="N229" s="7">
        <f t="shared" si="122"/>
        <v>0</v>
      </c>
    </row>
    <row r="230" spans="1:14" ht="15.75">
      <c r="A230" s="31" t="s">
        <v>520</v>
      </c>
      <c r="B230" s="42" t="s">
        <v>523</v>
      </c>
      <c r="C230" s="42" t="s">
        <v>317</v>
      </c>
      <c r="D230" s="42" t="s">
        <v>317</v>
      </c>
      <c r="E230" s="42"/>
      <c r="F230" s="42"/>
      <c r="G230" s="11">
        <f>G231</f>
        <v>3484.8</v>
      </c>
      <c r="H230" s="11">
        <f t="shared" si="134"/>
        <v>3484.8</v>
      </c>
      <c r="I230" s="11">
        <f t="shared" si="134"/>
        <v>4171</v>
      </c>
      <c r="J230" s="11">
        <f t="shared" si="134"/>
        <v>4171</v>
      </c>
      <c r="K230" s="11">
        <f t="shared" si="134"/>
        <v>4171</v>
      </c>
      <c r="L230" s="11">
        <f t="shared" si="134"/>
        <v>3485</v>
      </c>
      <c r="M230" s="11">
        <f t="shared" si="134"/>
        <v>0</v>
      </c>
      <c r="N230" s="7">
        <f t="shared" si="122"/>
        <v>0</v>
      </c>
    </row>
    <row r="231" spans="1:14" ht="31.5">
      <c r="A231" s="26" t="s">
        <v>676</v>
      </c>
      <c r="B231" s="21" t="s">
        <v>525</v>
      </c>
      <c r="C231" s="42" t="s">
        <v>317</v>
      </c>
      <c r="D231" s="42" t="s">
        <v>317</v>
      </c>
      <c r="E231" s="42"/>
      <c r="F231" s="42"/>
      <c r="G231" s="11">
        <f>G232</f>
        <v>3484.8</v>
      </c>
      <c r="H231" s="11">
        <f t="shared" si="134"/>
        <v>3484.8</v>
      </c>
      <c r="I231" s="11">
        <f t="shared" si="134"/>
        <v>4171</v>
      </c>
      <c r="J231" s="11">
        <f t="shared" si="134"/>
        <v>4171</v>
      </c>
      <c r="K231" s="11">
        <f t="shared" si="134"/>
        <v>4171</v>
      </c>
      <c r="L231" s="11">
        <f t="shared" si="134"/>
        <v>3485</v>
      </c>
      <c r="M231" s="11">
        <f t="shared" si="134"/>
        <v>0</v>
      </c>
      <c r="N231" s="7">
        <f t="shared" si="122"/>
        <v>0</v>
      </c>
    </row>
    <row r="232" spans="1:14" ht="31.5">
      <c r="A232" s="31" t="s">
        <v>325</v>
      </c>
      <c r="B232" s="21" t="s">
        <v>525</v>
      </c>
      <c r="C232" s="42" t="s">
        <v>317</v>
      </c>
      <c r="D232" s="42" t="s">
        <v>317</v>
      </c>
      <c r="E232" s="42" t="s">
        <v>326</v>
      </c>
      <c r="F232" s="42"/>
      <c r="G232" s="11">
        <f>G233</f>
        <v>3484.8</v>
      </c>
      <c r="H232" s="11">
        <f t="shared" si="134"/>
        <v>3484.8</v>
      </c>
      <c r="I232" s="11">
        <f t="shared" si="134"/>
        <v>4171</v>
      </c>
      <c r="J232" s="11">
        <f t="shared" si="134"/>
        <v>4171</v>
      </c>
      <c r="K232" s="11">
        <f t="shared" si="134"/>
        <v>4171</v>
      </c>
      <c r="L232" s="11">
        <f t="shared" si="134"/>
        <v>3485</v>
      </c>
      <c r="M232" s="11">
        <f t="shared" si="134"/>
        <v>0</v>
      </c>
      <c r="N232" s="7">
        <f t="shared" si="122"/>
        <v>0</v>
      </c>
    </row>
    <row r="233" spans="1:14" ht="15.75">
      <c r="A233" s="31" t="s">
        <v>327</v>
      </c>
      <c r="B233" s="21" t="s">
        <v>525</v>
      </c>
      <c r="C233" s="42" t="s">
        <v>317</v>
      </c>
      <c r="D233" s="42" t="s">
        <v>317</v>
      </c>
      <c r="E233" s="42" t="s">
        <v>328</v>
      </c>
      <c r="F233" s="42"/>
      <c r="G233" s="11">
        <f>'Прил.№4 ведомств.'!G734</f>
        <v>3484.8</v>
      </c>
      <c r="H233" s="11">
        <f>'Прил.№4 ведомств.'!I734</f>
        <v>3484.8</v>
      </c>
      <c r="I233" s="11">
        <f>'Прил.№4 ведомств.'!J734</f>
        <v>4171</v>
      </c>
      <c r="J233" s="11">
        <f>'Прил.№4 ведомств.'!K734</f>
        <v>4171</v>
      </c>
      <c r="K233" s="11">
        <f>'Прил.№4 ведомств.'!L734</f>
        <v>4171</v>
      </c>
      <c r="L233" s="11">
        <f>'Прил.№4 ведомств.'!M734</f>
        <v>3485</v>
      </c>
      <c r="M233" s="11">
        <f>'Прил.№4 ведомств.'!N734</f>
        <v>0</v>
      </c>
      <c r="N233" s="7">
        <f t="shared" si="122"/>
        <v>0</v>
      </c>
    </row>
    <row r="234" spans="1:14" ht="31.5">
      <c r="A234" s="31" t="s">
        <v>457</v>
      </c>
      <c r="B234" s="21" t="s">
        <v>523</v>
      </c>
      <c r="C234" s="42" t="s">
        <v>317</v>
      </c>
      <c r="D234" s="42" t="s">
        <v>317</v>
      </c>
      <c r="E234" s="42"/>
      <c r="F234" s="42" t="s">
        <v>716</v>
      </c>
      <c r="G234" s="11">
        <f>G228</f>
        <v>3484.8</v>
      </c>
      <c r="H234" s="11">
        <f t="shared" ref="H234:L234" si="135">H228</f>
        <v>3484.8</v>
      </c>
      <c r="I234" s="11">
        <f t="shared" si="135"/>
        <v>4171</v>
      </c>
      <c r="J234" s="11">
        <f t="shared" si="135"/>
        <v>4171</v>
      </c>
      <c r="K234" s="11">
        <f t="shared" si="135"/>
        <v>4171</v>
      </c>
      <c r="L234" s="11">
        <f t="shared" si="135"/>
        <v>3485</v>
      </c>
      <c r="M234" s="11">
        <f t="shared" ref="M234" si="136">M228</f>
        <v>0</v>
      </c>
      <c r="N234" s="7">
        <f t="shared" si="122"/>
        <v>0</v>
      </c>
    </row>
    <row r="235" spans="1:14" ht="47.25">
      <c r="A235" s="64" t="s">
        <v>208</v>
      </c>
      <c r="B235" s="278" t="s">
        <v>209</v>
      </c>
      <c r="C235" s="8"/>
      <c r="D235" s="278"/>
      <c r="E235" s="278"/>
      <c r="F235" s="278"/>
      <c r="G235" s="68">
        <f>G236+G242</f>
        <v>250</v>
      </c>
      <c r="H235" s="68">
        <f t="shared" ref="H235:L235" si="137">H236+H242</f>
        <v>250</v>
      </c>
      <c r="I235" s="68">
        <f t="shared" si="137"/>
        <v>540</v>
      </c>
      <c r="J235" s="68">
        <f t="shared" si="137"/>
        <v>540</v>
      </c>
      <c r="K235" s="68">
        <f t="shared" si="137"/>
        <v>540</v>
      </c>
      <c r="L235" s="68">
        <f t="shared" si="137"/>
        <v>250</v>
      </c>
      <c r="M235" s="68">
        <f t="shared" ref="M235" si="138">M236+M242</f>
        <v>0</v>
      </c>
      <c r="N235" s="4">
        <f t="shared" si="122"/>
        <v>0</v>
      </c>
    </row>
    <row r="236" spans="1:14" ht="15.75" hidden="1">
      <c r="A236" s="47" t="s">
        <v>170</v>
      </c>
      <c r="B236" s="6" t="s">
        <v>209</v>
      </c>
      <c r="C236" s="42" t="s">
        <v>171</v>
      </c>
      <c r="D236" s="6"/>
      <c r="E236" s="6"/>
      <c r="F236" s="6"/>
      <c r="G236" s="11">
        <f>G237</f>
        <v>250</v>
      </c>
      <c r="H236" s="11">
        <f t="shared" ref="H236:M239" si="139">H237</f>
        <v>250</v>
      </c>
      <c r="I236" s="11">
        <f t="shared" si="139"/>
        <v>0</v>
      </c>
      <c r="J236" s="11">
        <f t="shared" si="139"/>
        <v>0</v>
      </c>
      <c r="K236" s="11">
        <f t="shared" si="139"/>
        <v>0</v>
      </c>
      <c r="L236" s="11">
        <f t="shared" si="139"/>
        <v>0</v>
      </c>
      <c r="M236" s="11">
        <f t="shared" si="139"/>
        <v>0</v>
      </c>
      <c r="N236" s="4" t="e">
        <f t="shared" si="122"/>
        <v>#DIV/0!</v>
      </c>
    </row>
    <row r="237" spans="1:14" ht="15.75" hidden="1">
      <c r="A237" s="47" t="s">
        <v>192</v>
      </c>
      <c r="B237" s="6" t="s">
        <v>209</v>
      </c>
      <c r="C237" s="42" t="s">
        <v>171</v>
      </c>
      <c r="D237" s="6">
        <v>13</v>
      </c>
      <c r="E237" s="6"/>
      <c r="F237" s="6"/>
      <c r="G237" s="11">
        <f>G238</f>
        <v>250</v>
      </c>
      <c r="H237" s="11">
        <f t="shared" si="139"/>
        <v>250</v>
      </c>
      <c r="I237" s="11">
        <f t="shared" si="139"/>
        <v>0</v>
      </c>
      <c r="J237" s="11">
        <f t="shared" si="139"/>
        <v>0</v>
      </c>
      <c r="K237" s="11">
        <f t="shared" si="139"/>
        <v>0</v>
      </c>
      <c r="L237" s="11">
        <f t="shared" si="139"/>
        <v>0</v>
      </c>
      <c r="M237" s="11">
        <f t="shared" si="139"/>
        <v>0</v>
      </c>
      <c r="N237" s="4" t="e">
        <f t="shared" si="122"/>
        <v>#DIV/0!</v>
      </c>
    </row>
    <row r="238" spans="1:14" ht="31.5" hidden="1">
      <c r="A238" s="31" t="s">
        <v>210</v>
      </c>
      <c r="B238" s="6" t="s">
        <v>211</v>
      </c>
      <c r="C238" s="42" t="s">
        <v>171</v>
      </c>
      <c r="D238" s="42" t="s">
        <v>193</v>
      </c>
      <c r="E238" s="42"/>
      <c r="F238" s="42"/>
      <c r="G238" s="11">
        <f>G239</f>
        <v>250</v>
      </c>
      <c r="H238" s="11">
        <f t="shared" si="139"/>
        <v>250</v>
      </c>
      <c r="I238" s="11">
        <f t="shared" si="139"/>
        <v>0</v>
      </c>
      <c r="J238" s="11">
        <f t="shared" si="139"/>
        <v>0</v>
      </c>
      <c r="K238" s="11">
        <f t="shared" si="139"/>
        <v>0</v>
      </c>
      <c r="L238" s="11">
        <f t="shared" si="139"/>
        <v>0</v>
      </c>
      <c r="M238" s="11">
        <f t="shared" si="139"/>
        <v>0</v>
      </c>
      <c r="N238" s="4" t="e">
        <f t="shared" si="122"/>
        <v>#DIV/0!</v>
      </c>
    </row>
    <row r="239" spans="1:14" ht="31.5" hidden="1">
      <c r="A239" s="31" t="s">
        <v>184</v>
      </c>
      <c r="B239" s="6" t="s">
        <v>211</v>
      </c>
      <c r="C239" s="42" t="s">
        <v>171</v>
      </c>
      <c r="D239" s="42" t="s">
        <v>193</v>
      </c>
      <c r="E239" s="42" t="s">
        <v>198</v>
      </c>
      <c r="F239" s="42"/>
      <c r="G239" s="11">
        <f>G240</f>
        <v>250</v>
      </c>
      <c r="H239" s="11">
        <f t="shared" si="139"/>
        <v>250</v>
      </c>
      <c r="I239" s="11">
        <f t="shared" si="139"/>
        <v>0</v>
      </c>
      <c r="J239" s="11">
        <f t="shared" si="139"/>
        <v>0</v>
      </c>
      <c r="K239" s="11">
        <f t="shared" si="139"/>
        <v>0</v>
      </c>
      <c r="L239" s="11">
        <f t="shared" si="139"/>
        <v>0</v>
      </c>
      <c r="M239" s="11">
        <f t="shared" si="139"/>
        <v>0</v>
      </c>
      <c r="N239" s="4" t="e">
        <f t="shared" si="122"/>
        <v>#DIV/0!</v>
      </c>
    </row>
    <row r="240" spans="1:14" ht="47.25" hidden="1">
      <c r="A240" s="31" t="s">
        <v>237</v>
      </c>
      <c r="B240" s="6" t="s">
        <v>211</v>
      </c>
      <c r="C240" s="42" t="s">
        <v>171</v>
      </c>
      <c r="D240" s="42" t="s">
        <v>193</v>
      </c>
      <c r="E240" s="42" t="s">
        <v>213</v>
      </c>
      <c r="F240" s="42"/>
      <c r="G240" s="11">
        <f>'Прил.№4 ведомств.'!G67</f>
        <v>250</v>
      </c>
      <c r="H240" s="11">
        <f>'Прил.№4 ведомств.'!I67</f>
        <v>250</v>
      </c>
      <c r="I240" s="11">
        <f>'Прил.№4 ведомств.'!J67</f>
        <v>0</v>
      </c>
      <c r="J240" s="11">
        <f>'Прил.№4 ведомств.'!K67</f>
        <v>0</v>
      </c>
      <c r="K240" s="11">
        <f>'Прил.№4 ведомств.'!L67</f>
        <v>0</v>
      </c>
      <c r="L240" s="11">
        <f>'Прил.№4 ведомств.'!M67</f>
        <v>0</v>
      </c>
      <c r="M240" s="11">
        <f>'Прил.№4 ведомств.'!N67</f>
        <v>0</v>
      </c>
      <c r="N240" s="4" t="e">
        <f t="shared" si="122"/>
        <v>#DIV/0!</v>
      </c>
    </row>
    <row r="241" spans="1:14" ht="15.75" hidden="1">
      <c r="A241" s="31" t="s">
        <v>201</v>
      </c>
      <c r="B241" s="6" t="s">
        <v>209</v>
      </c>
      <c r="C241" s="42" t="s">
        <v>171</v>
      </c>
      <c r="D241" s="42" t="s">
        <v>193</v>
      </c>
      <c r="E241" s="42"/>
      <c r="F241" s="42" t="s">
        <v>721</v>
      </c>
      <c r="G241" s="11">
        <f>G235</f>
        <v>250</v>
      </c>
      <c r="H241" s="11">
        <f t="shared" ref="H241:K241" si="140">H235</f>
        <v>250</v>
      </c>
      <c r="I241" s="11">
        <f t="shared" si="140"/>
        <v>540</v>
      </c>
      <c r="J241" s="11">
        <f t="shared" si="140"/>
        <v>540</v>
      </c>
      <c r="K241" s="11">
        <f t="shared" si="140"/>
        <v>540</v>
      </c>
      <c r="L241" s="11">
        <f>L236</f>
        <v>0</v>
      </c>
      <c r="M241" s="11">
        <f t="shared" ref="M241" si="141">M236</f>
        <v>0</v>
      </c>
      <c r="N241" s="4" t="e">
        <f t="shared" si="122"/>
        <v>#DIV/0!</v>
      </c>
    </row>
    <row r="242" spans="1:14" ht="15.75">
      <c r="A242" s="47" t="s">
        <v>285</v>
      </c>
      <c r="B242" s="6" t="s">
        <v>209</v>
      </c>
      <c r="C242" s="42" t="s">
        <v>203</v>
      </c>
      <c r="D242" s="42"/>
      <c r="E242" s="42"/>
      <c r="F242" s="42"/>
      <c r="G242" s="11">
        <f>G243</f>
        <v>0</v>
      </c>
      <c r="H242" s="11">
        <f t="shared" ref="H242:M245" si="142">H243</f>
        <v>0</v>
      </c>
      <c r="I242" s="11">
        <f t="shared" si="142"/>
        <v>540</v>
      </c>
      <c r="J242" s="11">
        <f t="shared" si="142"/>
        <v>540</v>
      </c>
      <c r="K242" s="11">
        <f t="shared" si="142"/>
        <v>540</v>
      </c>
      <c r="L242" s="11">
        <f t="shared" si="142"/>
        <v>250</v>
      </c>
      <c r="M242" s="11">
        <f t="shared" si="142"/>
        <v>0</v>
      </c>
      <c r="N242" s="7">
        <f t="shared" si="122"/>
        <v>0</v>
      </c>
    </row>
    <row r="243" spans="1:14" ht="15.75">
      <c r="A243" s="47" t="s">
        <v>938</v>
      </c>
      <c r="B243" s="6" t="s">
        <v>209</v>
      </c>
      <c r="C243" s="42" t="s">
        <v>203</v>
      </c>
      <c r="D243" s="42" t="s">
        <v>291</v>
      </c>
      <c r="E243" s="42"/>
      <c r="F243" s="42"/>
      <c r="G243" s="11">
        <f>G244</f>
        <v>0</v>
      </c>
      <c r="H243" s="11">
        <f t="shared" si="142"/>
        <v>0</v>
      </c>
      <c r="I243" s="11">
        <f t="shared" si="142"/>
        <v>540</v>
      </c>
      <c r="J243" s="11">
        <f t="shared" si="142"/>
        <v>540</v>
      </c>
      <c r="K243" s="11">
        <f t="shared" si="142"/>
        <v>540</v>
      </c>
      <c r="L243" s="11">
        <f t="shared" si="142"/>
        <v>250</v>
      </c>
      <c r="M243" s="11">
        <f t="shared" si="142"/>
        <v>0</v>
      </c>
      <c r="N243" s="7">
        <f t="shared" si="122"/>
        <v>0</v>
      </c>
    </row>
    <row r="244" spans="1:14" ht="31.5">
      <c r="A244" s="31" t="s">
        <v>210</v>
      </c>
      <c r="B244" s="6" t="s">
        <v>211</v>
      </c>
      <c r="C244" s="42" t="s">
        <v>203</v>
      </c>
      <c r="D244" s="42" t="s">
        <v>291</v>
      </c>
      <c r="E244" s="42"/>
      <c r="F244" s="42"/>
      <c r="G244" s="11">
        <f>G245</f>
        <v>0</v>
      </c>
      <c r="H244" s="11">
        <f t="shared" si="142"/>
        <v>0</v>
      </c>
      <c r="I244" s="11">
        <f t="shared" si="142"/>
        <v>540</v>
      </c>
      <c r="J244" s="11">
        <f t="shared" si="142"/>
        <v>540</v>
      </c>
      <c r="K244" s="11">
        <f t="shared" si="142"/>
        <v>540</v>
      </c>
      <c r="L244" s="11">
        <f t="shared" si="142"/>
        <v>250</v>
      </c>
      <c r="M244" s="11">
        <f t="shared" si="142"/>
        <v>0</v>
      </c>
      <c r="N244" s="7">
        <f t="shared" si="122"/>
        <v>0</v>
      </c>
    </row>
    <row r="245" spans="1:14" ht="31.5">
      <c r="A245" s="31" t="s">
        <v>184</v>
      </c>
      <c r="B245" s="6" t="s">
        <v>211</v>
      </c>
      <c r="C245" s="42" t="s">
        <v>203</v>
      </c>
      <c r="D245" s="42" t="s">
        <v>291</v>
      </c>
      <c r="E245" s="42"/>
      <c r="F245" s="42"/>
      <c r="G245" s="11">
        <f>G246</f>
        <v>0</v>
      </c>
      <c r="H245" s="11">
        <f t="shared" si="142"/>
        <v>0</v>
      </c>
      <c r="I245" s="11">
        <f t="shared" si="142"/>
        <v>540</v>
      </c>
      <c r="J245" s="11">
        <f t="shared" si="142"/>
        <v>540</v>
      </c>
      <c r="K245" s="11">
        <f t="shared" si="142"/>
        <v>540</v>
      </c>
      <c r="L245" s="11">
        <f t="shared" si="142"/>
        <v>250</v>
      </c>
      <c r="M245" s="11">
        <f t="shared" si="142"/>
        <v>0</v>
      </c>
      <c r="N245" s="7">
        <f t="shared" si="122"/>
        <v>0</v>
      </c>
    </row>
    <row r="246" spans="1:14" ht="47.25">
      <c r="A246" s="31" t="s">
        <v>237</v>
      </c>
      <c r="B246" s="6" t="s">
        <v>211</v>
      </c>
      <c r="C246" s="42" t="s">
        <v>203</v>
      </c>
      <c r="D246" s="42" t="s">
        <v>291</v>
      </c>
      <c r="E246" s="42"/>
      <c r="F246" s="42"/>
      <c r="G246" s="11">
        <v>0</v>
      </c>
      <c r="H246" s="11">
        <v>0</v>
      </c>
      <c r="I246" s="11">
        <v>540</v>
      </c>
      <c r="J246" s="11">
        <v>540</v>
      </c>
      <c r="K246" s="11">
        <v>540</v>
      </c>
      <c r="L246" s="11">
        <f>'Прил.№4 ведомств.'!M207</f>
        <v>250</v>
      </c>
      <c r="M246" s="11">
        <f>'Прил.№4 ведомств.'!N207</f>
        <v>0</v>
      </c>
      <c r="N246" s="7">
        <f t="shared" si="122"/>
        <v>0</v>
      </c>
    </row>
    <row r="247" spans="1:14" ht="15.75">
      <c r="A247" s="31" t="s">
        <v>201</v>
      </c>
      <c r="B247" s="6" t="s">
        <v>209</v>
      </c>
      <c r="C247" s="42" t="s">
        <v>203</v>
      </c>
      <c r="D247" s="42" t="s">
        <v>291</v>
      </c>
      <c r="E247" s="42"/>
      <c r="F247" s="42" t="s">
        <v>721</v>
      </c>
      <c r="G247" s="11">
        <f>G242</f>
        <v>0</v>
      </c>
      <c r="H247" s="11">
        <f t="shared" ref="H247:L247" si="143">H242</f>
        <v>0</v>
      </c>
      <c r="I247" s="11">
        <f t="shared" si="143"/>
        <v>540</v>
      </c>
      <c r="J247" s="11">
        <f t="shared" si="143"/>
        <v>540</v>
      </c>
      <c r="K247" s="11">
        <f t="shared" si="143"/>
        <v>540</v>
      </c>
      <c r="L247" s="11">
        <f t="shared" si="143"/>
        <v>250</v>
      </c>
      <c r="M247" s="11">
        <f t="shared" ref="M247" si="144">M242</f>
        <v>0</v>
      </c>
      <c r="N247" s="7">
        <f t="shared" si="122"/>
        <v>0</v>
      </c>
    </row>
    <row r="248" spans="1:14" ht="73.5" customHeight="1">
      <c r="A248" s="43" t="s">
        <v>214</v>
      </c>
      <c r="B248" s="278" t="s">
        <v>215</v>
      </c>
      <c r="C248" s="8"/>
      <c r="D248" s="8"/>
      <c r="E248" s="8"/>
      <c r="F248" s="8"/>
      <c r="G248" s="68">
        <f>G249</f>
        <v>654</v>
      </c>
      <c r="H248" s="68">
        <f t="shared" ref="H248:M249" si="145">H249</f>
        <v>654</v>
      </c>
      <c r="I248" s="68">
        <f t="shared" si="145"/>
        <v>669</v>
      </c>
      <c r="J248" s="68">
        <f t="shared" si="145"/>
        <v>669</v>
      </c>
      <c r="K248" s="68">
        <f t="shared" si="145"/>
        <v>669</v>
      </c>
      <c r="L248" s="68">
        <f t="shared" si="145"/>
        <v>741</v>
      </c>
      <c r="M248" s="68">
        <f t="shared" si="145"/>
        <v>102.80000000000001</v>
      </c>
      <c r="N248" s="4">
        <f t="shared" si="122"/>
        <v>13.873144399460191</v>
      </c>
    </row>
    <row r="249" spans="1:14" ht="15.75">
      <c r="A249" s="47" t="s">
        <v>170</v>
      </c>
      <c r="B249" s="6" t="s">
        <v>215</v>
      </c>
      <c r="C249" s="42" t="s">
        <v>171</v>
      </c>
      <c r="D249" s="6"/>
      <c r="E249" s="6"/>
      <c r="F249" s="42"/>
      <c r="G249" s="11">
        <f>G250</f>
        <v>654</v>
      </c>
      <c r="H249" s="11">
        <f t="shared" si="145"/>
        <v>654</v>
      </c>
      <c r="I249" s="11">
        <f t="shared" si="145"/>
        <v>669</v>
      </c>
      <c r="J249" s="11">
        <f t="shared" si="145"/>
        <v>669</v>
      </c>
      <c r="K249" s="11">
        <f t="shared" si="145"/>
        <v>669</v>
      </c>
      <c r="L249" s="11">
        <f t="shared" si="145"/>
        <v>741</v>
      </c>
      <c r="M249" s="11">
        <f t="shared" si="145"/>
        <v>102.80000000000001</v>
      </c>
      <c r="N249" s="7">
        <f t="shared" si="122"/>
        <v>13.873144399460191</v>
      </c>
    </row>
    <row r="250" spans="1:14" ht="15.75">
      <c r="A250" s="47" t="s">
        <v>192</v>
      </c>
      <c r="B250" s="6" t="s">
        <v>215</v>
      </c>
      <c r="C250" s="42" t="s">
        <v>171</v>
      </c>
      <c r="D250" s="6">
        <v>13</v>
      </c>
      <c r="E250" s="6"/>
      <c r="F250" s="42"/>
      <c r="G250" s="11">
        <f>G251+G254+G260+G263</f>
        <v>654</v>
      </c>
      <c r="H250" s="11">
        <f t="shared" ref="H250:L250" si="146">H251+H254+H260+H263</f>
        <v>654</v>
      </c>
      <c r="I250" s="11">
        <f t="shared" si="146"/>
        <v>669</v>
      </c>
      <c r="J250" s="11">
        <f t="shared" si="146"/>
        <v>669</v>
      </c>
      <c r="K250" s="11">
        <f t="shared" si="146"/>
        <v>669</v>
      </c>
      <c r="L250" s="11">
        <f t="shared" si="146"/>
        <v>741</v>
      </c>
      <c r="M250" s="11">
        <f t="shared" ref="M250" si="147">M251+M254+M260+M263</f>
        <v>102.80000000000001</v>
      </c>
      <c r="N250" s="7">
        <f t="shared" si="122"/>
        <v>13.873144399460191</v>
      </c>
    </row>
    <row r="251" spans="1:14" ht="31.5">
      <c r="A251" s="31" t="s">
        <v>216</v>
      </c>
      <c r="B251" s="42" t="s">
        <v>217</v>
      </c>
      <c r="C251" s="42" t="s">
        <v>171</v>
      </c>
      <c r="D251" s="42" t="s">
        <v>193</v>
      </c>
      <c r="E251" s="42"/>
      <c r="F251" s="42"/>
      <c r="G251" s="11">
        <f>G252</f>
        <v>428.1</v>
      </c>
      <c r="H251" s="11">
        <f t="shared" ref="H251:M252" si="148">H252</f>
        <v>428.1</v>
      </c>
      <c r="I251" s="11">
        <f t="shared" si="148"/>
        <v>428.1</v>
      </c>
      <c r="J251" s="11">
        <f t="shared" si="148"/>
        <v>428.1</v>
      </c>
      <c r="K251" s="11">
        <f t="shared" si="148"/>
        <v>428.1</v>
      </c>
      <c r="L251" s="11">
        <f t="shared" si="148"/>
        <v>491</v>
      </c>
      <c r="M251" s="11">
        <f t="shared" si="148"/>
        <v>80.2</v>
      </c>
      <c r="N251" s="7">
        <f t="shared" si="122"/>
        <v>16.334012219959266</v>
      </c>
    </row>
    <row r="252" spans="1:14" ht="31.5">
      <c r="A252" s="31" t="s">
        <v>184</v>
      </c>
      <c r="B252" s="42" t="s">
        <v>217</v>
      </c>
      <c r="C252" s="42" t="s">
        <v>171</v>
      </c>
      <c r="D252" s="42" t="s">
        <v>193</v>
      </c>
      <c r="E252" s="42" t="s">
        <v>185</v>
      </c>
      <c r="F252" s="42"/>
      <c r="G252" s="11">
        <f>G253</f>
        <v>428.1</v>
      </c>
      <c r="H252" s="11">
        <f t="shared" si="148"/>
        <v>428.1</v>
      </c>
      <c r="I252" s="11">
        <f t="shared" si="148"/>
        <v>428.1</v>
      </c>
      <c r="J252" s="11">
        <f t="shared" si="148"/>
        <v>428.1</v>
      </c>
      <c r="K252" s="11">
        <f t="shared" si="148"/>
        <v>428.1</v>
      </c>
      <c r="L252" s="11">
        <f t="shared" si="148"/>
        <v>491</v>
      </c>
      <c r="M252" s="11">
        <f t="shared" si="148"/>
        <v>80.2</v>
      </c>
      <c r="N252" s="7">
        <f t="shared" si="122"/>
        <v>16.334012219959266</v>
      </c>
    </row>
    <row r="253" spans="1:14" ht="31.5">
      <c r="A253" s="31" t="s">
        <v>186</v>
      </c>
      <c r="B253" s="42" t="s">
        <v>217</v>
      </c>
      <c r="C253" s="42" t="s">
        <v>171</v>
      </c>
      <c r="D253" s="42" t="s">
        <v>193</v>
      </c>
      <c r="E253" s="42" t="s">
        <v>187</v>
      </c>
      <c r="F253" s="42"/>
      <c r="G253" s="11">
        <f>'Прил.№4 ведомств.'!G71</f>
        <v>428.1</v>
      </c>
      <c r="H253" s="11">
        <f>'Прил.№4 ведомств.'!I71</f>
        <v>428.1</v>
      </c>
      <c r="I253" s="11">
        <f>'Прил.№4 ведомств.'!J71</f>
        <v>428.1</v>
      </c>
      <c r="J253" s="11">
        <f>'Прил.№4 ведомств.'!K71</f>
        <v>428.1</v>
      </c>
      <c r="K253" s="11">
        <f>'Прил.№4 ведомств.'!L71</f>
        <v>428.1</v>
      </c>
      <c r="L253" s="11">
        <f>'Прил.№4 ведомств.'!M71</f>
        <v>491</v>
      </c>
      <c r="M253" s="11">
        <f>'Прил.№4 ведомств.'!N71</f>
        <v>80.2</v>
      </c>
      <c r="N253" s="7">
        <f t="shared" si="122"/>
        <v>16.334012219959266</v>
      </c>
    </row>
    <row r="254" spans="1:14" ht="47.25">
      <c r="A254" s="206" t="s">
        <v>218</v>
      </c>
      <c r="B254" s="42" t="s">
        <v>219</v>
      </c>
      <c r="C254" s="42" t="s">
        <v>171</v>
      </c>
      <c r="D254" s="42" t="s">
        <v>193</v>
      </c>
      <c r="E254" s="42"/>
      <c r="F254" s="42"/>
      <c r="G254" s="11">
        <f>G255+G257</f>
        <v>224.89999999999998</v>
      </c>
      <c r="H254" s="11">
        <f t="shared" ref="H254:L254" si="149">H255+H257</f>
        <v>224.89999999999998</v>
      </c>
      <c r="I254" s="11">
        <f t="shared" si="149"/>
        <v>239.89999999999998</v>
      </c>
      <c r="J254" s="11">
        <f t="shared" si="149"/>
        <v>239.89999999999998</v>
      </c>
      <c r="K254" s="11">
        <f t="shared" si="149"/>
        <v>239.89999999999998</v>
      </c>
      <c r="L254" s="11">
        <f t="shared" si="149"/>
        <v>249.5</v>
      </c>
      <c r="M254" s="11">
        <f t="shared" ref="M254" si="150">M255+M257</f>
        <v>22.6</v>
      </c>
      <c r="N254" s="7">
        <f t="shared" si="122"/>
        <v>9.0581162324649291</v>
      </c>
    </row>
    <row r="255" spans="1:14" ht="78.75">
      <c r="A255" s="31" t="s">
        <v>180</v>
      </c>
      <c r="B255" s="42" t="s">
        <v>219</v>
      </c>
      <c r="C255" s="42" t="s">
        <v>171</v>
      </c>
      <c r="D255" s="42" t="s">
        <v>193</v>
      </c>
      <c r="E255" s="42" t="s">
        <v>181</v>
      </c>
      <c r="F255" s="42"/>
      <c r="G255" s="11">
        <f>G256</f>
        <v>159.69999999999999</v>
      </c>
      <c r="H255" s="11">
        <f t="shared" ref="H255:M255" si="151">H256</f>
        <v>159.69999999999999</v>
      </c>
      <c r="I255" s="11">
        <f t="shared" si="151"/>
        <v>159.69999999999999</v>
      </c>
      <c r="J255" s="11">
        <f t="shared" si="151"/>
        <v>159.69999999999999</v>
      </c>
      <c r="K255" s="11">
        <f t="shared" si="151"/>
        <v>159.69999999999999</v>
      </c>
      <c r="L255" s="11">
        <f t="shared" si="151"/>
        <v>159.69999999999999</v>
      </c>
      <c r="M255" s="11">
        <f t="shared" si="151"/>
        <v>22.6</v>
      </c>
      <c r="N255" s="7">
        <f t="shared" si="122"/>
        <v>14.151534126487164</v>
      </c>
    </row>
    <row r="256" spans="1:14" ht="31.5">
      <c r="A256" s="31" t="s">
        <v>182</v>
      </c>
      <c r="B256" s="42" t="s">
        <v>219</v>
      </c>
      <c r="C256" s="42" t="s">
        <v>171</v>
      </c>
      <c r="D256" s="42" t="s">
        <v>193</v>
      </c>
      <c r="E256" s="42" t="s">
        <v>183</v>
      </c>
      <c r="F256" s="42"/>
      <c r="G256" s="11">
        <f>'Прил.№4 ведомств.'!G74</f>
        <v>159.69999999999999</v>
      </c>
      <c r="H256" s="11">
        <f>'Прил.№4 ведомств.'!I74</f>
        <v>159.69999999999999</v>
      </c>
      <c r="I256" s="11">
        <f>'Прил.№4 ведомств.'!J74</f>
        <v>159.69999999999999</v>
      </c>
      <c r="J256" s="11">
        <f>'Прил.№4 ведомств.'!K74</f>
        <v>159.69999999999999</v>
      </c>
      <c r="K256" s="11">
        <f>'Прил.№4 ведомств.'!L74</f>
        <v>159.69999999999999</v>
      </c>
      <c r="L256" s="11">
        <f>'Прил.№4 ведомств.'!M74</f>
        <v>159.69999999999999</v>
      </c>
      <c r="M256" s="11">
        <f>'Прил.№4 ведомств.'!N74</f>
        <v>22.6</v>
      </c>
      <c r="N256" s="7">
        <f t="shared" si="122"/>
        <v>14.151534126487164</v>
      </c>
    </row>
    <row r="257" spans="1:14" ht="31.5">
      <c r="A257" s="31" t="s">
        <v>184</v>
      </c>
      <c r="B257" s="42" t="s">
        <v>219</v>
      </c>
      <c r="C257" s="42" t="s">
        <v>171</v>
      </c>
      <c r="D257" s="42" t="s">
        <v>193</v>
      </c>
      <c r="E257" s="42" t="s">
        <v>185</v>
      </c>
      <c r="F257" s="42"/>
      <c r="G257" s="11">
        <f>G258</f>
        <v>65.2</v>
      </c>
      <c r="H257" s="11">
        <f t="shared" ref="H257:M257" si="152">H258</f>
        <v>65.2</v>
      </c>
      <c r="I257" s="11">
        <f t="shared" si="152"/>
        <v>80.199999999999989</v>
      </c>
      <c r="J257" s="11">
        <f t="shared" si="152"/>
        <v>80.199999999999989</v>
      </c>
      <c r="K257" s="11">
        <f t="shared" si="152"/>
        <v>80.199999999999989</v>
      </c>
      <c r="L257" s="11">
        <f t="shared" si="152"/>
        <v>89.800000000000011</v>
      </c>
      <c r="M257" s="11">
        <f t="shared" si="152"/>
        <v>0</v>
      </c>
      <c r="N257" s="7">
        <f t="shared" si="122"/>
        <v>0</v>
      </c>
    </row>
    <row r="258" spans="1:14" ht="31.5">
      <c r="A258" s="31" t="s">
        <v>186</v>
      </c>
      <c r="B258" s="42" t="s">
        <v>219</v>
      </c>
      <c r="C258" s="42" t="s">
        <v>171</v>
      </c>
      <c r="D258" s="42" t="s">
        <v>193</v>
      </c>
      <c r="E258" s="42" t="s">
        <v>187</v>
      </c>
      <c r="F258" s="42"/>
      <c r="G258" s="11">
        <f>'Прил.№4 ведомств.'!G76</f>
        <v>65.2</v>
      </c>
      <c r="H258" s="11">
        <f>'Прил.№4 ведомств.'!I76</f>
        <v>65.2</v>
      </c>
      <c r="I258" s="11">
        <f>'Прил.№4 ведомств.'!J76</f>
        <v>80.199999999999989</v>
      </c>
      <c r="J258" s="11">
        <f>'Прил.№4 ведомств.'!K76</f>
        <v>80.199999999999989</v>
      </c>
      <c r="K258" s="11">
        <f>'Прил.№4 ведомств.'!L76</f>
        <v>80.199999999999989</v>
      </c>
      <c r="L258" s="11">
        <f>'Прил.№4 ведомств.'!M76</f>
        <v>89.800000000000011</v>
      </c>
      <c r="M258" s="11">
        <f>'Прил.№4 ведомств.'!N76</f>
        <v>0</v>
      </c>
      <c r="N258" s="7">
        <f t="shared" si="122"/>
        <v>0</v>
      </c>
    </row>
    <row r="259" spans="1:14" ht="15.75">
      <c r="A259" s="31" t="s">
        <v>201</v>
      </c>
      <c r="B259" s="42" t="s">
        <v>215</v>
      </c>
      <c r="C259" s="42" t="s">
        <v>171</v>
      </c>
      <c r="D259" s="42" t="s">
        <v>193</v>
      </c>
      <c r="E259" s="42"/>
      <c r="F259" s="42" t="s">
        <v>721</v>
      </c>
      <c r="G259" s="11"/>
      <c r="H259" s="11"/>
      <c r="I259" s="11"/>
      <c r="J259" s="11"/>
      <c r="K259" s="11"/>
      <c r="L259" s="11">
        <f>L251+L254</f>
        <v>740.5</v>
      </c>
      <c r="M259" s="11">
        <f t="shared" ref="M259" si="153">M251+M254</f>
        <v>102.80000000000001</v>
      </c>
      <c r="N259" s="7">
        <f t="shared" si="122"/>
        <v>13.882511816340312</v>
      </c>
    </row>
    <row r="260" spans="1:14" ht="47.25">
      <c r="A260" s="33" t="s">
        <v>779</v>
      </c>
      <c r="B260" s="42" t="s">
        <v>780</v>
      </c>
      <c r="C260" s="42" t="s">
        <v>171</v>
      </c>
      <c r="D260" s="42" t="s">
        <v>193</v>
      </c>
      <c r="E260" s="42"/>
      <c r="F260" s="42"/>
      <c r="G260" s="11">
        <f>G261</f>
        <v>0.5</v>
      </c>
      <c r="H260" s="11">
        <f t="shared" ref="H260:M261" si="154">H261</f>
        <v>0.5</v>
      </c>
      <c r="I260" s="11">
        <f t="shared" si="154"/>
        <v>0.5</v>
      </c>
      <c r="J260" s="11">
        <f t="shared" si="154"/>
        <v>0.5</v>
      </c>
      <c r="K260" s="11">
        <f t="shared" si="154"/>
        <v>0.5</v>
      </c>
      <c r="L260" s="11">
        <f t="shared" si="154"/>
        <v>0.5</v>
      </c>
      <c r="M260" s="11">
        <f t="shared" si="154"/>
        <v>0</v>
      </c>
      <c r="N260" s="7">
        <f t="shared" si="122"/>
        <v>0</v>
      </c>
    </row>
    <row r="261" spans="1:14" ht="31.5">
      <c r="A261" s="26" t="s">
        <v>184</v>
      </c>
      <c r="B261" s="42" t="s">
        <v>780</v>
      </c>
      <c r="C261" s="42" t="s">
        <v>171</v>
      </c>
      <c r="D261" s="42" t="s">
        <v>193</v>
      </c>
      <c r="E261" s="42" t="s">
        <v>185</v>
      </c>
      <c r="F261" s="42"/>
      <c r="G261" s="11">
        <f>G262</f>
        <v>0.5</v>
      </c>
      <c r="H261" s="11">
        <f t="shared" si="154"/>
        <v>0.5</v>
      </c>
      <c r="I261" s="11">
        <f t="shared" si="154"/>
        <v>0.5</v>
      </c>
      <c r="J261" s="11">
        <f t="shared" si="154"/>
        <v>0.5</v>
      </c>
      <c r="K261" s="11">
        <f t="shared" si="154"/>
        <v>0.5</v>
      </c>
      <c r="L261" s="11">
        <f t="shared" si="154"/>
        <v>0.5</v>
      </c>
      <c r="M261" s="11">
        <f t="shared" si="154"/>
        <v>0</v>
      </c>
      <c r="N261" s="7">
        <f t="shared" si="122"/>
        <v>0</v>
      </c>
    </row>
    <row r="262" spans="1:14" ht="31.5">
      <c r="A262" s="26" t="s">
        <v>186</v>
      </c>
      <c r="B262" s="42" t="s">
        <v>780</v>
      </c>
      <c r="C262" s="42" t="s">
        <v>171</v>
      </c>
      <c r="D262" s="42" t="s">
        <v>193</v>
      </c>
      <c r="E262" s="42" t="s">
        <v>187</v>
      </c>
      <c r="F262" s="42"/>
      <c r="G262" s="11">
        <f>'Прил.№4 ведомств.'!G1080</f>
        <v>0.5</v>
      </c>
      <c r="H262" s="11">
        <f>'Прил.№4 ведомств.'!I1080</f>
        <v>0.5</v>
      </c>
      <c r="I262" s="11">
        <f>'Прил.№4 ведомств.'!J1080</f>
        <v>0.5</v>
      </c>
      <c r="J262" s="11">
        <f>'Прил.№4 ведомств.'!K1080</f>
        <v>0.5</v>
      </c>
      <c r="K262" s="11">
        <f>'Прил.№4 ведомств.'!L1080</f>
        <v>0.5</v>
      </c>
      <c r="L262" s="11">
        <f>'Прил.№4 ведомств.'!M1080</f>
        <v>0.5</v>
      </c>
      <c r="M262" s="11">
        <f>'Прил.№4 ведомств.'!N1080</f>
        <v>0</v>
      </c>
      <c r="N262" s="7">
        <f t="shared" si="122"/>
        <v>0</v>
      </c>
    </row>
    <row r="263" spans="1:14" ht="47.25" hidden="1">
      <c r="A263" s="35" t="s">
        <v>244</v>
      </c>
      <c r="B263" s="42" t="s">
        <v>766</v>
      </c>
      <c r="C263" s="42" t="s">
        <v>171</v>
      </c>
      <c r="D263" s="42" t="s">
        <v>193</v>
      </c>
      <c r="E263" s="42"/>
      <c r="F263" s="42"/>
      <c r="G263" s="11">
        <f>G264</f>
        <v>0.5</v>
      </c>
      <c r="H263" s="11">
        <f t="shared" ref="H263:M264" si="155">H264</f>
        <v>0.5</v>
      </c>
      <c r="I263" s="11">
        <f t="shared" si="155"/>
        <v>0.5</v>
      </c>
      <c r="J263" s="11">
        <f t="shared" si="155"/>
        <v>0.5</v>
      </c>
      <c r="K263" s="11">
        <f t="shared" si="155"/>
        <v>0.5</v>
      </c>
      <c r="L263" s="11">
        <f t="shared" si="155"/>
        <v>0</v>
      </c>
      <c r="M263" s="11">
        <f t="shared" si="155"/>
        <v>0</v>
      </c>
      <c r="N263" s="7" t="e">
        <f t="shared" si="122"/>
        <v>#DIV/0!</v>
      </c>
    </row>
    <row r="264" spans="1:14" ht="31.5" hidden="1">
      <c r="A264" s="26" t="s">
        <v>184</v>
      </c>
      <c r="B264" s="42" t="s">
        <v>766</v>
      </c>
      <c r="C264" s="42" t="s">
        <v>171</v>
      </c>
      <c r="D264" s="42" t="s">
        <v>193</v>
      </c>
      <c r="E264" s="42" t="s">
        <v>185</v>
      </c>
      <c r="F264" s="42"/>
      <c r="G264" s="11">
        <f>G265</f>
        <v>0.5</v>
      </c>
      <c r="H264" s="11">
        <f t="shared" si="155"/>
        <v>0.5</v>
      </c>
      <c r="I264" s="11">
        <f t="shared" si="155"/>
        <v>0.5</v>
      </c>
      <c r="J264" s="11">
        <f t="shared" si="155"/>
        <v>0.5</v>
      </c>
      <c r="K264" s="11">
        <f t="shared" si="155"/>
        <v>0.5</v>
      </c>
      <c r="L264" s="11">
        <f t="shared" si="155"/>
        <v>0</v>
      </c>
      <c r="M264" s="11">
        <f t="shared" si="155"/>
        <v>0</v>
      </c>
      <c r="N264" s="7" t="e">
        <f t="shared" si="122"/>
        <v>#DIV/0!</v>
      </c>
    </row>
    <row r="265" spans="1:14" ht="31.5" hidden="1">
      <c r="A265" s="26" t="s">
        <v>186</v>
      </c>
      <c r="B265" s="42" t="s">
        <v>766</v>
      </c>
      <c r="C265" s="42" t="s">
        <v>171</v>
      </c>
      <c r="D265" s="42" t="s">
        <v>193</v>
      </c>
      <c r="E265" s="42" t="s">
        <v>187</v>
      </c>
      <c r="F265" s="42"/>
      <c r="G265" s="11">
        <f>'Прил.№4 ведомств.'!G79</f>
        <v>0.5</v>
      </c>
      <c r="H265" s="11">
        <f>'Прил.№4 ведомств.'!I79</f>
        <v>0.5</v>
      </c>
      <c r="I265" s="11">
        <f>'Прил.№4 ведомств.'!J79</f>
        <v>0.5</v>
      </c>
      <c r="J265" s="11">
        <f>'Прил.№4 ведомств.'!K79</f>
        <v>0.5</v>
      </c>
      <c r="K265" s="11">
        <f>'Прил.№4 ведомств.'!L79</f>
        <v>0.5</v>
      </c>
      <c r="L265" s="11">
        <f>'Прил.№4 ведомств.'!M79</f>
        <v>0</v>
      </c>
      <c r="M265" s="11">
        <f>'Прил.№4 ведомств.'!N79</f>
        <v>0</v>
      </c>
      <c r="N265" s="7" t="e">
        <f t="shared" si="122"/>
        <v>#DIV/0!</v>
      </c>
    </row>
    <row r="266" spans="1:14" ht="31.5">
      <c r="A266" s="31" t="s">
        <v>628</v>
      </c>
      <c r="B266" s="42" t="s">
        <v>215</v>
      </c>
      <c r="C266" s="42" t="s">
        <v>171</v>
      </c>
      <c r="D266" s="42" t="s">
        <v>193</v>
      </c>
      <c r="E266" s="42"/>
      <c r="F266" s="42" t="s">
        <v>998</v>
      </c>
      <c r="G266" s="11">
        <f>G248</f>
        <v>654</v>
      </c>
      <c r="H266" s="11">
        <f t="shared" ref="H266:K266" si="156">H248</f>
        <v>654</v>
      </c>
      <c r="I266" s="11">
        <f t="shared" si="156"/>
        <v>669</v>
      </c>
      <c r="J266" s="11">
        <f t="shared" si="156"/>
        <v>669</v>
      </c>
      <c r="K266" s="11">
        <f t="shared" si="156"/>
        <v>669</v>
      </c>
      <c r="L266" s="11">
        <f>L260</f>
        <v>0.5</v>
      </c>
      <c r="M266" s="11">
        <f t="shared" ref="M266" si="157">M260</f>
        <v>0</v>
      </c>
      <c r="N266" s="7">
        <f t="shared" si="122"/>
        <v>0</v>
      </c>
    </row>
    <row r="267" spans="1:14" ht="78.75">
      <c r="A267" s="43" t="s">
        <v>306</v>
      </c>
      <c r="B267" s="278" t="s">
        <v>307</v>
      </c>
      <c r="C267" s="42"/>
      <c r="D267" s="42"/>
      <c r="E267" s="42"/>
      <c r="F267" s="42"/>
      <c r="G267" s="68">
        <f>G268</f>
        <v>10</v>
      </c>
      <c r="H267" s="68">
        <f t="shared" ref="H267:M271" si="158">H268</f>
        <v>0</v>
      </c>
      <c r="I267" s="68">
        <f t="shared" si="158"/>
        <v>10</v>
      </c>
      <c r="J267" s="68">
        <f t="shared" si="158"/>
        <v>10</v>
      </c>
      <c r="K267" s="68">
        <f t="shared" si="158"/>
        <v>10</v>
      </c>
      <c r="L267" s="68">
        <f t="shared" si="158"/>
        <v>10</v>
      </c>
      <c r="M267" s="68">
        <f t="shared" si="158"/>
        <v>0</v>
      </c>
      <c r="N267" s="4">
        <f t="shared" si="122"/>
        <v>0</v>
      </c>
    </row>
    <row r="268" spans="1:14" ht="15.75">
      <c r="A268" s="31" t="s">
        <v>296</v>
      </c>
      <c r="B268" s="6" t="s">
        <v>307</v>
      </c>
      <c r="C268" s="42" t="s">
        <v>297</v>
      </c>
      <c r="D268" s="42"/>
      <c r="E268" s="42"/>
      <c r="F268" s="42"/>
      <c r="G268" s="11">
        <f>G269</f>
        <v>10</v>
      </c>
      <c r="H268" s="11">
        <f t="shared" si="158"/>
        <v>0</v>
      </c>
      <c r="I268" s="11">
        <f t="shared" si="158"/>
        <v>10</v>
      </c>
      <c r="J268" s="11">
        <f t="shared" si="158"/>
        <v>10</v>
      </c>
      <c r="K268" s="11">
        <f t="shared" si="158"/>
        <v>10</v>
      </c>
      <c r="L268" s="11">
        <f t="shared" si="158"/>
        <v>10</v>
      </c>
      <c r="M268" s="11">
        <f t="shared" si="158"/>
        <v>0</v>
      </c>
      <c r="N268" s="7">
        <f t="shared" ref="N268:N331" si="159">M268/L268*100</f>
        <v>0</v>
      </c>
    </row>
    <row r="269" spans="1:14" ht="22.5" customHeight="1">
      <c r="A269" s="31" t="s">
        <v>305</v>
      </c>
      <c r="B269" s="6" t="s">
        <v>307</v>
      </c>
      <c r="C269" s="42" t="s">
        <v>297</v>
      </c>
      <c r="D269" s="42" t="s">
        <v>268</v>
      </c>
      <c r="E269" s="42"/>
      <c r="F269" s="42"/>
      <c r="G269" s="11">
        <f>G270</f>
        <v>10</v>
      </c>
      <c r="H269" s="11">
        <f t="shared" si="158"/>
        <v>0</v>
      </c>
      <c r="I269" s="11">
        <f t="shared" si="158"/>
        <v>10</v>
      </c>
      <c r="J269" s="11">
        <f t="shared" si="158"/>
        <v>10</v>
      </c>
      <c r="K269" s="11">
        <f t="shared" si="158"/>
        <v>10</v>
      </c>
      <c r="L269" s="11">
        <f t="shared" si="158"/>
        <v>10</v>
      </c>
      <c r="M269" s="11">
        <f t="shared" si="158"/>
        <v>0</v>
      </c>
      <c r="N269" s="7">
        <f t="shared" si="159"/>
        <v>0</v>
      </c>
    </row>
    <row r="270" spans="1:14" ht="31.5">
      <c r="A270" s="31" t="s">
        <v>210</v>
      </c>
      <c r="B270" s="6" t="s">
        <v>308</v>
      </c>
      <c r="C270" s="42" t="s">
        <v>297</v>
      </c>
      <c r="D270" s="42" t="s">
        <v>268</v>
      </c>
      <c r="E270" s="42"/>
      <c r="F270" s="42"/>
      <c r="G270" s="11">
        <f>G271</f>
        <v>10</v>
      </c>
      <c r="H270" s="11">
        <f t="shared" si="158"/>
        <v>0</v>
      </c>
      <c r="I270" s="11">
        <f t="shared" si="158"/>
        <v>10</v>
      </c>
      <c r="J270" s="11">
        <f t="shared" si="158"/>
        <v>10</v>
      </c>
      <c r="K270" s="11">
        <f t="shared" si="158"/>
        <v>10</v>
      </c>
      <c r="L270" s="11">
        <f t="shared" si="158"/>
        <v>10</v>
      </c>
      <c r="M270" s="11">
        <f t="shared" si="158"/>
        <v>0</v>
      </c>
      <c r="N270" s="7">
        <f t="shared" si="159"/>
        <v>0</v>
      </c>
    </row>
    <row r="271" spans="1:14" ht="38.25" customHeight="1">
      <c r="A271" s="31" t="s">
        <v>301</v>
      </c>
      <c r="B271" s="6" t="s">
        <v>308</v>
      </c>
      <c r="C271" s="42" t="s">
        <v>297</v>
      </c>
      <c r="D271" s="42" t="s">
        <v>268</v>
      </c>
      <c r="E271" s="42" t="s">
        <v>302</v>
      </c>
      <c r="F271" s="42"/>
      <c r="G271" s="11">
        <f>G272</f>
        <v>10</v>
      </c>
      <c r="H271" s="11">
        <f t="shared" si="158"/>
        <v>0</v>
      </c>
      <c r="I271" s="11">
        <f t="shared" si="158"/>
        <v>10</v>
      </c>
      <c r="J271" s="11">
        <f t="shared" si="158"/>
        <v>10</v>
      </c>
      <c r="K271" s="11">
        <f t="shared" si="158"/>
        <v>10</v>
      </c>
      <c r="L271" s="11">
        <f t="shared" si="158"/>
        <v>10</v>
      </c>
      <c r="M271" s="11">
        <f t="shared" si="158"/>
        <v>0</v>
      </c>
      <c r="N271" s="7">
        <f t="shared" si="159"/>
        <v>0</v>
      </c>
    </row>
    <row r="272" spans="1:14" ht="31.5">
      <c r="A272" s="31" t="s">
        <v>303</v>
      </c>
      <c r="B272" s="6" t="s">
        <v>308</v>
      </c>
      <c r="C272" s="42" t="s">
        <v>297</v>
      </c>
      <c r="D272" s="42" t="s">
        <v>268</v>
      </c>
      <c r="E272" s="42" t="s">
        <v>304</v>
      </c>
      <c r="F272" s="42"/>
      <c r="G272" s="11">
        <f>'Прил.№4 ведомств.'!G229</f>
        <v>10</v>
      </c>
      <c r="H272" s="11">
        <f>'Прил.№4 ведомств.'!I229</f>
        <v>0</v>
      </c>
      <c r="I272" s="11">
        <f>'Прил.№4 ведомств.'!J229</f>
        <v>10</v>
      </c>
      <c r="J272" s="11">
        <f>'Прил.№4 ведомств.'!K229</f>
        <v>10</v>
      </c>
      <c r="K272" s="11">
        <f>'Прил.№4 ведомств.'!L229</f>
        <v>10</v>
      </c>
      <c r="L272" s="11">
        <f>'Прил.№4 ведомств.'!M229</f>
        <v>10</v>
      </c>
      <c r="M272" s="11">
        <f>'Прил.№4 ведомств.'!N229</f>
        <v>0</v>
      </c>
      <c r="N272" s="7">
        <f t="shared" si="159"/>
        <v>0</v>
      </c>
    </row>
    <row r="273" spans="1:14" ht="15.75">
      <c r="A273" s="47" t="s">
        <v>201</v>
      </c>
      <c r="B273" s="6" t="s">
        <v>307</v>
      </c>
      <c r="C273" s="42" t="s">
        <v>297</v>
      </c>
      <c r="D273" s="42" t="s">
        <v>268</v>
      </c>
      <c r="E273" s="42"/>
      <c r="F273" s="42" t="s">
        <v>721</v>
      </c>
      <c r="G273" s="11">
        <f>G267</f>
        <v>10</v>
      </c>
      <c r="H273" s="11">
        <f t="shared" ref="H273:L273" si="160">H267</f>
        <v>0</v>
      </c>
      <c r="I273" s="11">
        <f t="shared" si="160"/>
        <v>10</v>
      </c>
      <c r="J273" s="11">
        <f t="shared" si="160"/>
        <v>10</v>
      </c>
      <c r="K273" s="11">
        <f t="shared" si="160"/>
        <v>10</v>
      </c>
      <c r="L273" s="11">
        <f t="shared" si="160"/>
        <v>10</v>
      </c>
      <c r="M273" s="11">
        <f t="shared" ref="M273" si="161">M267</f>
        <v>0</v>
      </c>
      <c r="N273" s="7">
        <f t="shared" si="159"/>
        <v>0</v>
      </c>
    </row>
    <row r="274" spans="1:14" ht="94.5">
      <c r="A274" s="43" t="s">
        <v>654</v>
      </c>
      <c r="B274" s="278" t="s">
        <v>221</v>
      </c>
      <c r="C274" s="8"/>
      <c r="D274" s="8"/>
      <c r="E274" s="8"/>
      <c r="F274" s="8"/>
      <c r="G274" s="68">
        <f>G275+G282+G289</f>
        <v>80</v>
      </c>
      <c r="H274" s="68">
        <f t="shared" ref="H274:L274" si="162">H275+H282+H289</f>
        <v>80</v>
      </c>
      <c r="I274" s="68">
        <f t="shared" si="162"/>
        <v>120</v>
      </c>
      <c r="J274" s="68">
        <f t="shared" si="162"/>
        <v>120</v>
      </c>
      <c r="K274" s="68">
        <f t="shared" si="162"/>
        <v>120</v>
      </c>
      <c r="L274" s="68">
        <f t="shared" si="162"/>
        <v>120</v>
      </c>
      <c r="M274" s="68">
        <f t="shared" ref="M274" si="163">M275+M282+M289</f>
        <v>0</v>
      </c>
      <c r="N274" s="4">
        <f t="shared" si="159"/>
        <v>0</v>
      </c>
    </row>
    <row r="275" spans="1:14" ht="78.75">
      <c r="A275" s="43" t="s">
        <v>222</v>
      </c>
      <c r="B275" s="278" t="s">
        <v>223</v>
      </c>
      <c r="C275" s="8"/>
      <c r="D275" s="8"/>
      <c r="E275" s="8"/>
      <c r="F275" s="8"/>
      <c r="G275" s="68">
        <f>G276</f>
        <v>15</v>
      </c>
      <c r="H275" s="68">
        <f t="shared" ref="H275:M279" si="164">H276</f>
        <v>15</v>
      </c>
      <c r="I275" s="68">
        <f t="shared" si="164"/>
        <v>25</v>
      </c>
      <c r="J275" s="68">
        <f t="shared" si="164"/>
        <v>25</v>
      </c>
      <c r="K275" s="68">
        <f t="shared" si="164"/>
        <v>25</v>
      </c>
      <c r="L275" s="68">
        <f t="shared" si="164"/>
        <v>25</v>
      </c>
      <c r="M275" s="68">
        <f t="shared" si="164"/>
        <v>0</v>
      </c>
      <c r="N275" s="4">
        <f t="shared" si="159"/>
        <v>0</v>
      </c>
    </row>
    <row r="276" spans="1:14" ht="15.75">
      <c r="A276" s="47" t="s">
        <v>170</v>
      </c>
      <c r="B276" s="6" t="s">
        <v>223</v>
      </c>
      <c r="C276" s="42" t="s">
        <v>171</v>
      </c>
      <c r="D276" s="42"/>
      <c r="E276" s="42"/>
      <c r="F276" s="42"/>
      <c r="G276" s="11">
        <f>G277</f>
        <v>15</v>
      </c>
      <c r="H276" s="11">
        <f t="shared" si="164"/>
        <v>15</v>
      </c>
      <c r="I276" s="11">
        <f t="shared" si="164"/>
        <v>25</v>
      </c>
      <c r="J276" s="11">
        <f t="shared" si="164"/>
        <v>25</v>
      </c>
      <c r="K276" s="11">
        <f t="shared" si="164"/>
        <v>25</v>
      </c>
      <c r="L276" s="11">
        <f t="shared" si="164"/>
        <v>25</v>
      </c>
      <c r="M276" s="11">
        <f t="shared" si="164"/>
        <v>0</v>
      </c>
      <c r="N276" s="7">
        <f t="shared" si="159"/>
        <v>0</v>
      </c>
    </row>
    <row r="277" spans="1:14" ht="33.75" customHeight="1">
      <c r="A277" s="47" t="s">
        <v>192</v>
      </c>
      <c r="B277" s="6" t="s">
        <v>223</v>
      </c>
      <c r="C277" s="42" t="s">
        <v>171</v>
      </c>
      <c r="D277" s="42" t="s">
        <v>193</v>
      </c>
      <c r="E277" s="42"/>
      <c r="F277" s="42"/>
      <c r="G277" s="11">
        <f>G278</f>
        <v>15</v>
      </c>
      <c r="H277" s="11">
        <f t="shared" si="164"/>
        <v>15</v>
      </c>
      <c r="I277" s="11">
        <f t="shared" si="164"/>
        <v>25</v>
      </c>
      <c r="J277" s="11">
        <f t="shared" si="164"/>
        <v>25</v>
      </c>
      <c r="K277" s="11">
        <f t="shared" si="164"/>
        <v>25</v>
      </c>
      <c r="L277" s="11">
        <f t="shared" si="164"/>
        <v>25</v>
      </c>
      <c r="M277" s="11">
        <f t="shared" si="164"/>
        <v>0</v>
      </c>
      <c r="N277" s="7">
        <f t="shared" si="159"/>
        <v>0</v>
      </c>
    </row>
    <row r="278" spans="1:14" ht="31.5">
      <c r="A278" s="206" t="s">
        <v>224</v>
      </c>
      <c r="B278" s="6" t="s">
        <v>225</v>
      </c>
      <c r="C278" s="42" t="s">
        <v>171</v>
      </c>
      <c r="D278" s="42" t="s">
        <v>193</v>
      </c>
      <c r="E278" s="42"/>
      <c r="F278" s="42"/>
      <c r="G278" s="11">
        <f>G279</f>
        <v>15</v>
      </c>
      <c r="H278" s="11">
        <f t="shared" si="164"/>
        <v>15</v>
      </c>
      <c r="I278" s="11">
        <f t="shared" si="164"/>
        <v>25</v>
      </c>
      <c r="J278" s="11">
        <f t="shared" si="164"/>
        <v>25</v>
      </c>
      <c r="K278" s="11">
        <f t="shared" si="164"/>
        <v>25</v>
      </c>
      <c r="L278" s="11">
        <f t="shared" si="164"/>
        <v>25</v>
      </c>
      <c r="M278" s="11">
        <f t="shared" si="164"/>
        <v>0</v>
      </c>
      <c r="N278" s="7">
        <f t="shared" si="159"/>
        <v>0</v>
      </c>
    </row>
    <row r="279" spans="1:14" ht="31.5">
      <c r="A279" s="31" t="s">
        <v>184</v>
      </c>
      <c r="B279" s="6" t="s">
        <v>225</v>
      </c>
      <c r="C279" s="42" t="s">
        <v>171</v>
      </c>
      <c r="D279" s="42" t="s">
        <v>193</v>
      </c>
      <c r="E279" s="42" t="s">
        <v>185</v>
      </c>
      <c r="F279" s="42"/>
      <c r="G279" s="11">
        <f>G280</f>
        <v>15</v>
      </c>
      <c r="H279" s="11">
        <f t="shared" si="164"/>
        <v>15</v>
      </c>
      <c r="I279" s="11">
        <f t="shared" si="164"/>
        <v>25</v>
      </c>
      <c r="J279" s="11">
        <f t="shared" si="164"/>
        <v>25</v>
      </c>
      <c r="K279" s="11">
        <f t="shared" si="164"/>
        <v>25</v>
      </c>
      <c r="L279" s="11">
        <f t="shared" si="164"/>
        <v>25</v>
      </c>
      <c r="M279" s="11">
        <f t="shared" si="164"/>
        <v>0</v>
      </c>
      <c r="N279" s="7">
        <f t="shared" si="159"/>
        <v>0</v>
      </c>
    </row>
    <row r="280" spans="1:14" ht="31.5">
      <c r="A280" s="31" t="s">
        <v>186</v>
      </c>
      <c r="B280" s="6" t="s">
        <v>225</v>
      </c>
      <c r="C280" s="42" t="s">
        <v>171</v>
      </c>
      <c r="D280" s="42" t="s">
        <v>193</v>
      </c>
      <c r="E280" s="42" t="s">
        <v>187</v>
      </c>
      <c r="F280" s="42"/>
      <c r="G280" s="11">
        <f>'Прил.№4 ведомств.'!G84</f>
        <v>15</v>
      </c>
      <c r="H280" s="11">
        <f>'Прил.№4 ведомств.'!I84</f>
        <v>15</v>
      </c>
      <c r="I280" s="11">
        <f>'Прил.№4 ведомств.'!J84</f>
        <v>25</v>
      </c>
      <c r="J280" s="11">
        <f>'Прил.№4 ведомств.'!K84</f>
        <v>25</v>
      </c>
      <c r="K280" s="11">
        <f>'Прил.№4 ведомств.'!L84</f>
        <v>25</v>
      </c>
      <c r="L280" s="11">
        <f>'Прил.№4 ведомств.'!M250</f>
        <v>25</v>
      </c>
      <c r="M280" s="11">
        <f>'Прил.№4 ведомств.'!N250</f>
        <v>0</v>
      </c>
      <c r="N280" s="7">
        <f t="shared" si="159"/>
        <v>0</v>
      </c>
    </row>
    <row r="281" spans="1:14" ht="47.25">
      <c r="A281" s="47" t="s">
        <v>314</v>
      </c>
      <c r="B281" s="6" t="s">
        <v>223</v>
      </c>
      <c r="C281" s="42" t="s">
        <v>171</v>
      </c>
      <c r="D281" s="42" t="s">
        <v>193</v>
      </c>
      <c r="E281" s="42"/>
      <c r="F281" s="42" t="s">
        <v>707</v>
      </c>
      <c r="G281" s="7">
        <f>G275</f>
        <v>15</v>
      </c>
      <c r="H281" s="7">
        <f t="shared" ref="H281:K281" si="165">H275</f>
        <v>15</v>
      </c>
      <c r="I281" s="7">
        <f t="shared" si="165"/>
        <v>25</v>
      </c>
      <c r="J281" s="7">
        <f t="shared" si="165"/>
        <v>25</v>
      </c>
      <c r="K281" s="7">
        <f t="shared" si="165"/>
        <v>25</v>
      </c>
      <c r="L281" s="7">
        <f>'Прил.№4 ведомств.'!M250</f>
        <v>25</v>
      </c>
      <c r="M281" s="7">
        <f>'Прил.№4 ведомств.'!N250</f>
        <v>0</v>
      </c>
      <c r="N281" s="7">
        <f t="shared" si="159"/>
        <v>0</v>
      </c>
    </row>
    <row r="282" spans="1:14" ht="63">
      <c r="A282" s="43" t="s">
        <v>226</v>
      </c>
      <c r="B282" s="278" t="s">
        <v>227</v>
      </c>
      <c r="C282" s="8"/>
      <c r="D282" s="8"/>
      <c r="E282" s="8"/>
      <c r="F282" s="8"/>
      <c r="G282" s="68">
        <f>G283</f>
        <v>50</v>
      </c>
      <c r="H282" s="68">
        <f t="shared" ref="H282:M286" si="166">H283</f>
        <v>50</v>
      </c>
      <c r="I282" s="68">
        <f t="shared" si="166"/>
        <v>70</v>
      </c>
      <c r="J282" s="68">
        <f t="shared" si="166"/>
        <v>70</v>
      </c>
      <c r="K282" s="68">
        <f t="shared" si="166"/>
        <v>70</v>
      </c>
      <c r="L282" s="68">
        <f t="shared" si="166"/>
        <v>70</v>
      </c>
      <c r="M282" s="68">
        <f t="shared" si="166"/>
        <v>0</v>
      </c>
      <c r="N282" s="4">
        <f t="shared" si="159"/>
        <v>0</v>
      </c>
    </row>
    <row r="283" spans="1:14" ht="15.75">
      <c r="A283" s="47" t="s">
        <v>170</v>
      </c>
      <c r="B283" s="6" t="s">
        <v>227</v>
      </c>
      <c r="C283" s="42" t="s">
        <v>171</v>
      </c>
      <c r="D283" s="42"/>
      <c r="E283" s="42"/>
      <c r="F283" s="42"/>
      <c r="G283" s="7">
        <f>G284</f>
        <v>50</v>
      </c>
      <c r="H283" s="7">
        <f t="shared" si="166"/>
        <v>50</v>
      </c>
      <c r="I283" s="7">
        <f t="shared" si="166"/>
        <v>70</v>
      </c>
      <c r="J283" s="7">
        <f t="shared" si="166"/>
        <v>70</v>
      </c>
      <c r="K283" s="7">
        <f t="shared" si="166"/>
        <v>70</v>
      </c>
      <c r="L283" s="7">
        <f t="shared" si="166"/>
        <v>70</v>
      </c>
      <c r="M283" s="7">
        <f t="shared" si="166"/>
        <v>0</v>
      </c>
      <c r="N283" s="7">
        <f t="shared" si="159"/>
        <v>0</v>
      </c>
    </row>
    <row r="284" spans="1:14" ht="15.75">
      <c r="A284" s="47" t="s">
        <v>192</v>
      </c>
      <c r="B284" s="6" t="s">
        <v>227</v>
      </c>
      <c r="C284" s="42" t="s">
        <v>171</v>
      </c>
      <c r="D284" s="42" t="s">
        <v>193</v>
      </c>
      <c r="E284" s="42"/>
      <c r="F284" s="42"/>
      <c r="G284" s="7">
        <f>G285</f>
        <v>50</v>
      </c>
      <c r="H284" s="7">
        <f t="shared" si="166"/>
        <v>50</v>
      </c>
      <c r="I284" s="7">
        <f t="shared" si="166"/>
        <v>70</v>
      </c>
      <c r="J284" s="7">
        <f t="shared" si="166"/>
        <v>70</v>
      </c>
      <c r="K284" s="7">
        <f t="shared" si="166"/>
        <v>70</v>
      </c>
      <c r="L284" s="7">
        <f t="shared" si="166"/>
        <v>70</v>
      </c>
      <c r="M284" s="7">
        <f t="shared" si="166"/>
        <v>0</v>
      </c>
      <c r="N284" s="7">
        <f t="shared" si="159"/>
        <v>0</v>
      </c>
    </row>
    <row r="285" spans="1:14" ht="15.75">
      <c r="A285" s="47" t="s">
        <v>228</v>
      </c>
      <c r="B285" s="6" t="s">
        <v>229</v>
      </c>
      <c r="C285" s="10" t="s">
        <v>171</v>
      </c>
      <c r="D285" s="10" t="s">
        <v>193</v>
      </c>
      <c r="E285" s="10"/>
      <c r="F285" s="27"/>
      <c r="G285" s="27">
        <f>G286</f>
        <v>50</v>
      </c>
      <c r="H285" s="27">
        <f t="shared" si="166"/>
        <v>50</v>
      </c>
      <c r="I285" s="27">
        <f t="shared" si="166"/>
        <v>70</v>
      </c>
      <c r="J285" s="27">
        <f t="shared" si="166"/>
        <v>70</v>
      </c>
      <c r="K285" s="27">
        <f t="shared" si="166"/>
        <v>70</v>
      </c>
      <c r="L285" s="27">
        <f t="shared" si="166"/>
        <v>70</v>
      </c>
      <c r="M285" s="27">
        <f t="shared" si="166"/>
        <v>0</v>
      </c>
      <c r="N285" s="7">
        <f t="shared" si="159"/>
        <v>0</v>
      </c>
    </row>
    <row r="286" spans="1:14" ht="31.5">
      <c r="A286" s="26" t="s">
        <v>184</v>
      </c>
      <c r="B286" s="6" t="s">
        <v>229</v>
      </c>
      <c r="C286" s="10" t="s">
        <v>171</v>
      </c>
      <c r="D286" s="10" t="s">
        <v>193</v>
      </c>
      <c r="E286" s="10" t="s">
        <v>185</v>
      </c>
      <c r="F286" s="27"/>
      <c r="G286" s="27">
        <f>G287</f>
        <v>50</v>
      </c>
      <c r="H286" s="27">
        <f t="shared" si="166"/>
        <v>50</v>
      </c>
      <c r="I286" s="27">
        <f t="shared" si="166"/>
        <v>70</v>
      </c>
      <c r="J286" s="27">
        <f t="shared" si="166"/>
        <v>70</v>
      </c>
      <c r="K286" s="27">
        <f t="shared" si="166"/>
        <v>70</v>
      </c>
      <c r="L286" s="27">
        <f t="shared" si="166"/>
        <v>70</v>
      </c>
      <c r="M286" s="27">
        <f t="shared" si="166"/>
        <v>0</v>
      </c>
      <c r="N286" s="7">
        <f t="shared" si="159"/>
        <v>0</v>
      </c>
    </row>
    <row r="287" spans="1:14" ht="31.5">
      <c r="A287" s="26" t="s">
        <v>186</v>
      </c>
      <c r="B287" s="6" t="s">
        <v>229</v>
      </c>
      <c r="C287" s="10" t="s">
        <v>171</v>
      </c>
      <c r="D287" s="10" t="s">
        <v>193</v>
      </c>
      <c r="E287" s="10" t="s">
        <v>187</v>
      </c>
      <c r="F287" s="27"/>
      <c r="G287" s="27">
        <f>'Прил.№4 ведомств.'!G88</f>
        <v>50</v>
      </c>
      <c r="H287" s="27">
        <f>'Прил.№4 ведомств.'!I88</f>
        <v>50</v>
      </c>
      <c r="I287" s="27">
        <f>'Прил.№4 ведомств.'!J88</f>
        <v>70</v>
      </c>
      <c r="J287" s="27">
        <f>'Прил.№4 ведомств.'!K88</f>
        <v>70</v>
      </c>
      <c r="K287" s="27">
        <f>'Прил.№4 ведомств.'!L88</f>
        <v>70</v>
      </c>
      <c r="L287" s="27">
        <f>'Прил.№4 ведомств.'!M88</f>
        <v>70</v>
      </c>
      <c r="M287" s="27">
        <f>'Прил.№4 ведомств.'!N88</f>
        <v>0</v>
      </c>
      <c r="N287" s="7">
        <f t="shared" si="159"/>
        <v>0</v>
      </c>
    </row>
    <row r="288" spans="1:14" ht="15.75">
      <c r="A288" s="31" t="s">
        <v>201</v>
      </c>
      <c r="B288" s="6" t="s">
        <v>227</v>
      </c>
      <c r="C288" s="42" t="s">
        <v>171</v>
      </c>
      <c r="D288" s="42" t="s">
        <v>193</v>
      </c>
      <c r="E288" s="42"/>
      <c r="F288" s="42" t="s">
        <v>721</v>
      </c>
      <c r="G288" s="7">
        <f>G282</f>
        <v>50</v>
      </c>
      <c r="H288" s="7">
        <f t="shared" ref="H288:L288" si="167">H282</f>
        <v>50</v>
      </c>
      <c r="I288" s="7">
        <f t="shared" si="167"/>
        <v>70</v>
      </c>
      <c r="J288" s="7">
        <f t="shared" si="167"/>
        <v>70</v>
      </c>
      <c r="K288" s="7">
        <f t="shared" si="167"/>
        <v>70</v>
      </c>
      <c r="L288" s="7">
        <f t="shared" si="167"/>
        <v>70</v>
      </c>
      <c r="M288" s="7">
        <f t="shared" ref="M288" si="168">M282</f>
        <v>0</v>
      </c>
      <c r="N288" s="7">
        <f t="shared" si="159"/>
        <v>0</v>
      </c>
    </row>
    <row r="289" spans="1:14" ht="47.25">
      <c r="A289" s="24" t="s">
        <v>230</v>
      </c>
      <c r="B289" s="278" t="s">
        <v>231</v>
      </c>
      <c r="C289" s="8"/>
      <c r="D289" s="8"/>
      <c r="E289" s="8"/>
      <c r="F289" s="8"/>
      <c r="G289" s="68">
        <f>G290</f>
        <v>15</v>
      </c>
      <c r="H289" s="68">
        <f t="shared" ref="H289:M293" si="169">H290</f>
        <v>15</v>
      </c>
      <c r="I289" s="68">
        <f t="shared" si="169"/>
        <v>25</v>
      </c>
      <c r="J289" s="68">
        <f t="shared" si="169"/>
        <v>25</v>
      </c>
      <c r="K289" s="68">
        <f t="shared" si="169"/>
        <v>25</v>
      </c>
      <c r="L289" s="68">
        <f t="shared" si="169"/>
        <v>25</v>
      </c>
      <c r="M289" s="68">
        <f t="shared" si="169"/>
        <v>0</v>
      </c>
      <c r="N289" s="4">
        <f t="shared" si="159"/>
        <v>0</v>
      </c>
    </row>
    <row r="290" spans="1:14" ht="15.75">
      <c r="A290" s="47" t="s">
        <v>170</v>
      </c>
      <c r="B290" s="6" t="s">
        <v>231</v>
      </c>
      <c r="C290" s="42" t="s">
        <v>171</v>
      </c>
      <c r="D290" s="42"/>
      <c r="E290" s="42"/>
      <c r="F290" s="42"/>
      <c r="G290" s="11">
        <f>G291</f>
        <v>15</v>
      </c>
      <c r="H290" s="11">
        <f t="shared" si="169"/>
        <v>15</v>
      </c>
      <c r="I290" s="11">
        <f t="shared" si="169"/>
        <v>25</v>
      </c>
      <c r="J290" s="11">
        <f t="shared" si="169"/>
        <v>25</v>
      </c>
      <c r="K290" s="11">
        <f t="shared" si="169"/>
        <v>25</v>
      </c>
      <c r="L290" s="11">
        <f t="shared" si="169"/>
        <v>25</v>
      </c>
      <c r="M290" s="11">
        <f t="shared" si="169"/>
        <v>0</v>
      </c>
      <c r="N290" s="7">
        <f t="shared" si="159"/>
        <v>0</v>
      </c>
    </row>
    <row r="291" spans="1:14" ht="15.75">
      <c r="A291" s="47" t="s">
        <v>192</v>
      </c>
      <c r="B291" s="6" t="s">
        <v>231</v>
      </c>
      <c r="C291" s="42" t="s">
        <v>171</v>
      </c>
      <c r="D291" s="42" t="s">
        <v>193</v>
      </c>
      <c r="E291" s="42"/>
      <c r="F291" s="42"/>
      <c r="G291" s="11">
        <f>G292</f>
        <v>15</v>
      </c>
      <c r="H291" s="11">
        <f t="shared" si="169"/>
        <v>15</v>
      </c>
      <c r="I291" s="11">
        <f t="shared" si="169"/>
        <v>25</v>
      </c>
      <c r="J291" s="11">
        <f t="shared" si="169"/>
        <v>25</v>
      </c>
      <c r="K291" s="11">
        <f t="shared" si="169"/>
        <v>25</v>
      </c>
      <c r="L291" s="11">
        <f t="shared" si="169"/>
        <v>25</v>
      </c>
      <c r="M291" s="11">
        <f t="shared" si="169"/>
        <v>0</v>
      </c>
      <c r="N291" s="7">
        <f t="shared" si="159"/>
        <v>0</v>
      </c>
    </row>
    <row r="292" spans="1:14" ht="32.25" customHeight="1">
      <c r="A292" s="47" t="s">
        <v>232</v>
      </c>
      <c r="B292" s="6" t="s">
        <v>233</v>
      </c>
      <c r="C292" s="42" t="s">
        <v>171</v>
      </c>
      <c r="D292" s="42" t="s">
        <v>193</v>
      </c>
      <c r="E292" s="42"/>
      <c r="F292" s="42"/>
      <c r="G292" s="11">
        <f>G293</f>
        <v>15</v>
      </c>
      <c r="H292" s="11">
        <f t="shared" si="169"/>
        <v>15</v>
      </c>
      <c r="I292" s="11">
        <f t="shared" si="169"/>
        <v>25</v>
      </c>
      <c r="J292" s="11">
        <f t="shared" si="169"/>
        <v>25</v>
      </c>
      <c r="K292" s="11">
        <f t="shared" si="169"/>
        <v>25</v>
      </c>
      <c r="L292" s="11">
        <f t="shared" si="169"/>
        <v>25</v>
      </c>
      <c r="M292" s="11">
        <f t="shared" si="169"/>
        <v>0</v>
      </c>
      <c r="N292" s="7">
        <f t="shared" si="159"/>
        <v>0</v>
      </c>
    </row>
    <row r="293" spans="1:14" ht="31.5">
      <c r="A293" s="31" t="s">
        <v>184</v>
      </c>
      <c r="B293" s="6" t="s">
        <v>233</v>
      </c>
      <c r="C293" s="42" t="s">
        <v>171</v>
      </c>
      <c r="D293" s="42" t="s">
        <v>193</v>
      </c>
      <c r="E293" s="42" t="s">
        <v>185</v>
      </c>
      <c r="F293" s="42"/>
      <c r="G293" s="11">
        <f>G294</f>
        <v>15</v>
      </c>
      <c r="H293" s="11">
        <f t="shared" si="169"/>
        <v>15</v>
      </c>
      <c r="I293" s="11">
        <f t="shared" si="169"/>
        <v>25</v>
      </c>
      <c r="J293" s="11">
        <f t="shared" si="169"/>
        <v>25</v>
      </c>
      <c r="K293" s="11">
        <f t="shared" si="169"/>
        <v>25</v>
      </c>
      <c r="L293" s="11">
        <f t="shared" si="169"/>
        <v>25</v>
      </c>
      <c r="M293" s="11">
        <f t="shared" si="169"/>
        <v>0</v>
      </c>
      <c r="N293" s="7">
        <f t="shared" si="159"/>
        <v>0</v>
      </c>
    </row>
    <row r="294" spans="1:14" ht="31.5">
      <c r="A294" s="31" t="s">
        <v>186</v>
      </c>
      <c r="B294" s="6" t="s">
        <v>233</v>
      </c>
      <c r="C294" s="42" t="s">
        <v>171</v>
      </c>
      <c r="D294" s="42" t="s">
        <v>193</v>
      </c>
      <c r="E294" s="42" t="s">
        <v>187</v>
      </c>
      <c r="F294" s="42"/>
      <c r="G294" s="11">
        <f>'Прил.№4 ведомств.'!G92</f>
        <v>15</v>
      </c>
      <c r="H294" s="11">
        <f>'Прил.№4 ведомств.'!I92</f>
        <v>15</v>
      </c>
      <c r="I294" s="11">
        <f>'Прил.№4 ведомств.'!J92</f>
        <v>25</v>
      </c>
      <c r="J294" s="11">
        <f>'Прил.№4 ведомств.'!K92</f>
        <v>25</v>
      </c>
      <c r="K294" s="11">
        <f>'Прил.№4 ведомств.'!L92</f>
        <v>25</v>
      </c>
      <c r="L294" s="11">
        <f>'Прил.№4 ведомств.'!M92</f>
        <v>25</v>
      </c>
      <c r="M294" s="11">
        <f>'Прил.№4 ведомств.'!N92</f>
        <v>0</v>
      </c>
      <c r="N294" s="7">
        <f t="shared" si="159"/>
        <v>0</v>
      </c>
    </row>
    <row r="295" spans="1:14" ht="15.75">
      <c r="A295" s="31" t="s">
        <v>201</v>
      </c>
      <c r="B295" s="6" t="s">
        <v>231</v>
      </c>
      <c r="C295" s="42" t="s">
        <v>171</v>
      </c>
      <c r="D295" s="42" t="s">
        <v>193</v>
      </c>
      <c r="E295" s="42"/>
      <c r="F295" s="42" t="s">
        <v>721</v>
      </c>
      <c r="G295" s="11">
        <f>G289</f>
        <v>15</v>
      </c>
      <c r="H295" s="11">
        <f t="shared" ref="H295:L295" si="170">H289</f>
        <v>15</v>
      </c>
      <c r="I295" s="11">
        <f t="shared" si="170"/>
        <v>25</v>
      </c>
      <c r="J295" s="11">
        <f t="shared" si="170"/>
        <v>25</v>
      </c>
      <c r="K295" s="11">
        <f t="shared" si="170"/>
        <v>25</v>
      </c>
      <c r="L295" s="11">
        <f t="shared" si="170"/>
        <v>25</v>
      </c>
      <c r="M295" s="11">
        <f t="shared" ref="M295" si="171">M289</f>
        <v>0</v>
      </c>
      <c r="N295" s="7">
        <f t="shared" si="159"/>
        <v>0</v>
      </c>
    </row>
    <row r="296" spans="1:14" ht="69" customHeight="1">
      <c r="A296" s="43" t="s">
        <v>535</v>
      </c>
      <c r="B296" s="3" t="s">
        <v>536</v>
      </c>
      <c r="C296" s="79"/>
      <c r="D296" s="79"/>
      <c r="E296" s="79"/>
      <c r="F296" s="79"/>
      <c r="G296" s="4">
        <f t="shared" ref="G296:L296" si="172">G298+G325+G349</f>
        <v>36478.9</v>
      </c>
      <c r="H296" s="4">
        <f t="shared" si="172"/>
        <v>41702</v>
      </c>
      <c r="I296" s="4">
        <f t="shared" si="172"/>
        <v>72379.399999999994</v>
      </c>
      <c r="J296" s="4">
        <f t="shared" si="172"/>
        <v>74277.600000000006</v>
      </c>
      <c r="K296" s="4">
        <f t="shared" si="172"/>
        <v>75462.8</v>
      </c>
      <c r="L296" s="4">
        <f t="shared" si="172"/>
        <v>56009.2</v>
      </c>
      <c r="M296" s="4">
        <f t="shared" ref="M296" si="173">M298+M325+M349</f>
        <v>19192.8</v>
      </c>
      <c r="N296" s="4">
        <f t="shared" si="159"/>
        <v>34.267227526906296</v>
      </c>
    </row>
    <row r="297" spans="1:14" ht="63">
      <c r="A297" s="43" t="s">
        <v>722</v>
      </c>
      <c r="B297" s="3" t="s">
        <v>538</v>
      </c>
      <c r="C297" s="80"/>
      <c r="D297" s="80"/>
      <c r="E297" s="80"/>
      <c r="F297" s="80"/>
      <c r="G297" s="68">
        <f>G298</f>
        <v>10758</v>
      </c>
      <c r="H297" s="68">
        <f t="shared" ref="H297:M298" si="174">H298</f>
        <v>10758</v>
      </c>
      <c r="I297" s="68">
        <f t="shared" si="174"/>
        <v>16464.5</v>
      </c>
      <c r="J297" s="68">
        <f t="shared" si="174"/>
        <v>16607.3</v>
      </c>
      <c r="K297" s="68">
        <f t="shared" si="174"/>
        <v>16742.599999999999</v>
      </c>
      <c r="L297" s="68">
        <f t="shared" si="174"/>
        <v>11806.7</v>
      </c>
      <c r="M297" s="68">
        <f t="shared" si="174"/>
        <v>3852.5</v>
      </c>
      <c r="N297" s="4">
        <f t="shared" si="159"/>
        <v>32.629778007402578</v>
      </c>
    </row>
    <row r="298" spans="1:14" ht="15.75">
      <c r="A298" s="31" t="s">
        <v>316</v>
      </c>
      <c r="B298" s="42" t="s">
        <v>538</v>
      </c>
      <c r="C298" s="42" t="s">
        <v>317</v>
      </c>
      <c r="D298" s="79"/>
      <c r="E298" s="79"/>
      <c r="F298" s="79"/>
      <c r="G298" s="11">
        <f>G299</f>
        <v>10758</v>
      </c>
      <c r="H298" s="11">
        <f t="shared" si="174"/>
        <v>10758</v>
      </c>
      <c r="I298" s="11">
        <f t="shared" si="174"/>
        <v>16464.5</v>
      </c>
      <c r="J298" s="11">
        <f t="shared" si="174"/>
        <v>16607.3</v>
      </c>
      <c r="K298" s="11">
        <f t="shared" si="174"/>
        <v>16742.599999999999</v>
      </c>
      <c r="L298" s="11">
        <f t="shared" si="174"/>
        <v>11806.7</v>
      </c>
      <c r="M298" s="11">
        <f t="shared" si="174"/>
        <v>3852.5</v>
      </c>
      <c r="N298" s="7">
        <f t="shared" si="159"/>
        <v>32.629778007402578</v>
      </c>
    </row>
    <row r="299" spans="1:14" ht="15.75">
      <c r="A299" s="31" t="s">
        <v>318</v>
      </c>
      <c r="B299" s="42" t="s">
        <v>538</v>
      </c>
      <c r="C299" s="42" t="s">
        <v>317</v>
      </c>
      <c r="D299" s="42" t="s">
        <v>268</v>
      </c>
      <c r="E299" s="79"/>
      <c r="F299" s="79"/>
      <c r="G299" s="11">
        <f>G300+G315+G318+G321</f>
        <v>10758</v>
      </c>
      <c r="H299" s="11">
        <f t="shared" ref="H299:L299" si="175">H300+H315+H318+H321</f>
        <v>10758</v>
      </c>
      <c r="I299" s="11">
        <f t="shared" si="175"/>
        <v>16464.5</v>
      </c>
      <c r="J299" s="11">
        <f t="shared" si="175"/>
        <v>16607.3</v>
      </c>
      <c r="K299" s="11">
        <f t="shared" si="175"/>
        <v>16742.599999999999</v>
      </c>
      <c r="L299" s="11">
        <f t="shared" si="175"/>
        <v>11806.7</v>
      </c>
      <c r="M299" s="11">
        <f t="shared" ref="M299" si="176">M300+M315+M318+M321</f>
        <v>3852.5</v>
      </c>
      <c r="N299" s="7">
        <f t="shared" si="159"/>
        <v>32.629778007402578</v>
      </c>
    </row>
    <row r="300" spans="1:14" ht="47.25">
      <c r="A300" s="31" t="s">
        <v>323</v>
      </c>
      <c r="B300" s="42" t="s">
        <v>539</v>
      </c>
      <c r="C300" s="42" t="s">
        <v>317</v>
      </c>
      <c r="D300" s="42" t="s">
        <v>268</v>
      </c>
      <c r="E300" s="79"/>
      <c r="F300" s="79"/>
      <c r="G300" s="11">
        <f>G301</f>
        <v>10722</v>
      </c>
      <c r="H300" s="11">
        <f t="shared" ref="H300:M301" si="177">H301</f>
        <v>10722</v>
      </c>
      <c r="I300" s="11">
        <f t="shared" si="177"/>
        <v>15788.3</v>
      </c>
      <c r="J300" s="11">
        <f t="shared" si="177"/>
        <v>15931.1</v>
      </c>
      <c r="K300" s="11">
        <f t="shared" si="177"/>
        <v>16066.4</v>
      </c>
      <c r="L300" s="11">
        <f t="shared" si="177"/>
        <v>11348.5</v>
      </c>
      <c r="M300" s="11">
        <f t="shared" si="177"/>
        <v>3481.9</v>
      </c>
      <c r="N300" s="7">
        <f t="shared" si="159"/>
        <v>30.681587875049566</v>
      </c>
    </row>
    <row r="301" spans="1:14" ht="31.5">
      <c r="A301" s="31" t="s">
        <v>325</v>
      </c>
      <c r="B301" s="42" t="s">
        <v>539</v>
      </c>
      <c r="C301" s="42" t="s">
        <v>317</v>
      </c>
      <c r="D301" s="42" t="s">
        <v>268</v>
      </c>
      <c r="E301" s="42" t="s">
        <v>326</v>
      </c>
      <c r="F301" s="79"/>
      <c r="G301" s="11">
        <f>G302</f>
        <v>10722</v>
      </c>
      <c r="H301" s="11">
        <f t="shared" si="177"/>
        <v>10722</v>
      </c>
      <c r="I301" s="11">
        <f t="shared" si="177"/>
        <v>15788.3</v>
      </c>
      <c r="J301" s="11">
        <f t="shared" si="177"/>
        <v>15931.1</v>
      </c>
      <c r="K301" s="11">
        <f t="shared" si="177"/>
        <v>16066.4</v>
      </c>
      <c r="L301" s="11">
        <f t="shared" si="177"/>
        <v>11348.5</v>
      </c>
      <c r="M301" s="11">
        <f t="shared" si="177"/>
        <v>3481.9</v>
      </c>
      <c r="N301" s="7">
        <f t="shared" si="159"/>
        <v>30.681587875049566</v>
      </c>
    </row>
    <row r="302" spans="1:14" ht="15.75">
      <c r="A302" s="31" t="s">
        <v>327</v>
      </c>
      <c r="B302" s="42" t="s">
        <v>539</v>
      </c>
      <c r="C302" s="42" t="s">
        <v>317</v>
      </c>
      <c r="D302" s="42" t="s">
        <v>268</v>
      </c>
      <c r="E302" s="42" t="s">
        <v>328</v>
      </c>
      <c r="F302" s="79"/>
      <c r="G302" s="11">
        <f>'Прил.№4 ведомств.'!G782</f>
        <v>10722</v>
      </c>
      <c r="H302" s="11">
        <f>'Прил.№4 ведомств.'!I782</f>
        <v>10722</v>
      </c>
      <c r="I302" s="11">
        <f>'Прил.№4 ведомств.'!J782</f>
        <v>15788.3</v>
      </c>
      <c r="J302" s="11">
        <f>'Прил.№4 ведомств.'!K782</f>
        <v>15931.1</v>
      </c>
      <c r="K302" s="11">
        <f>'Прил.№4 ведомств.'!L782</f>
        <v>16066.4</v>
      </c>
      <c r="L302" s="11">
        <f>'Прил.№4 ведомств.'!M782</f>
        <v>11348.5</v>
      </c>
      <c r="M302" s="11">
        <f>'Прил.№4 ведомств.'!N782</f>
        <v>3481.9</v>
      </c>
      <c r="N302" s="7">
        <f t="shared" si="159"/>
        <v>30.681587875049566</v>
      </c>
    </row>
    <row r="303" spans="1:14" ht="78.75" hidden="1" customHeight="1">
      <c r="A303" s="31" t="s">
        <v>660</v>
      </c>
      <c r="B303" s="42" t="s">
        <v>723</v>
      </c>
      <c r="C303" s="42" t="s">
        <v>317</v>
      </c>
      <c r="D303" s="42" t="s">
        <v>268</v>
      </c>
      <c r="E303" s="42"/>
      <c r="F303" s="79"/>
      <c r="G303" s="11">
        <f>G304</f>
        <v>0</v>
      </c>
      <c r="H303" s="11">
        <f t="shared" ref="H303:M305" si="178">H304</f>
        <v>0</v>
      </c>
      <c r="I303" s="11">
        <f t="shared" si="178"/>
        <v>0</v>
      </c>
      <c r="J303" s="11">
        <f t="shared" si="178"/>
        <v>0</v>
      </c>
      <c r="K303" s="11">
        <f t="shared" si="178"/>
        <v>0</v>
      </c>
      <c r="L303" s="11">
        <f t="shared" si="178"/>
        <v>0</v>
      </c>
      <c r="M303" s="11">
        <f t="shared" si="178"/>
        <v>0</v>
      </c>
      <c r="N303" s="7" t="e">
        <f t="shared" si="159"/>
        <v>#DIV/0!</v>
      </c>
    </row>
    <row r="304" spans="1:14" ht="31.5" hidden="1">
      <c r="A304" s="31" t="s">
        <v>325</v>
      </c>
      <c r="B304" s="42" t="s">
        <v>723</v>
      </c>
      <c r="C304" s="42" t="s">
        <v>317</v>
      </c>
      <c r="D304" s="42" t="s">
        <v>268</v>
      </c>
      <c r="E304" s="42" t="s">
        <v>326</v>
      </c>
      <c r="F304" s="79"/>
      <c r="G304" s="11">
        <f>G305</f>
        <v>0</v>
      </c>
      <c r="H304" s="11">
        <f t="shared" si="178"/>
        <v>0</v>
      </c>
      <c r="I304" s="11">
        <f t="shared" si="178"/>
        <v>0</v>
      </c>
      <c r="J304" s="11">
        <f t="shared" si="178"/>
        <v>0</v>
      </c>
      <c r="K304" s="11">
        <f t="shared" si="178"/>
        <v>0</v>
      </c>
      <c r="L304" s="11">
        <f t="shared" si="178"/>
        <v>0</v>
      </c>
      <c r="M304" s="11">
        <f t="shared" si="178"/>
        <v>0</v>
      </c>
      <c r="N304" s="7" t="e">
        <f t="shared" si="159"/>
        <v>#DIV/0!</v>
      </c>
    </row>
    <row r="305" spans="1:14" ht="15.75" hidden="1">
      <c r="A305" s="31" t="s">
        <v>327</v>
      </c>
      <c r="B305" s="42" t="s">
        <v>723</v>
      </c>
      <c r="C305" s="42" t="s">
        <v>317</v>
      </c>
      <c r="D305" s="42" t="s">
        <v>268</v>
      </c>
      <c r="E305" s="42" t="s">
        <v>328</v>
      </c>
      <c r="F305" s="79"/>
      <c r="G305" s="11">
        <f>G306</f>
        <v>0</v>
      </c>
      <c r="H305" s="11">
        <f t="shared" si="178"/>
        <v>0</v>
      </c>
      <c r="I305" s="11">
        <f t="shared" si="178"/>
        <v>0</v>
      </c>
      <c r="J305" s="11">
        <f t="shared" si="178"/>
        <v>0</v>
      </c>
      <c r="K305" s="11">
        <f t="shared" si="178"/>
        <v>0</v>
      </c>
      <c r="L305" s="11">
        <f t="shared" si="178"/>
        <v>0</v>
      </c>
      <c r="M305" s="11">
        <f t="shared" si="178"/>
        <v>0</v>
      </c>
      <c r="N305" s="7" t="e">
        <f t="shared" si="159"/>
        <v>#DIV/0!</v>
      </c>
    </row>
    <row r="306" spans="1:14" ht="31.5" hidden="1">
      <c r="A306" s="48" t="s">
        <v>534</v>
      </c>
      <c r="B306" s="42" t="s">
        <v>723</v>
      </c>
      <c r="C306" s="42" t="s">
        <v>317</v>
      </c>
      <c r="D306" s="42" t="s">
        <v>268</v>
      </c>
      <c r="E306" s="42"/>
      <c r="F306" s="2">
        <v>907</v>
      </c>
      <c r="G306" s="11">
        <f>1500-1500</f>
        <v>0</v>
      </c>
      <c r="H306" s="11">
        <f t="shared" ref="H306:M306" si="179">1500-1500</f>
        <v>0</v>
      </c>
      <c r="I306" s="11">
        <f t="shared" si="179"/>
        <v>0</v>
      </c>
      <c r="J306" s="11">
        <f t="shared" si="179"/>
        <v>0</v>
      </c>
      <c r="K306" s="11">
        <f t="shared" si="179"/>
        <v>0</v>
      </c>
      <c r="L306" s="11">
        <f t="shared" si="179"/>
        <v>0</v>
      </c>
      <c r="M306" s="11">
        <f t="shared" si="179"/>
        <v>0</v>
      </c>
      <c r="N306" s="7" t="e">
        <f t="shared" si="159"/>
        <v>#DIV/0!</v>
      </c>
    </row>
    <row r="307" spans="1:14" ht="31.5" hidden="1">
      <c r="A307" s="31" t="s">
        <v>331</v>
      </c>
      <c r="B307" s="42" t="s">
        <v>724</v>
      </c>
      <c r="C307" s="42" t="s">
        <v>317</v>
      </c>
      <c r="D307" s="42" t="s">
        <v>268</v>
      </c>
      <c r="E307" s="42"/>
      <c r="F307" s="79"/>
      <c r="G307" s="11">
        <f>G308</f>
        <v>0</v>
      </c>
      <c r="H307" s="11">
        <f t="shared" ref="H307:M308" si="180">H308</f>
        <v>0</v>
      </c>
      <c r="I307" s="11">
        <f t="shared" si="180"/>
        <v>0</v>
      </c>
      <c r="J307" s="11">
        <f t="shared" si="180"/>
        <v>0</v>
      </c>
      <c r="K307" s="11">
        <f t="shared" si="180"/>
        <v>0</v>
      </c>
      <c r="L307" s="11">
        <f t="shared" si="180"/>
        <v>0</v>
      </c>
      <c r="M307" s="11">
        <f t="shared" si="180"/>
        <v>0</v>
      </c>
      <c r="N307" s="7" t="e">
        <f t="shared" si="159"/>
        <v>#DIV/0!</v>
      </c>
    </row>
    <row r="308" spans="1:14" ht="31.5" hidden="1">
      <c r="A308" s="31" t="s">
        <v>325</v>
      </c>
      <c r="B308" s="42" t="s">
        <v>724</v>
      </c>
      <c r="C308" s="42" t="s">
        <v>317</v>
      </c>
      <c r="D308" s="42" t="s">
        <v>268</v>
      </c>
      <c r="E308" s="42" t="s">
        <v>326</v>
      </c>
      <c r="F308" s="79"/>
      <c r="G308" s="11">
        <f>G309</f>
        <v>0</v>
      </c>
      <c r="H308" s="11">
        <f t="shared" si="180"/>
        <v>0</v>
      </c>
      <c r="I308" s="11">
        <f t="shared" si="180"/>
        <v>0</v>
      </c>
      <c r="J308" s="11">
        <f t="shared" si="180"/>
        <v>0</v>
      </c>
      <c r="K308" s="11">
        <f t="shared" si="180"/>
        <v>0</v>
      </c>
      <c r="L308" s="11">
        <f t="shared" si="180"/>
        <v>0</v>
      </c>
      <c r="M308" s="11">
        <f t="shared" si="180"/>
        <v>0</v>
      </c>
      <c r="N308" s="7" t="e">
        <f t="shared" si="159"/>
        <v>#DIV/0!</v>
      </c>
    </row>
    <row r="309" spans="1:14" ht="15.75" hidden="1">
      <c r="A309" s="31" t="s">
        <v>327</v>
      </c>
      <c r="B309" s="42" t="s">
        <v>724</v>
      </c>
      <c r="C309" s="42" t="s">
        <v>317</v>
      </c>
      <c r="D309" s="42" t="s">
        <v>268</v>
      </c>
      <c r="E309" s="42" t="s">
        <v>328</v>
      </c>
      <c r="F309" s="79"/>
      <c r="G309" s="11"/>
      <c r="H309" s="11"/>
      <c r="I309" s="11"/>
      <c r="J309" s="11"/>
      <c r="K309" s="11"/>
      <c r="L309" s="11"/>
      <c r="M309" s="11"/>
      <c r="N309" s="7" t="e">
        <f t="shared" si="159"/>
        <v>#DIV/0!</v>
      </c>
    </row>
    <row r="310" spans="1:14" ht="31.5" hidden="1">
      <c r="A310" s="48" t="s">
        <v>534</v>
      </c>
      <c r="B310" s="42" t="s">
        <v>724</v>
      </c>
      <c r="C310" s="42" t="s">
        <v>317</v>
      </c>
      <c r="D310" s="42" t="s">
        <v>268</v>
      </c>
      <c r="E310" s="42"/>
      <c r="F310" s="2">
        <v>907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7" t="e">
        <f t="shared" si="159"/>
        <v>#DIV/0!</v>
      </c>
    </row>
    <row r="311" spans="1:14" ht="31.5" hidden="1">
      <c r="A311" s="31" t="s">
        <v>333</v>
      </c>
      <c r="B311" s="42" t="s">
        <v>725</v>
      </c>
      <c r="C311" s="42" t="s">
        <v>317</v>
      </c>
      <c r="D311" s="42" t="s">
        <v>268</v>
      </c>
      <c r="E311" s="42"/>
      <c r="F311" s="79"/>
      <c r="G311" s="11">
        <f>G312</f>
        <v>0</v>
      </c>
      <c r="H311" s="11">
        <f t="shared" ref="H311:M312" si="181">H312</f>
        <v>0</v>
      </c>
      <c r="I311" s="11">
        <f t="shared" si="181"/>
        <v>0</v>
      </c>
      <c r="J311" s="11">
        <f t="shared" si="181"/>
        <v>0</v>
      </c>
      <c r="K311" s="11">
        <f t="shared" si="181"/>
        <v>0</v>
      </c>
      <c r="L311" s="11">
        <f t="shared" si="181"/>
        <v>0</v>
      </c>
      <c r="M311" s="11">
        <f t="shared" si="181"/>
        <v>0</v>
      </c>
      <c r="N311" s="7" t="e">
        <f t="shared" si="159"/>
        <v>#DIV/0!</v>
      </c>
    </row>
    <row r="312" spans="1:14" ht="31.5" hidden="1">
      <c r="A312" s="31" t="s">
        <v>325</v>
      </c>
      <c r="B312" s="42" t="s">
        <v>725</v>
      </c>
      <c r="C312" s="42" t="s">
        <v>317</v>
      </c>
      <c r="D312" s="42" t="s">
        <v>268</v>
      </c>
      <c r="E312" s="42" t="s">
        <v>326</v>
      </c>
      <c r="F312" s="79"/>
      <c r="G312" s="11">
        <f>G313</f>
        <v>0</v>
      </c>
      <c r="H312" s="11">
        <f t="shared" si="181"/>
        <v>0</v>
      </c>
      <c r="I312" s="11">
        <f t="shared" si="181"/>
        <v>0</v>
      </c>
      <c r="J312" s="11">
        <f t="shared" si="181"/>
        <v>0</v>
      </c>
      <c r="K312" s="11">
        <f t="shared" si="181"/>
        <v>0</v>
      </c>
      <c r="L312" s="11">
        <f t="shared" si="181"/>
        <v>0</v>
      </c>
      <c r="M312" s="11">
        <f t="shared" si="181"/>
        <v>0</v>
      </c>
      <c r="N312" s="7" t="e">
        <f t="shared" si="159"/>
        <v>#DIV/0!</v>
      </c>
    </row>
    <row r="313" spans="1:14" ht="15.75" hidden="1">
      <c r="A313" s="31" t="s">
        <v>327</v>
      </c>
      <c r="B313" s="42" t="s">
        <v>725</v>
      </c>
      <c r="C313" s="42" t="s">
        <v>317</v>
      </c>
      <c r="D313" s="42" t="s">
        <v>268</v>
      </c>
      <c r="E313" s="42" t="s">
        <v>328</v>
      </c>
      <c r="F313" s="79"/>
      <c r="G313" s="11"/>
      <c r="H313" s="11"/>
      <c r="I313" s="11"/>
      <c r="J313" s="11"/>
      <c r="K313" s="11"/>
      <c r="L313" s="11"/>
      <c r="M313" s="11"/>
      <c r="N313" s="7" t="e">
        <f t="shared" si="159"/>
        <v>#DIV/0!</v>
      </c>
    </row>
    <row r="314" spans="1:14" ht="31.5" hidden="1">
      <c r="A314" s="48" t="s">
        <v>534</v>
      </c>
      <c r="B314" s="42" t="s">
        <v>725</v>
      </c>
      <c r="C314" s="42" t="s">
        <v>317</v>
      </c>
      <c r="D314" s="42" t="s">
        <v>268</v>
      </c>
      <c r="E314" s="42"/>
      <c r="F314" s="2">
        <v>907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7" t="e">
        <f t="shared" si="159"/>
        <v>#DIV/0!</v>
      </c>
    </row>
    <row r="315" spans="1:14" ht="31.5">
      <c r="A315" s="31" t="s">
        <v>335</v>
      </c>
      <c r="B315" s="42" t="s">
        <v>542</v>
      </c>
      <c r="C315" s="42" t="s">
        <v>317</v>
      </c>
      <c r="D315" s="42" t="s">
        <v>268</v>
      </c>
      <c r="E315" s="42"/>
      <c r="F315" s="79"/>
      <c r="G315" s="11">
        <f>G316</f>
        <v>36</v>
      </c>
      <c r="H315" s="11">
        <f t="shared" ref="H315:M316" si="182">H316</f>
        <v>36</v>
      </c>
      <c r="I315" s="11">
        <f t="shared" si="182"/>
        <v>36</v>
      </c>
      <c r="J315" s="11">
        <f t="shared" si="182"/>
        <v>36</v>
      </c>
      <c r="K315" s="11">
        <f t="shared" si="182"/>
        <v>36</v>
      </c>
      <c r="L315" s="11">
        <f t="shared" si="182"/>
        <v>36</v>
      </c>
      <c r="M315" s="11">
        <f t="shared" si="182"/>
        <v>5.4</v>
      </c>
      <c r="N315" s="7">
        <f t="shared" si="159"/>
        <v>15.000000000000002</v>
      </c>
    </row>
    <row r="316" spans="1:14" ht="31.5">
      <c r="A316" s="31" t="s">
        <v>325</v>
      </c>
      <c r="B316" s="42" t="s">
        <v>542</v>
      </c>
      <c r="C316" s="42" t="s">
        <v>317</v>
      </c>
      <c r="D316" s="42" t="s">
        <v>268</v>
      </c>
      <c r="E316" s="42" t="s">
        <v>326</v>
      </c>
      <c r="F316" s="79"/>
      <c r="G316" s="11">
        <f>G317</f>
        <v>36</v>
      </c>
      <c r="H316" s="11">
        <f t="shared" si="182"/>
        <v>36</v>
      </c>
      <c r="I316" s="11">
        <f t="shared" si="182"/>
        <v>36</v>
      </c>
      <c r="J316" s="11">
        <f t="shared" si="182"/>
        <v>36</v>
      </c>
      <c r="K316" s="11">
        <f t="shared" si="182"/>
        <v>36</v>
      </c>
      <c r="L316" s="11">
        <f t="shared" si="182"/>
        <v>36</v>
      </c>
      <c r="M316" s="11">
        <f t="shared" si="182"/>
        <v>5.4</v>
      </c>
      <c r="N316" s="7">
        <f t="shared" si="159"/>
        <v>15.000000000000002</v>
      </c>
    </row>
    <row r="317" spans="1:14" ht="15.75">
      <c r="A317" s="31" t="s">
        <v>327</v>
      </c>
      <c r="B317" s="42" t="s">
        <v>542</v>
      </c>
      <c r="C317" s="42" t="s">
        <v>317</v>
      </c>
      <c r="D317" s="42" t="s">
        <v>268</v>
      </c>
      <c r="E317" s="42" t="s">
        <v>328</v>
      </c>
      <c r="F317" s="79"/>
      <c r="G317" s="11">
        <f>'Прил.№4 ведомств.'!G791</f>
        <v>36</v>
      </c>
      <c r="H317" s="11">
        <f>'Прил.№4 ведомств.'!I791</f>
        <v>36</v>
      </c>
      <c r="I317" s="11">
        <f>'Прил.№4 ведомств.'!J791</f>
        <v>36</v>
      </c>
      <c r="J317" s="11">
        <f>'Прил.№4 ведомств.'!K791</f>
        <v>36</v>
      </c>
      <c r="K317" s="11">
        <f>'Прил.№4 ведомств.'!L791</f>
        <v>36</v>
      </c>
      <c r="L317" s="11">
        <f>'Прил.№4 ведомств.'!M791</f>
        <v>36</v>
      </c>
      <c r="M317" s="11">
        <f>'Прил.№4 ведомств.'!N791</f>
        <v>5.4</v>
      </c>
      <c r="N317" s="7">
        <f t="shared" si="159"/>
        <v>15.000000000000002</v>
      </c>
    </row>
    <row r="318" spans="1:14" ht="31.5" hidden="1">
      <c r="A318" s="26" t="s">
        <v>337</v>
      </c>
      <c r="B318" s="21" t="s">
        <v>543</v>
      </c>
      <c r="C318" s="42" t="s">
        <v>317</v>
      </c>
      <c r="D318" s="42" t="s">
        <v>268</v>
      </c>
      <c r="E318" s="42"/>
      <c r="F318" s="79"/>
      <c r="G318" s="11">
        <f>G319</f>
        <v>0</v>
      </c>
      <c r="H318" s="11">
        <f t="shared" ref="H318:M319" si="183">H319</f>
        <v>0</v>
      </c>
      <c r="I318" s="11">
        <f t="shared" si="183"/>
        <v>275</v>
      </c>
      <c r="J318" s="11">
        <f t="shared" si="183"/>
        <v>275</v>
      </c>
      <c r="K318" s="11">
        <f t="shared" si="183"/>
        <v>275</v>
      </c>
      <c r="L318" s="11">
        <f t="shared" si="183"/>
        <v>0</v>
      </c>
      <c r="M318" s="11">
        <f t="shared" si="183"/>
        <v>0</v>
      </c>
      <c r="N318" s="7" t="e">
        <f t="shared" si="159"/>
        <v>#DIV/0!</v>
      </c>
    </row>
    <row r="319" spans="1:14" ht="31.5" hidden="1">
      <c r="A319" s="26" t="s">
        <v>325</v>
      </c>
      <c r="B319" s="21" t="s">
        <v>543</v>
      </c>
      <c r="C319" s="42" t="s">
        <v>317</v>
      </c>
      <c r="D319" s="42" t="s">
        <v>268</v>
      </c>
      <c r="E319" s="42" t="s">
        <v>326</v>
      </c>
      <c r="F319" s="79"/>
      <c r="G319" s="11">
        <f>G320</f>
        <v>0</v>
      </c>
      <c r="H319" s="11">
        <f t="shared" si="183"/>
        <v>0</v>
      </c>
      <c r="I319" s="11">
        <f t="shared" si="183"/>
        <v>275</v>
      </c>
      <c r="J319" s="11">
        <f t="shared" si="183"/>
        <v>275</v>
      </c>
      <c r="K319" s="11">
        <f t="shared" si="183"/>
        <v>275</v>
      </c>
      <c r="L319" s="11">
        <f t="shared" si="183"/>
        <v>0</v>
      </c>
      <c r="M319" s="11">
        <f t="shared" si="183"/>
        <v>0</v>
      </c>
      <c r="N319" s="7" t="e">
        <f t="shared" si="159"/>
        <v>#DIV/0!</v>
      </c>
    </row>
    <row r="320" spans="1:14" ht="15.75" hidden="1">
      <c r="A320" s="26" t="s">
        <v>327</v>
      </c>
      <c r="B320" s="21" t="s">
        <v>543</v>
      </c>
      <c r="C320" s="42" t="s">
        <v>317</v>
      </c>
      <c r="D320" s="42" t="s">
        <v>268</v>
      </c>
      <c r="E320" s="42" t="s">
        <v>328</v>
      </c>
      <c r="F320" s="79"/>
      <c r="G320" s="11">
        <f>'Прил.№4 ведомств.'!G794</f>
        <v>0</v>
      </c>
      <c r="H320" s="11">
        <f>'Прил.№4 ведомств.'!I794</f>
        <v>0</v>
      </c>
      <c r="I320" s="11">
        <f>'Прил.№4 ведомств.'!J794</f>
        <v>275</v>
      </c>
      <c r="J320" s="11">
        <f>'Прил.№4 ведомств.'!K794</f>
        <v>275</v>
      </c>
      <c r="K320" s="11">
        <f>'Прил.№4 ведомств.'!L794</f>
        <v>275</v>
      </c>
      <c r="L320" s="11">
        <f>'Прил.№4 ведомств.'!M794</f>
        <v>0</v>
      </c>
      <c r="M320" s="11">
        <f>'Прил.№4 ведомств.'!N794</f>
        <v>0</v>
      </c>
      <c r="N320" s="7" t="e">
        <f t="shared" si="159"/>
        <v>#DIV/0!</v>
      </c>
    </row>
    <row r="321" spans="1:14" ht="31.5">
      <c r="A321" s="47" t="s">
        <v>871</v>
      </c>
      <c r="B321" s="21" t="s">
        <v>878</v>
      </c>
      <c r="C321" s="42" t="s">
        <v>317</v>
      </c>
      <c r="D321" s="42" t="s">
        <v>268</v>
      </c>
      <c r="E321" s="42"/>
      <c r="F321" s="79"/>
      <c r="G321" s="11">
        <f>G322</f>
        <v>0</v>
      </c>
      <c r="H321" s="11">
        <f t="shared" ref="H321:M322" si="184">H322</f>
        <v>0</v>
      </c>
      <c r="I321" s="11">
        <f t="shared" si="184"/>
        <v>365.2</v>
      </c>
      <c r="J321" s="11">
        <f t="shared" si="184"/>
        <v>365.2</v>
      </c>
      <c r="K321" s="11">
        <f t="shared" si="184"/>
        <v>365.2</v>
      </c>
      <c r="L321" s="11">
        <f t="shared" si="184"/>
        <v>422.2</v>
      </c>
      <c r="M321" s="11">
        <f t="shared" si="184"/>
        <v>365.2</v>
      </c>
      <c r="N321" s="7">
        <f t="shared" si="159"/>
        <v>86.499289436286119</v>
      </c>
    </row>
    <row r="322" spans="1:14" ht="31.5">
      <c r="A322" s="33" t="s">
        <v>325</v>
      </c>
      <c r="B322" s="21" t="s">
        <v>878</v>
      </c>
      <c r="C322" s="42" t="s">
        <v>317</v>
      </c>
      <c r="D322" s="42" t="s">
        <v>268</v>
      </c>
      <c r="E322" s="42" t="s">
        <v>326</v>
      </c>
      <c r="F322" s="79"/>
      <c r="G322" s="11">
        <f>G323</f>
        <v>0</v>
      </c>
      <c r="H322" s="11">
        <f t="shared" si="184"/>
        <v>0</v>
      </c>
      <c r="I322" s="11">
        <f t="shared" si="184"/>
        <v>365.2</v>
      </c>
      <c r="J322" s="11">
        <f t="shared" si="184"/>
        <v>365.2</v>
      </c>
      <c r="K322" s="11">
        <f t="shared" si="184"/>
        <v>365.2</v>
      </c>
      <c r="L322" s="11">
        <f t="shared" si="184"/>
        <v>422.2</v>
      </c>
      <c r="M322" s="11">
        <f t="shared" si="184"/>
        <v>365.2</v>
      </c>
      <c r="N322" s="7">
        <f t="shared" si="159"/>
        <v>86.499289436286119</v>
      </c>
    </row>
    <row r="323" spans="1:14" ht="15.75">
      <c r="A323" s="33" t="s">
        <v>327</v>
      </c>
      <c r="B323" s="21" t="s">
        <v>878</v>
      </c>
      <c r="C323" s="42" t="s">
        <v>317</v>
      </c>
      <c r="D323" s="42" t="s">
        <v>268</v>
      </c>
      <c r="E323" s="42" t="s">
        <v>328</v>
      </c>
      <c r="F323" s="79"/>
      <c r="G323" s="11">
        <f>'Прил.№4 ведомств.'!G797</f>
        <v>0</v>
      </c>
      <c r="H323" s="11">
        <f>'Прил.№4 ведомств.'!I797</f>
        <v>0</v>
      </c>
      <c r="I323" s="11">
        <f>'Прил.№4 ведомств.'!J797</f>
        <v>365.2</v>
      </c>
      <c r="J323" s="11">
        <f>'Прил.№4 ведомств.'!K797</f>
        <v>365.2</v>
      </c>
      <c r="K323" s="11">
        <f>'Прил.№4 ведомств.'!L797</f>
        <v>365.2</v>
      </c>
      <c r="L323" s="11">
        <f>'Прил.№4 ведомств.'!M797</f>
        <v>422.2</v>
      </c>
      <c r="M323" s="11">
        <f>'Прил.№4 ведомств.'!N797</f>
        <v>365.2</v>
      </c>
      <c r="N323" s="7">
        <f t="shared" si="159"/>
        <v>86.499289436286119</v>
      </c>
    </row>
    <row r="324" spans="1:14" ht="58.5" customHeight="1">
      <c r="A324" s="81" t="s">
        <v>534</v>
      </c>
      <c r="B324" s="42" t="s">
        <v>538</v>
      </c>
      <c r="C324" s="42" t="s">
        <v>317</v>
      </c>
      <c r="D324" s="42" t="s">
        <v>268</v>
      </c>
      <c r="E324" s="42"/>
      <c r="F324" s="2">
        <v>907</v>
      </c>
      <c r="G324" s="11">
        <f>G297</f>
        <v>10758</v>
      </c>
      <c r="H324" s="11">
        <f t="shared" ref="H324:L324" si="185">H297</f>
        <v>10758</v>
      </c>
      <c r="I324" s="11">
        <f t="shared" si="185"/>
        <v>16464.5</v>
      </c>
      <c r="J324" s="11">
        <f t="shared" si="185"/>
        <v>16607.3</v>
      </c>
      <c r="K324" s="11">
        <f t="shared" si="185"/>
        <v>16742.599999999999</v>
      </c>
      <c r="L324" s="11">
        <f t="shared" si="185"/>
        <v>11806.7</v>
      </c>
      <c r="M324" s="11">
        <f t="shared" ref="M324" si="186">M297</f>
        <v>3852.5</v>
      </c>
      <c r="N324" s="7">
        <f t="shared" si="159"/>
        <v>32.629778007402578</v>
      </c>
    </row>
    <row r="325" spans="1:14" ht="47.25">
      <c r="A325" s="64" t="s">
        <v>547</v>
      </c>
      <c r="B325" s="8" t="s">
        <v>548</v>
      </c>
      <c r="C325" s="8"/>
      <c r="D325" s="8"/>
      <c r="E325" s="8"/>
      <c r="F325" s="3"/>
      <c r="G325" s="68">
        <f>G326</f>
        <v>22673.9</v>
      </c>
      <c r="H325" s="68">
        <f t="shared" ref="H325:M326" si="187">H326</f>
        <v>27897</v>
      </c>
      <c r="I325" s="68">
        <f t="shared" si="187"/>
        <v>52737</v>
      </c>
      <c r="J325" s="68">
        <f t="shared" si="187"/>
        <v>54355.7</v>
      </c>
      <c r="K325" s="68">
        <f t="shared" si="187"/>
        <v>55263.1</v>
      </c>
      <c r="L325" s="68">
        <f t="shared" si="187"/>
        <v>41802.5</v>
      </c>
      <c r="M325" s="68">
        <f t="shared" si="187"/>
        <v>14481.6</v>
      </c>
      <c r="N325" s="4">
        <f t="shared" si="159"/>
        <v>34.64290413252796</v>
      </c>
    </row>
    <row r="326" spans="1:14" ht="15.75">
      <c r="A326" s="31" t="s">
        <v>544</v>
      </c>
      <c r="B326" s="42" t="s">
        <v>548</v>
      </c>
      <c r="C326" s="2">
        <v>11</v>
      </c>
      <c r="D326" s="79"/>
      <c r="E326" s="79"/>
      <c r="F326" s="79"/>
      <c r="G326" s="11">
        <f>G327</f>
        <v>22673.9</v>
      </c>
      <c r="H326" s="11">
        <f t="shared" si="187"/>
        <v>27897</v>
      </c>
      <c r="I326" s="11">
        <f t="shared" si="187"/>
        <v>52737</v>
      </c>
      <c r="J326" s="11">
        <f t="shared" si="187"/>
        <v>54355.7</v>
      </c>
      <c r="K326" s="11">
        <f t="shared" si="187"/>
        <v>55263.1</v>
      </c>
      <c r="L326" s="11">
        <f t="shared" si="187"/>
        <v>41802.5</v>
      </c>
      <c r="M326" s="11">
        <f t="shared" si="187"/>
        <v>14481.6</v>
      </c>
      <c r="N326" s="7">
        <f t="shared" si="159"/>
        <v>34.64290413252796</v>
      </c>
    </row>
    <row r="327" spans="1:14" ht="20.25" customHeight="1">
      <c r="A327" s="31" t="s">
        <v>546</v>
      </c>
      <c r="B327" s="42" t="s">
        <v>548</v>
      </c>
      <c r="C327" s="42" t="s">
        <v>545</v>
      </c>
      <c r="D327" s="42" t="s">
        <v>171</v>
      </c>
      <c r="E327" s="82"/>
      <c r="F327" s="6"/>
      <c r="G327" s="11">
        <f>G328+G332+G336+G339+G342+G345</f>
        <v>22673.9</v>
      </c>
      <c r="H327" s="11">
        <f t="shared" ref="H327:L327" si="188">H328+H332+H336+H339+H342+H345</f>
        <v>27897</v>
      </c>
      <c r="I327" s="11">
        <f t="shared" si="188"/>
        <v>52737</v>
      </c>
      <c r="J327" s="11">
        <f t="shared" si="188"/>
        <v>54355.7</v>
      </c>
      <c r="K327" s="11">
        <f t="shared" si="188"/>
        <v>55263.1</v>
      </c>
      <c r="L327" s="11">
        <f t="shared" si="188"/>
        <v>41802.5</v>
      </c>
      <c r="M327" s="11">
        <f t="shared" ref="M327" si="189">M328+M332+M336+M339+M342+M345</f>
        <v>14481.6</v>
      </c>
      <c r="N327" s="7">
        <f t="shared" si="159"/>
        <v>34.64290413252796</v>
      </c>
    </row>
    <row r="328" spans="1:14" ht="31.5">
      <c r="A328" s="31" t="s">
        <v>549</v>
      </c>
      <c r="B328" s="42" t="s">
        <v>550</v>
      </c>
      <c r="C328" s="42" t="s">
        <v>545</v>
      </c>
      <c r="D328" s="42" t="s">
        <v>171</v>
      </c>
      <c r="E328" s="82"/>
      <c r="F328" s="6"/>
      <c r="G328" s="11">
        <f>G329</f>
        <v>22376.400000000001</v>
      </c>
      <c r="H328" s="11">
        <f t="shared" ref="H328:M329" si="190">H329</f>
        <v>27599.5</v>
      </c>
      <c r="I328" s="11">
        <f t="shared" si="190"/>
        <v>50955.8</v>
      </c>
      <c r="J328" s="11">
        <f t="shared" si="190"/>
        <v>52684.5</v>
      </c>
      <c r="K328" s="11">
        <f t="shared" si="190"/>
        <v>54166.9</v>
      </c>
      <c r="L328" s="11">
        <f t="shared" si="190"/>
        <v>40981.300000000003</v>
      </c>
      <c r="M328" s="11">
        <f t="shared" si="190"/>
        <v>13660.4</v>
      </c>
      <c r="N328" s="7">
        <f t="shared" si="159"/>
        <v>33.333251995422295</v>
      </c>
    </row>
    <row r="329" spans="1:14" ht="65.25" customHeight="1">
      <c r="A329" s="31" t="s">
        <v>325</v>
      </c>
      <c r="B329" s="42" t="s">
        <v>550</v>
      </c>
      <c r="C329" s="42" t="s">
        <v>545</v>
      </c>
      <c r="D329" s="42" t="s">
        <v>171</v>
      </c>
      <c r="E329" s="42" t="s">
        <v>326</v>
      </c>
      <c r="F329" s="6"/>
      <c r="G329" s="11">
        <f>G330</f>
        <v>22376.400000000001</v>
      </c>
      <c r="H329" s="11">
        <f t="shared" si="190"/>
        <v>27599.5</v>
      </c>
      <c r="I329" s="11">
        <f t="shared" si="190"/>
        <v>50955.8</v>
      </c>
      <c r="J329" s="11">
        <f t="shared" si="190"/>
        <v>52684.5</v>
      </c>
      <c r="K329" s="11">
        <f t="shared" si="190"/>
        <v>54166.9</v>
      </c>
      <c r="L329" s="11">
        <f t="shared" si="190"/>
        <v>40981.300000000003</v>
      </c>
      <c r="M329" s="11">
        <f t="shared" si="190"/>
        <v>13660.4</v>
      </c>
      <c r="N329" s="7">
        <f t="shared" si="159"/>
        <v>33.333251995422295</v>
      </c>
    </row>
    <row r="330" spans="1:14" ht="15.75">
      <c r="A330" s="31" t="s">
        <v>327</v>
      </c>
      <c r="B330" s="42" t="s">
        <v>550</v>
      </c>
      <c r="C330" s="42" t="s">
        <v>545</v>
      </c>
      <c r="D330" s="42" t="s">
        <v>171</v>
      </c>
      <c r="E330" s="42" t="s">
        <v>328</v>
      </c>
      <c r="F330" s="6"/>
      <c r="G330" s="11">
        <f>'Прил.№4 ведомств.'!G815</f>
        <v>22376.400000000001</v>
      </c>
      <c r="H330" s="11">
        <f>'Прил.№4 ведомств.'!I815</f>
        <v>27599.5</v>
      </c>
      <c r="I330" s="11">
        <f>'Прил.№4 ведомств.'!J815</f>
        <v>50955.8</v>
      </c>
      <c r="J330" s="11">
        <f>'Прил.№4 ведомств.'!K815</f>
        <v>52684.5</v>
      </c>
      <c r="K330" s="11">
        <f>'Прил.№4 ведомств.'!L815</f>
        <v>54166.9</v>
      </c>
      <c r="L330" s="11">
        <f>'Прил.№4 ведомств.'!M815</f>
        <v>40981.300000000003</v>
      </c>
      <c r="M330" s="11">
        <f>'Прил.№4 ведомств.'!N815</f>
        <v>13660.4</v>
      </c>
      <c r="N330" s="7">
        <f t="shared" si="159"/>
        <v>33.333251995422295</v>
      </c>
    </row>
    <row r="331" spans="1:14" ht="31.5" hidden="1">
      <c r="A331" s="48" t="s">
        <v>534</v>
      </c>
      <c r="B331" s="42" t="s">
        <v>548</v>
      </c>
      <c r="C331" s="42" t="s">
        <v>545</v>
      </c>
      <c r="D331" s="42" t="s">
        <v>171</v>
      </c>
      <c r="E331" s="42"/>
      <c r="F331" s="6">
        <v>907</v>
      </c>
      <c r="G331" s="11">
        <f>G325</f>
        <v>22673.9</v>
      </c>
      <c r="H331" s="11">
        <f t="shared" ref="H331:L331" si="191">H325</f>
        <v>27897</v>
      </c>
      <c r="I331" s="11">
        <f t="shared" si="191"/>
        <v>52737</v>
      </c>
      <c r="J331" s="11">
        <f t="shared" si="191"/>
        <v>54355.7</v>
      </c>
      <c r="K331" s="11">
        <f t="shared" si="191"/>
        <v>55263.1</v>
      </c>
      <c r="L331" s="11">
        <f t="shared" si="191"/>
        <v>41802.5</v>
      </c>
      <c r="M331" s="11">
        <f t="shared" ref="M331" si="192">M325</f>
        <v>14481.6</v>
      </c>
      <c r="N331" s="7">
        <f t="shared" si="159"/>
        <v>34.64290413252796</v>
      </c>
    </row>
    <row r="332" spans="1:14" ht="47.25" hidden="1">
      <c r="A332" s="31" t="s">
        <v>660</v>
      </c>
      <c r="B332" s="42" t="s">
        <v>726</v>
      </c>
      <c r="C332" s="42" t="s">
        <v>545</v>
      </c>
      <c r="D332" s="42" t="s">
        <v>171</v>
      </c>
      <c r="E332" s="42"/>
      <c r="F332" s="6"/>
      <c r="G332" s="11">
        <f>G333</f>
        <v>0</v>
      </c>
      <c r="H332" s="11">
        <f t="shared" ref="H332:M334" si="193">H333</f>
        <v>0</v>
      </c>
      <c r="I332" s="11">
        <f t="shared" si="193"/>
        <v>0</v>
      </c>
      <c r="J332" s="11">
        <f t="shared" si="193"/>
        <v>0</v>
      </c>
      <c r="K332" s="11">
        <f t="shared" si="193"/>
        <v>0</v>
      </c>
      <c r="L332" s="11">
        <f t="shared" si="193"/>
        <v>0</v>
      </c>
      <c r="M332" s="11">
        <f t="shared" si="193"/>
        <v>0</v>
      </c>
      <c r="N332" s="7" t="e">
        <f t="shared" ref="N332:N395" si="194">M332/L332*100</f>
        <v>#DIV/0!</v>
      </c>
    </row>
    <row r="333" spans="1:14" ht="31.5" hidden="1">
      <c r="A333" s="31" t="s">
        <v>325</v>
      </c>
      <c r="B333" s="42" t="s">
        <v>726</v>
      </c>
      <c r="C333" s="42" t="s">
        <v>545</v>
      </c>
      <c r="D333" s="42" t="s">
        <v>171</v>
      </c>
      <c r="E333" s="42" t="s">
        <v>326</v>
      </c>
      <c r="F333" s="6"/>
      <c r="G333" s="11">
        <f>G334</f>
        <v>0</v>
      </c>
      <c r="H333" s="11">
        <f t="shared" si="193"/>
        <v>0</v>
      </c>
      <c r="I333" s="11">
        <f t="shared" si="193"/>
        <v>0</v>
      </c>
      <c r="J333" s="11">
        <f t="shared" si="193"/>
        <v>0</v>
      </c>
      <c r="K333" s="11">
        <f t="shared" si="193"/>
        <v>0</v>
      </c>
      <c r="L333" s="11">
        <f t="shared" si="193"/>
        <v>0</v>
      </c>
      <c r="M333" s="11">
        <f t="shared" si="193"/>
        <v>0</v>
      </c>
      <c r="N333" s="7" t="e">
        <f t="shared" si="194"/>
        <v>#DIV/0!</v>
      </c>
    </row>
    <row r="334" spans="1:14" ht="15.75" hidden="1">
      <c r="A334" s="31" t="s">
        <v>327</v>
      </c>
      <c r="B334" s="42" t="s">
        <v>726</v>
      </c>
      <c r="C334" s="42" t="s">
        <v>545</v>
      </c>
      <c r="D334" s="42" t="s">
        <v>171</v>
      </c>
      <c r="E334" s="42" t="s">
        <v>328</v>
      </c>
      <c r="F334" s="6"/>
      <c r="G334" s="11">
        <f>G335</f>
        <v>0</v>
      </c>
      <c r="H334" s="11">
        <f t="shared" si="193"/>
        <v>0</v>
      </c>
      <c r="I334" s="11">
        <f t="shared" si="193"/>
        <v>0</v>
      </c>
      <c r="J334" s="11">
        <f t="shared" si="193"/>
        <v>0</v>
      </c>
      <c r="K334" s="11">
        <f t="shared" si="193"/>
        <v>0</v>
      </c>
      <c r="L334" s="11">
        <f t="shared" si="193"/>
        <v>0</v>
      </c>
      <c r="M334" s="11">
        <f t="shared" si="193"/>
        <v>0</v>
      </c>
      <c r="N334" s="7" t="e">
        <f t="shared" si="194"/>
        <v>#DIV/0!</v>
      </c>
    </row>
    <row r="335" spans="1:14" ht="31.5" hidden="1">
      <c r="A335" s="81" t="s">
        <v>534</v>
      </c>
      <c r="B335" s="42" t="s">
        <v>726</v>
      </c>
      <c r="C335" s="42" t="s">
        <v>545</v>
      </c>
      <c r="D335" s="42" t="s">
        <v>171</v>
      </c>
      <c r="E335" s="42"/>
      <c r="F335" s="6">
        <v>907</v>
      </c>
      <c r="G335" s="11">
        <f>1500-1500</f>
        <v>0</v>
      </c>
      <c r="H335" s="11">
        <f t="shared" ref="H335:M335" si="195">1500-1500</f>
        <v>0</v>
      </c>
      <c r="I335" s="11">
        <f t="shared" si="195"/>
        <v>0</v>
      </c>
      <c r="J335" s="11">
        <f t="shared" si="195"/>
        <v>0</v>
      </c>
      <c r="K335" s="11">
        <f t="shared" si="195"/>
        <v>0</v>
      </c>
      <c r="L335" s="11">
        <f t="shared" si="195"/>
        <v>0</v>
      </c>
      <c r="M335" s="11">
        <f t="shared" si="195"/>
        <v>0</v>
      </c>
      <c r="N335" s="7" t="e">
        <f t="shared" si="194"/>
        <v>#DIV/0!</v>
      </c>
    </row>
    <row r="336" spans="1:14" ht="31.5" hidden="1">
      <c r="A336" s="31" t="s">
        <v>331</v>
      </c>
      <c r="B336" s="42" t="s">
        <v>551</v>
      </c>
      <c r="C336" s="42" t="s">
        <v>545</v>
      </c>
      <c r="D336" s="42" t="s">
        <v>171</v>
      </c>
      <c r="E336" s="42"/>
      <c r="F336" s="6"/>
      <c r="G336" s="11">
        <f>G337</f>
        <v>297.5</v>
      </c>
      <c r="H336" s="11">
        <f t="shared" ref="H336:M337" si="196">H337</f>
        <v>297.5</v>
      </c>
      <c r="I336" s="11">
        <f t="shared" si="196"/>
        <v>0</v>
      </c>
      <c r="J336" s="11">
        <f t="shared" si="196"/>
        <v>0</v>
      </c>
      <c r="K336" s="11">
        <f t="shared" si="196"/>
        <v>0</v>
      </c>
      <c r="L336" s="11">
        <f t="shared" si="196"/>
        <v>0</v>
      </c>
      <c r="M336" s="11">
        <f t="shared" si="196"/>
        <v>0</v>
      </c>
      <c r="N336" s="7" t="e">
        <f t="shared" si="194"/>
        <v>#DIV/0!</v>
      </c>
    </row>
    <row r="337" spans="1:14" ht="31.5" hidden="1">
      <c r="A337" s="31" t="s">
        <v>325</v>
      </c>
      <c r="B337" s="42" t="s">
        <v>551</v>
      </c>
      <c r="C337" s="42" t="s">
        <v>545</v>
      </c>
      <c r="D337" s="42" t="s">
        <v>171</v>
      </c>
      <c r="E337" s="42" t="s">
        <v>326</v>
      </c>
      <c r="F337" s="6"/>
      <c r="G337" s="11">
        <f>G338</f>
        <v>297.5</v>
      </c>
      <c r="H337" s="11">
        <f t="shared" si="196"/>
        <v>297.5</v>
      </c>
      <c r="I337" s="11">
        <f t="shared" si="196"/>
        <v>0</v>
      </c>
      <c r="J337" s="11">
        <f t="shared" si="196"/>
        <v>0</v>
      </c>
      <c r="K337" s="11">
        <f t="shared" si="196"/>
        <v>0</v>
      </c>
      <c r="L337" s="11">
        <f t="shared" si="196"/>
        <v>0</v>
      </c>
      <c r="M337" s="11">
        <f t="shared" si="196"/>
        <v>0</v>
      </c>
      <c r="N337" s="7" t="e">
        <f t="shared" si="194"/>
        <v>#DIV/0!</v>
      </c>
    </row>
    <row r="338" spans="1:14" ht="15.75" hidden="1">
      <c r="A338" s="31" t="s">
        <v>327</v>
      </c>
      <c r="B338" s="42" t="s">
        <v>551</v>
      </c>
      <c r="C338" s="42" t="s">
        <v>545</v>
      </c>
      <c r="D338" s="42" t="s">
        <v>171</v>
      </c>
      <c r="E338" s="42" t="s">
        <v>328</v>
      </c>
      <c r="F338" s="6"/>
      <c r="G338" s="11">
        <f>'Прил.№4 ведомств.'!G818</f>
        <v>297.5</v>
      </c>
      <c r="H338" s="11">
        <f>'Прил.№4 ведомств.'!I818</f>
        <v>297.5</v>
      </c>
      <c r="I338" s="11">
        <f>'Прил.№4 ведомств.'!J818</f>
        <v>0</v>
      </c>
      <c r="J338" s="11">
        <f>'Прил.№4 ведомств.'!K818</f>
        <v>0</v>
      </c>
      <c r="K338" s="11">
        <f>'Прил.№4 ведомств.'!L818</f>
        <v>0</v>
      </c>
      <c r="L338" s="11">
        <f>'Прил.№4 ведомств.'!M818</f>
        <v>0</v>
      </c>
      <c r="M338" s="11">
        <f>'Прил.№4 ведомств.'!N818</f>
        <v>0</v>
      </c>
      <c r="N338" s="7" t="e">
        <f t="shared" si="194"/>
        <v>#DIV/0!</v>
      </c>
    </row>
    <row r="339" spans="1:14" ht="31.5" hidden="1">
      <c r="A339" s="31" t="s">
        <v>333</v>
      </c>
      <c r="B339" s="42" t="s">
        <v>552</v>
      </c>
      <c r="C339" s="42" t="s">
        <v>545</v>
      </c>
      <c r="D339" s="42" t="s">
        <v>171</v>
      </c>
      <c r="E339" s="42"/>
      <c r="F339" s="6"/>
      <c r="G339" s="11">
        <f>G340</f>
        <v>0</v>
      </c>
      <c r="H339" s="11">
        <f t="shared" ref="H339:M340" si="197">H340</f>
        <v>0</v>
      </c>
      <c r="I339" s="11">
        <f t="shared" si="197"/>
        <v>685</v>
      </c>
      <c r="J339" s="11">
        <f t="shared" si="197"/>
        <v>300</v>
      </c>
      <c r="K339" s="11">
        <f t="shared" si="197"/>
        <v>0</v>
      </c>
      <c r="L339" s="11">
        <f t="shared" si="197"/>
        <v>0</v>
      </c>
      <c r="M339" s="11">
        <f t="shared" si="197"/>
        <v>0</v>
      </c>
      <c r="N339" s="7" t="e">
        <f t="shared" si="194"/>
        <v>#DIV/0!</v>
      </c>
    </row>
    <row r="340" spans="1:14" ht="31.5" hidden="1">
      <c r="A340" s="31" t="s">
        <v>325</v>
      </c>
      <c r="B340" s="42" t="s">
        <v>552</v>
      </c>
      <c r="C340" s="42" t="s">
        <v>545</v>
      </c>
      <c r="D340" s="42" t="s">
        <v>171</v>
      </c>
      <c r="E340" s="42" t="s">
        <v>326</v>
      </c>
      <c r="F340" s="6"/>
      <c r="G340" s="11">
        <f>G341</f>
        <v>0</v>
      </c>
      <c r="H340" s="11">
        <f t="shared" si="197"/>
        <v>0</v>
      </c>
      <c r="I340" s="11">
        <f t="shared" si="197"/>
        <v>685</v>
      </c>
      <c r="J340" s="11">
        <f t="shared" si="197"/>
        <v>300</v>
      </c>
      <c r="K340" s="11">
        <f t="shared" si="197"/>
        <v>0</v>
      </c>
      <c r="L340" s="11">
        <f t="shared" si="197"/>
        <v>0</v>
      </c>
      <c r="M340" s="11">
        <f t="shared" si="197"/>
        <v>0</v>
      </c>
      <c r="N340" s="7" t="e">
        <f t="shared" si="194"/>
        <v>#DIV/0!</v>
      </c>
    </row>
    <row r="341" spans="1:14" ht="15.75" hidden="1">
      <c r="A341" s="31" t="s">
        <v>327</v>
      </c>
      <c r="B341" s="42" t="s">
        <v>552</v>
      </c>
      <c r="C341" s="42" t="s">
        <v>545</v>
      </c>
      <c r="D341" s="42" t="s">
        <v>171</v>
      </c>
      <c r="E341" s="42" t="s">
        <v>328</v>
      </c>
      <c r="F341" s="6"/>
      <c r="G341" s="11">
        <f>'Прил.№4 ведомств.'!G821</f>
        <v>0</v>
      </c>
      <c r="H341" s="11">
        <f>'Прил.№4 ведомств.'!I821</f>
        <v>0</v>
      </c>
      <c r="I341" s="11">
        <f>'Прил.№4 ведомств.'!J821</f>
        <v>685</v>
      </c>
      <c r="J341" s="11">
        <f>'Прил.№4 ведомств.'!K821</f>
        <v>300</v>
      </c>
      <c r="K341" s="11">
        <f>'Прил.№4 ведомств.'!L821</f>
        <v>0</v>
      </c>
      <c r="L341" s="11">
        <f>'Прил.№4 ведомств.'!M821</f>
        <v>0</v>
      </c>
      <c r="M341" s="11">
        <f>'Прил.№4 ведомств.'!N821</f>
        <v>0</v>
      </c>
      <c r="N341" s="7" t="e">
        <f t="shared" si="194"/>
        <v>#DIV/0!</v>
      </c>
    </row>
    <row r="342" spans="1:14" ht="71.25" hidden="1" customHeight="1">
      <c r="A342" s="31" t="s">
        <v>337</v>
      </c>
      <c r="B342" s="42" t="s">
        <v>553</v>
      </c>
      <c r="C342" s="42" t="s">
        <v>545</v>
      </c>
      <c r="D342" s="42" t="s">
        <v>171</v>
      </c>
      <c r="E342" s="42"/>
      <c r="F342" s="6"/>
      <c r="G342" s="11">
        <f>G343</f>
        <v>0</v>
      </c>
      <c r="H342" s="11">
        <f t="shared" ref="H342:M343" si="198">H343</f>
        <v>0</v>
      </c>
      <c r="I342" s="11">
        <f t="shared" si="198"/>
        <v>275</v>
      </c>
      <c r="J342" s="11">
        <f t="shared" si="198"/>
        <v>550</v>
      </c>
      <c r="K342" s="11">
        <f t="shared" si="198"/>
        <v>275</v>
      </c>
      <c r="L342" s="11">
        <f t="shared" si="198"/>
        <v>0</v>
      </c>
      <c r="M342" s="11">
        <f t="shared" si="198"/>
        <v>0</v>
      </c>
      <c r="N342" s="7" t="e">
        <f t="shared" si="194"/>
        <v>#DIV/0!</v>
      </c>
    </row>
    <row r="343" spans="1:14" ht="31.5" hidden="1">
      <c r="A343" s="31" t="s">
        <v>325</v>
      </c>
      <c r="B343" s="42" t="s">
        <v>553</v>
      </c>
      <c r="C343" s="42" t="s">
        <v>545</v>
      </c>
      <c r="D343" s="42" t="s">
        <v>171</v>
      </c>
      <c r="E343" s="42" t="s">
        <v>326</v>
      </c>
      <c r="F343" s="6"/>
      <c r="G343" s="11">
        <f>G344</f>
        <v>0</v>
      </c>
      <c r="H343" s="11">
        <f t="shared" si="198"/>
        <v>0</v>
      </c>
      <c r="I343" s="11">
        <f t="shared" si="198"/>
        <v>275</v>
      </c>
      <c r="J343" s="11">
        <f t="shared" si="198"/>
        <v>550</v>
      </c>
      <c r="K343" s="11">
        <f t="shared" si="198"/>
        <v>275</v>
      </c>
      <c r="L343" s="11">
        <f t="shared" si="198"/>
        <v>0</v>
      </c>
      <c r="M343" s="11">
        <f t="shared" si="198"/>
        <v>0</v>
      </c>
      <c r="N343" s="7" t="e">
        <f t="shared" si="194"/>
        <v>#DIV/0!</v>
      </c>
    </row>
    <row r="344" spans="1:14" ht="15.75" hidden="1">
      <c r="A344" s="31" t="s">
        <v>327</v>
      </c>
      <c r="B344" s="42" t="s">
        <v>553</v>
      </c>
      <c r="C344" s="42" t="s">
        <v>545</v>
      </c>
      <c r="D344" s="42" t="s">
        <v>171</v>
      </c>
      <c r="E344" s="42" t="s">
        <v>328</v>
      </c>
      <c r="F344" s="6"/>
      <c r="G344" s="11">
        <f>'Прил.№4 ведомств.'!G824</f>
        <v>0</v>
      </c>
      <c r="H344" s="11">
        <f>'Прил.№4 ведомств.'!I824</f>
        <v>0</v>
      </c>
      <c r="I344" s="11">
        <f>'Прил.№4 ведомств.'!J824</f>
        <v>275</v>
      </c>
      <c r="J344" s="11">
        <f>'Прил.№4 ведомств.'!K824</f>
        <v>550</v>
      </c>
      <c r="K344" s="11">
        <f>'Прил.№4 ведомств.'!L824</f>
        <v>275</v>
      </c>
      <c r="L344" s="11">
        <f>'Прил.№4 ведомств.'!M824</f>
        <v>0</v>
      </c>
      <c r="M344" s="11">
        <f>'Прил.№4 ведомств.'!N824</f>
        <v>0</v>
      </c>
      <c r="N344" s="7" t="e">
        <f t="shared" si="194"/>
        <v>#DIV/0!</v>
      </c>
    </row>
    <row r="345" spans="1:14" ht="31.5">
      <c r="A345" s="47" t="s">
        <v>871</v>
      </c>
      <c r="B345" s="42" t="s">
        <v>879</v>
      </c>
      <c r="C345" s="42" t="s">
        <v>545</v>
      </c>
      <c r="D345" s="42" t="s">
        <v>171</v>
      </c>
      <c r="E345" s="42"/>
      <c r="F345" s="6"/>
      <c r="G345" s="11">
        <f>G346</f>
        <v>0</v>
      </c>
      <c r="H345" s="11">
        <f t="shared" ref="H345:M346" si="199">H346</f>
        <v>0</v>
      </c>
      <c r="I345" s="11">
        <f t="shared" si="199"/>
        <v>821.2</v>
      </c>
      <c r="J345" s="11">
        <f t="shared" si="199"/>
        <v>821.2</v>
      </c>
      <c r="K345" s="11">
        <f t="shared" si="199"/>
        <v>821.2</v>
      </c>
      <c r="L345" s="11">
        <f t="shared" si="199"/>
        <v>821.2</v>
      </c>
      <c r="M345" s="11">
        <f t="shared" si="199"/>
        <v>821.2</v>
      </c>
      <c r="N345" s="7">
        <f t="shared" si="194"/>
        <v>100</v>
      </c>
    </row>
    <row r="346" spans="1:14" ht="31.5">
      <c r="A346" s="33" t="s">
        <v>325</v>
      </c>
      <c r="B346" s="42" t="s">
        <v>879</v>
      </c>
      <c r="C346" s="42" t="s">
        <v>545</v>
      </c>
      <c r="D346" s="42" t="s">
        <v>171</v>
      </c>
      <c r="E346" s="42" t="s">
        <v>326</v>
      </c>
      <c r="F346" s="6"/>
      <c r="G346" s="11">
        <f>G347</f>
        <v>0</v>
      </c>
      <c r="H346" s="11">
        <f t="shared" si="199"/>
        <v>0</v>
      </c>
      <c r="I346" s="11">
        <f t="shared" si="199"/>
        <v>821.2</v>
      </c>
      <c r="J346" s="11">
        <f t="shared" si="199"/>
        <v>821.2</v>
      </c>
      <c r="K346" s="11">
        <f t="shared" si="199"/>
        <v>821.2</v>
      </c>
      <c r="L346" s="11">
        <f t="shared" si="199"/>
        <v>821.2</v>
      </c>
      <c r="M346" s="11">
        <f t="shared" si="199"/>
        <v>821.2</v>
      </c>
      <c r="N346" s="7">
        <f t="shared" si="194"/>
        <v>100</v>
      </c>
    </row>
    <row r="347" spans="1:14" ht="15.75">
      <c r="A347" s="33" t="s">
        <v>327</v>
      </c>
      <c r="B347" s="42" t="s">
        <v>879</v>
      </c>
      <c r="C347" s="42" t="s">
        <v>545</v>
      </c>
      <c r="D347" s="42" t="s">
        <v>171</v>
      </c>
      <c r="E347" s="42" t="s">
        <v>328</v>
      </c>
      <c r="F347" s="6"/>
      <c r="G347" s="11">
        <f>'Прил.№4 ведомств.'!G827</f>
        <v>0</v>
      </c>
      <c r="H347" s="11">
        <f>'Прил.№4 ведомств.'!I827</f>
        <v>0</v>
      </c>
      <c r="I347" s="11">
        <f>'Прил.№4 ведомств.'!J827</f>
        <v>821.2</v>
      </c>
      <c r="J347" s="11">
        <f>'Прил.№4 ведомств.'!K827</f>
        <v>821.2</v>
      </c>
      <c r="K347" s="11">
        <f>'Прил.№4 ведомств.'!L827</f>
        <v>821.2</v>
      </c>
      <c r="L347" s="11">
        <f>'Прил.№4 ведомств.'!M827</f>
        <v>821.2</v>
      </c>
      <c r="M347" s="11">
        <f>'Прил.№4 ведомств.'!N827</f>
        <v>821.2</v>
      </c>
      <c r="N347" s="7">
        <f t="shared" si="194"/>
        <v>100</v>
      </c>
    </row>
    <row r="348" spans="1:14" ht="31.5">
      <c r="A348" s="81" t="s">
        <v>534</v>
      </c>
      <c r="B348" s="42" t="s">
        <v>548</v>
      </c>
      <c r="C348" s="42" t="s">
        <v>545</v>
      </c>
      <c r="D348" s="42" t="s">
        <v>171</v>
      </c>
      <c r="E348" s="42"/>
      <c r="F348" s="6">
        <v>907</v>
      </c>
      <c r="G348" s="11">
        <f>G325</f>
        <v>22673.9</v>
      </c>
      <c r="H348" s="11">
        <f t="shared" ref="H348:L348" si="200">H325</f>
        <v>27897</v>
      </c>
      <c r="I348" s="11">
        <f t="shared" si="200"/>
        <v>52737</v>
      </c>
      <c r="J348" s="11">
        <f t="shared" si="200"/>
        <v>54355.7</v>
      </c>
      <c r="K348" s="11">
        <f t="shared" si="200"/>
        <v>55263.1</v>
      </c>
      <c r="L348" s="11">
        <f t="shared" si="200"/>
        <v>41802.5</v>
      </c>
      <c r="M348" s="11">
        <f t="shared" ref="M348" si="201">M325</f>
        <v>14481.6</v>
      </c>
      <c r="N348" s="7">
        <f t="shared" si="194"/>
        <v>34.64290413252796</v>
      </c>
    </row>
    <row r="349" spans="1:14" ht="47.25">
      <c r="A349" s="64" t="s">
        <v>555</v>
      </c>
      <c r="B349" s="8" t="s">
        <v>556</v>
      </c>
      <c r="C349" s="8"/>
      <c r="D349" s="8"/>
      <c r="E349" s="8"/>
      <c r="F349" s="278"/>
      <c r="G349" s="4">
        <f>G350</f>
        <v>3047</v>
      </c>
      <c r="H349" s="4">
        <f t="shared" ref="H349:M351" si="202">H350</f>
        <v>3047</v>
      </c>
      <c r="I349" s="4">
        <f t="shared" si="202"/>
        <v>3177.9</v>
      </c>
      <c r="J349" s="4">
        <f t="shared" si="202"/>
        <v>3314.6</v>
      </c>
      <c r="K349" s="4">
        <f t="shared" si="202"/>
        <v>3457.1</v>
      </c>
      <c r="L349" s="4">
        <f t="shared" si="202"/>
        <v>2400</v>
      </c>
      <c r="M349" s="4">
        <f t="shared" si="202"/>
        <v>858.7</v>
      </c>
      <c r="N349" s="4">
        <f t="shared" si="194"/>
        <v>35.779166666666669</v>
      </c>
    </row>
    <row r="350" spans="1:14" ht="15.75">
      <c r="A350" s="31" t="s">
        <v>544</v>
      </c>
      <c r="B350" s="42" t="s">
        <v>556</v>
      </c>
      <c r="C350" s="2">
        <v>11</v>
      </c>
      <c r="D350" s="42"/>
      <c r="E350" s="42"/>
      <c r="F350" s="6"/>
      <c r="G350" s="7">
        <f>G351</f>
        <v>3047</v>
      </c>
      <c r="H350" s="7">
        <f t="shared" si="202"/>
        <v>3047</v>
      </c>
      <c r="I350" s="7">
        <f t="shared" si="202"/>
        <v>3177.9</v>
      </c>
      <c r="J350" s="7">
        <f t="shared" si="202"/>
        <v>3314.6</v>
      </c>
      <c r="K350" s="7">
        <f t="shared" si="202"/>
        <v>3457.1</v>
      </c>
      <c r="L350" s="7">
        <f t="shared" si="202"/>
        <v>2400</v>
      </c>
      <c r="M350" s="7">
        <f t="shared" si="202"/>
        <v>858.7</v>
      </c>
      <c r="N350" s="7">
        <f t="shared" si="194"/>
        <v>35.779166666666669</v>
      </c>
    </row>
    <row r="351" spans="1:14" ht="31.5">
      <c r="A351" s="26" t="s">
        <v>554</v>
      </c>
      <c r="B351" s="42" t="s">
        <v>556</v>
      </c>
      <c r="C351" s="42" t="s">
        <v>545</v>
      </c>
      <c r="D351" s="42" t="s">
        <v>287</v>
      </c>
      <c r="E351" s="42"/>
      <c r="F351" s="6"/>
      <c r="G351" s="7">
        <f>G352</f>
        <v>3047</v>
      </c>
      <c r="H351" s="7">
        <f t="shared" si="202"/>
        <v>3047</v>
      </c>
      <c r="I351" s="7">
        <f t="shared" si="202"/>
        <v>3177.9</v>
      </c>
      <c r="J351" s="7">
        <f t="shared" si="202"/>
        <v>3314.6</v>
      </c>
      <c r="K351" s="7">
        <f t="shared" si="202"/>
        <v>3457.1</v>
      </c>
      <c r="L351" s="7">
        <f t="shared" si="202"/>
        <v>2400</v>
      </c>
      <c r="M351" s="7">
        <f t="shared" si="202"/>
        <v>858.7</v>
      </c>
      <c r="N351" s="7">
        <f t="shared" si="194"/>
        <v>35.779166666666669</v>
      </c>
    </row>
    <row r="352" spans="1:14" ht="31.5">
      <c r="A352" s="31" t="s">
        <v>210</v>
      </c>
      <c r="B352" s="42" t="s">
        <v>557</v>
      </c>
      <c r="C352" s="42" t="s">
        <v>545</v>
      </c>
      <c r="D352" s="42" t="s">
        <v>287</v>
      </c>
      <c r="E352" s="42"/>
      <c r="F352" s="6"/>
      <c r="G352" s="7">
        <f>G355+G353</f>
        <v>3047</v>
      </c>
      <c r="H352" s="7">
        <f t="shared" ref="H352:L352" si="203">H355+H353</f>
        <v>3047</v>
      </c>
      <c r="I352" s="7">
        <f t="shared" si="203"/>
        <v>3177.9</v>
      </c>
      <c r="J352" s="7">
        <f t="shared" si="203"/>
        <v>3314.6</v>
      </c>
      <c r="K352" s="7">
        <f t="shared" si="203"/>
        <v>3457.1</v>
      </c>
      <c r="L352" s="7">
        <f t="shared" si="203"/>
        <v>2400</v>
      </c>
      <c r="M352" s="7">
        <f t="shared" ref="M352" si="204">M355+M353</f>
        <v>858.7</v>
      </c>
      <c r="N352" s="7">
        <f t="shared" si="194"/>
        <v>35.779166666666669</v>
      </c>
    </row>
    <row r="353" spans="1:18" ht="78.75">
      <c r="A353" s="26" t="s">
        <v>180</v>
      </c>
      <c r="B353" s="42" t="s">
        <v>557</v>
      </c>
      <c r="C353" s="42" t="s">
        <v>545</v>
      </c>
      <c r="D353" s="42" t="s">
        <v>287</v>
      </c>
      <c r="E353" s="42" t="s">
        <v>181</v>
      </c>
      <c r="F353" s="6"/>
      <c r="G353" s="7">
        <f>G354</f>
        <v>2111</v>
      </c>
      <c r="H353" s="7">
        <f t="shared" ref="H353:M353" si="205">H354</f>
        <v>2111</v>
      </c>
      <c r="I353" s="7">
        <f t="shared" si="205"/>
        <v>2111</v>
      </c>
      <c r="J353" s="7">
        <f t="shared" si="205"/>
        <v>2111</v>
      </c>
      <c r="K353" s="7">
        <f t="shared" si="205"/>
        <v>2111</v>
      </c>
      <c r="L353" s="7">
        <f t="shared" si="205"/>
        <v>1611</v>
      </c>
      <c r="M353" s="7">
        <f t="shared" si="205"/>
        <v>520.5</v>
      </c>
      <c r="N353" s="7">
        <f t="shared" si="194"/>
        <v>32.309124767225327</v>
      </c>
    </row>
    <row r="354" spans="1:18" ht="55.5" customHeight="1">
      <c r="A354" s="26" t="s">
        <v>182</v>
      </c>
      <c r="B354" s="42" t="s">
        <v>557</v>
      </c>
      <c r="C354" s="42" t="s">
        <v>545</v>
      </c>
      <c r="D354" s="42" t="s">
        <v>287</v>
      </c>
      <c r="E354" s="42" t="s">
        <v>183</v>
      </c>
      <c r="F354" s="6"/>
      <c r="G354" s="7">
        <f>'Прил.№4 ведомств.'!G842</f>
        <v>2111</v>
      </c>
      <c r="H354" s="7">
        <f>'Прил.№4 ведомств.'!I842</f>
        <v>2111</v>
      </c>
      <c r="I354" s="7">
        <f>'Прил.№4 ведомств.'!J842</f>
        <v>2111</v>
      </c>
      <c r="J354" s="7">
        <f>'Прил.№4 ведомств.'!K842</f>
        <v>2111</v>
      </c>
      <c r="K354" s="7">
        <f>'Прил.№4 ведомств.'!L842</f>
        <v>2111</v>
      </c>
      <c r="L354" s="7">
        <f>'Прил.№4 ведомств.'!M842</f>
        <v>1611</v>
      </c>
      <c r="M354" s="7">
        <f>'Прил.№4 ведомств.'!N842</f>
        <v>520.5</v>
      </c>
      <c r="N354" s="7">
        <f t="shared" si="194"/>
        <v>32.309124767225327</v>
      </c>
    </row>
    <row r="355" spans="1:18" ht="31.5">
      <c r="A355" s="31" t="s">
        <v>184</v>
      </c>
      <c r="B355" s="42" t="s">
        <v>557</v>
      </c>
      <c r="C355" s="42" t="s">
        <v>545</v>
      </c>
      <c r="D355" s="42" t="s">
        <v>287</v>
      </c>
      <c r="E355" s="42" t="s">
        <v>185</v>
      </c>
      <c r="F355" s="6"/>
      <c r="G355" s="7">
        <f>G356</f>
        <v>936</v>
      </c>
      <c r="H355" s="7">
        <f t="shared" ref="H355:M355" si="206">H356</f>
        <v>936</v>
      </c>
      <c r="I355" s="7">
        <f t="shared" si="206"/>
        <v>1066.9000000000001</v>
      </c>
      <c r="J355" s="7">
        <f t="shared" si="206"/>
        <v>1203.5999999999999</v>
      </c>
      <c r="K355" s="7">
        <f t="shared" si="206"/>
        <v>1346.1</v>
      </c>
      <c r="L355" s="7">
        <f t="shared" si="206"/>
        <v>789</v>
      </c>
      <c r="M355" s="7">
        <f t="shared" si="206"/>
        <v>338.2</v>
      </c>
      <c r="N355" s="7">
        <f t="shared" si="194"/>
        <v>42.864385297845367</v>
      </c>
    </row>
    <row r="356" spans="1:18" ht="31.5">
      <c r="A356" s="31" t="s">
        <v>186</v>
      </c>
      <c r="B356" s="42" t="s">
        <v>557</v>
      </c>
      <c r="C356" s="42" t="s">
        <v>545</v>
      </c>
      <c r="D356" s="42" t="s">
        <v>287</v>
      </c>
      <c r="E356" s="42" t="s">
        <v>187</v>
      </c>
      <c r="F356" s="6"/>
      <c r="G356" s="7">
        <f>'Прил.№4 ведомств.'!G844</f>
        <v>936</v>
      </c>
      <c r="H356" s="7">
        <f>'Прил.№4 ведомств.'!I844</f>
        <v>936</v>
      </c>
      <c r="I356" s="7">
        <f>'Прил.№4 ведомств.'!J844</f>
        <v>1066.9000000000001</v>
      </c>
      <c r="J356" s="7">
        <f>'Прил.№4 ведомств.'!K844</f>
        <v>1203.5999999999999</v>
      </c>
      <c r="K356" s="7">
        <f>'Прил.№4 ведомств.'!L844</f>
        <v>1346.1</v>
      </c>
      <c r="L356" s="7">
        <f>'Прил.№4 ведомств.'!M844</f>
        <v>789</v>
      </c>
      <c r="M356" s="7">
        <f>'Прил.№4 ведомств.'!N844</f>
        <v>338.2</v>
      </c>
      <c r="N356" s="7">
        <f t="shared" si="194"/>
        <v>42.864385297845367</v>
      </c>
    </row>
    <row r="357" spans="1:18" ht="31.5">
      <c r="A357" s="81" t="s">
        <v>534</v>
      </c>
      <c r="B357" s="42" t="s">
        <v>556</v>
      </c>
      <c r="C357" s="42" t="s">
        <v>545</v>
      </c>
      <c r="D357" s="42" t="s">
        <v>287</v>
      </c>
      <c r="E357" s="42"/>
      <c r="F357" s="6">
        <v>907</v>
      </c>
      <c r="G357" s="11">
        <f>G349</f>
        <v>3047</v>
      </c>
      <c r="H357" s="11">
        <f t="shared" ref="H357:L357" si="207">H349</f>
        <v>3047</v>
      </c>
      <c r="I357" s="11">
        <f t="shared" si="207"/>
        <v>3177.9</v>
      </c>
      <c r="J357" s="11">
        <f t="shared" si="207"/>
        <v>3314.6</v>
      </c>
      <c r="K357" s="11">
        <f t="shared" si="207"/>
        <v>3457.1</v>
      </c>
      <c r="L357" s="11">
        <f t="shared" si="207"/>
        <v>2400</v>
      </c>
      <c r="M357" s="11">
        <f t="shared" ref="M357" si="208">M349</f>
        <v>858.7</v>
      </c>
      <c r="N357" s="7">
        <f t="shared" si="194"/>
        <v>35.779166666666669</v>
      </c>
    </row>
    <row r="358" spans="1:18" ht="31.5">
      <c r="A358" s="43" t="s">
        <v>319</v>
      </c>
      <c r="B358" s="8" t="s">
        <v>320</v>
      </c>
      <c r="C358" s="83"/>
      <c r="D358" s="83"/>
      <c r="E358" s="83"/>
      <c r="F358" s="3"/>
      <c r="G358" s="68">
        <f t="shared" ref="G358:L358" si="209">G359+G390+G415</f>
        <v>58528.7</v>
      </c>
      <c r="H358" s="68">
        <f t="shared" si="209"/>
        <v>53466.433333333334</v>
      </c>
      <c r="I358" s="68">
        <f t="shared" si="209"/>
        <v>72150.8</v>
      </c>
      <c r="J358" s="68">
        <f t="shared" si="209"/>
        <v>72948.7</v>
      </c>
      <c r="K358" s="68">
        <f t="shared" si="209"/>
        <v>73823.600000000006</v>
      </c>
      <c r="L358" s="68">
        <f t="shared" si="209"/>
        <v>57925.2</v>
      </c>
      <c r="M358" s="68">
        <f t="shared" ref="M358" si="210">M359+M390+M415</f>
        <v>20215.300000000003</v>
      </c>
      <c r="N358" s="4">
        <f t="shared" si="194"/>
        <v>34.898973158487159</v>
      </c>
    </row>
    <row r="359" spans="1:18" ht="47.25">
      <c r="A359" s="43" t="s">
        <v>321</v>
      </c>
      <c r="B359" s="8" t="s">
        <v>322</v>
      </c>
      <c r="C359" s="83"/>
      <c r="D359" s="83"/>
      <c r="E359" s="83"/>
      <c r="F359" s="3"/>
      <c r="G359" s="68">
        <f>G360</f>
        <v>16445.599999999999</v>
      </c>
      <c r="H359" s="68">
        <f t="shared" ref="H359:M360" si="211">H360</f>
        <v>11383.333333333334</v>
      </c>
      <c r="I359" s="68">
        <f t="shared" si="211"/>
        <v>21824</v>
      </c>
      <c r="J359" s="68">
        <f t="shared" si="211"/>
        <v>21497.599999999999</v>
      </c>
      <c r="K359" s="68">
        <f t="shared" si="211"/>
        <v>21724.799999999999</v>
      </c>
      <c r="L359" s="68">
        <f t="shared" si="211"/>
        <v>16868.900000000001</v>
      </c>
      <c r="M359" s="68">
        <f t="shared" si="211"/>
        <v>5907.8</v>
      </c>
      <c r="N359" s="4">
        <f t="shared" si="194"/>
        <v>35.021844933575984</v>
      </c>
      <c r="O359" s="140"/>
      <c r="P359" s="140"/>
      <c r="Q359" s="140"/>
      <c r="R359" s="140"/>
    </row>
    <row r="360" spans="1:18" ht="15.75">
      <c r="A360" s="31" t="s">
        <v>316</v>
      </c>
      <c r="B360" s="42" t="s">
        <v>322</v>
      </c>
      <c r="C360" s="42" t="s">
        <v>317</v>
      </c>
      <c r="D360" s="83"/>
      <c r="E360" s="83"/>
      <c r="F360" s="3"/>
      <c r="G360" s="11">
        <f>G361</f>
        <v>16445.599999999999</v>
      </c>
      <c r="H360" s="11">
        <f t="shared" si="211"/>
        <v>11383.333333333334</v>
      </c>
      <c r="I360" s="11">
        <f t="shared" si="211"/>
        <v>21824</v>
      </c>
      <c r="J360" s="11">
        <f t="shared" si="211"/>
        <v>21497.599999999999</v>
      </c>
      <c r="K360" s="11">
        <f t="shared" si="211"/>
        <v>21724.799999999999</v>
      </c>
      <c r="L360" s="11">
        <f t="shared" si="211"/>
        <v>16868.900000000001</v>
      </c>
      <c r="M360" s="11">
        <f t="shared" si="211"/>
        <v>5907.8</v>
      </c>
      <c r="N360" s="7">
        <f t="shared" si="194"/>
        <v>35.021844933575984</v>
      </c>
    </row>
    <row r="361" spans="1:18" ht="15.75">
      <c r="A361" s="31" t="s">
        <v>479</v>
      </c>
      <c r="B361" s="42" t="s">
        <v>322</v>
      </c>
      <c r="C361" s="42" t="s">
        <v>317</v>
      </c>
      <c r="D361" s="42" t="s">
        <v>268</v>
      </c>
      <c r="E361" s="83"/>
      <c r="F361" s="3"/>
      <c r="G361" s="11">
        <f>G362+G377+G380+G383+G386</f>
        <v>16445.599999999999</v>
      </c>
      <c r="H361" s="11">
        <f t="shared" ref="H361:L361" si="212">H362+H377+H380+H383+H386</f>
        <v>11383.333333333334</v>
      </c>
      <c r="I361" s="11">
        <f t="shared" si="212"/>
        <v>21824</v>
      </c>
      <c r="J361" s="11">
        <f t="shared" si="212"/>
        <v>21497.599999999999</v>
      </c>
      <c r="K361" s="11">
        <f t="shared" si="212"/>
        <v>21724.799999999999</v>
      </c>
      <c r="L361" s="11">
        <f t="shared" si="212"/>
        <v>16868.900000000001</v>
      </c>
      <c r="M361" s="11">
        <f t="shared" ref="M361" si="213">M362+M377+M380+M383+M386</f>
        <v>5907.8</v>
      </c>
      <c r="N361" s="7">
        <f t="shared" si="194"/>
        <v>35.021844933575984</v>
      </c>
    </row>
    <row r="362" spans="1:18" ht="47.25">
      <c r="A362" s="31" t="s">
        <v>323</v>
      </c>
      <c r="B362" s="42" t="s">
        <v>324</v>
      </c>
      <c r="C362" s="42" t="s">
        <v>317</v>
      </c>
      <c r="D362" s="42" t="s">
        <v>268</v>
      </c>
      <c r="E362" s="83"/>
      <c r="F362" s="3"/>
      <c r="G362" s="11">
        <f>G363</f>
        <v>16395.599999999999</v>
      </c>
      <c r="H362" s="11">
        <f t="shared" ref="H362:M363" si="214">H363</f>
        <v>11333.333333333334</v>
      </c>
      <c r="I362" s="11">
        <f t="shared" si="214"/>
        <v>20227.2</v>
      </c>
      <c r="J362" s="11">
        <f t="shared" si="214"/>
        <v>20500.8</v>
      </c>
      <c r="K362" s="11">
        <f t="shared" si="214"/>
        <v>20728</v>
      </c>
      <c r="L362" s="11">
        <f t="shared" si="214"/>
        <v>16157.1</v>
      </c>
      <c r="M362" s="11">
        <f t="shared" si="214"/>
        <v>5246</v>
      </c>
      <c r="N362" s="7">
        <f t="shared" si="194"/>
        <v>32.468697971789489</v>
      </c>
    </row>
    <row r="363" spans="1:18" ht="31.5">
      <c r="A363" s="31" t="s">
        <v>325</v>
      </c>
      <c r="B363" s="42" t="s">
        <v>324</v>
      </c>
      <c r="C363" s="42" t="s">
        <v>317</v>
      </c>
      <c r="D363" s="42" t="s">
        <v>268</v>
      </c>
      <c r="E363" s="42" t="s">
        <v>326</v>
      </c>
      <c r="F363" s="3"/>
      <c r="G363" s="11">
        <f>G364</f>
        <v>16395.599999999999</v>
      </c>
      <c r="H363" s="11">
        <f t="shared" si="214"/>
        <v>11333.333333333334</v>
      </c>
      <c r="I363" s="11">
        <f t="shared" si="214"/>
        <v>20227.2</v>
      </c>
      <c r="J363" s="11">
        <f t="shared" si="214"/>
        <v>20500.8</v>
      </c>
      <c r="K363" s="11">
        <f t="shared" si="214"/>
        <v>20728</v>
      </c>
      <c r="L363" s="11">
        <f t="shared" si="214"/>
        <v>16157.1</v>
      </c>
      <c r="M363" s="11">
        <f t="shared" si="214"/>
        <v>5246</v>
      </c>
      <c r="N363" s="7">
        <f t="shared" si="194"/>
        <v>32.468697971789489</v>
      </c>
    </row>
    <row r="364" spans="1:18" ht="15.75">
      <c r="A364" s="31" t="s">
        <v>327</v>
      </c>
      <c r="B364" s="42" t="s">
        <v>324</v>
      </c>
      <c r="C364" s="42" t="s">
        <v>317</v>
      </c>
      <c r="D364" s="42" t="s">
        <v>268</v>
      </c>
      <c r="E364" s="42" t="s">
        <v>328</v>
      </c>
      <c r="F364" s="3"/>
      <c r="G364" s="7">
        <f>'Прил.№4 ведомств.'!G289</f>
        <v>16395.599999999999</v>
      </c>
      <c r="H364" s="7">
        <f>'Прил.№4 ведомств.'!I289</f>
        <v>11333.333333333334</v>
      </c>
      <c r="I364" s="7">
        <f>'Прил.№4 ведомств.'!J289</f>
        <v>20227.2</v>
      </c>
      <c r="J364" s="7">
        <f>'Прил.№4 ведомств.'!K289</f>
        <v>20500.8</v>
      </c>
      <c r="K364" s="7">
        <f>'Прил.№4 ведомств.'!L289</f>
        <v>20728</v>
      </c>
      <c r="L364" s="7">
        <f>'Прил.№4 ведомств.'!M289</f>
        <v>16157.1</v>
      </c>
      <c r="M364" s="7">
        <f>'Прил.№4 ведомств.'!N289</f>
        <v>5246</v>
      </c>
      <c r="N364" s="7">
        <f t="shared" si="194"/>
        <v>32.468697971789489</v>
      </c>
    </row>
    <row r="365" spans="1:18" ht="47.25" hidden="1">
      <c r="A365" s="31" t="s">
        <v>329</v>
      </c>
      <c r="B365" s="42" t="s">
        <v>729</v>
      </c>
      <c r="C365" s="42" t="s">
        <v>317</v>
      </c>
      <c r="D365" s="42" t="s">
        <v>268</v>
      </c>
      <c r="E365" s="42"/>
      <c r="F365" s="3"/>
      <c r="G365" s="11">
        <f>G366</f>
        <v>0</v>
      </c>
      <c r="H365" s="11">
        <f t="shared" ref="H365:M366" si="215">H366</f>
        <v>0</v>
      </c>
      <c r="I365" s="11">
        <f t="shared" si="215"/>
        <v>0</v>
      </c>
      <c r="J365" s="11">
        <f t="shared" si="215"/>
        <v>0</v>
      </c>
      <c r="K365" s="11">
        <f t="shared" si="215"/>
        <v>0</v>
      </c>
      <c r="L365" s="11">
        <f t="shared" si="215"/>
        <v>0</v>
      </c>
      <c r="M365" s="11">
        <f t="shared" si="215"/>
        <v>0</v>
      </c>
      <c r="N365" s="7" t="e">
        <f t="shared" si="194"/>
        <v>#DIV/0!</v>
      </c>
    </row>
    <row r="366" spans="1:18" ht="31.5" hidden="1">
      <c r="A366" s="31" t="s">
        <v>325</v>
      </c>
      <c r="B366" s="42" t="s">
        <v>729</v>
      </c>
      <c r="C366" s="42" t="s">
        <v>317</v>
      </c>
      <c r="D366" s="42" t="s">
        <v>268</v>
      </c>
      <c r="E366" s="42" t="s">
        <v>326</v>
      </c>
      <c r="F366" s="3"/>
      <c r="G366" s="11">
        <f>G367</f>
        <v>0</v>
      </c>
      <c r="H366" s="11">
        <f t="shared" si="215"/>
        <v>0</v>
      </c>
      <c r="I366" s="11">
        <f t="shared" si="215"/>
        <v>0</v>
      </c>
      <c r="J366" s="11">
        <f t="shared" si="215"/>
        <v>0</v>
      </c>
      <c r="K366" s="11">
        <f t="shared" si="215"/>
        <v>0</v>
      </c>
      <c r="L366" s="11">
        <f t="shared" si="215"/>
        <v>0</v>
      </c>
      <c r="M366" s="11">
        <f t="shared" si="215"/>
        <v>0</v>
      </c>
      <c r="N366" s="7" t="e">
        <f t="shared" si="194"/>
        <v>#DIV/0!</v>
      </c>
    </row>
    <row r="367" spans="1:18" ht="15.75" hidden="1">
      <c r="A367" s="31" t="s">
        <v>327</v>
      </c>
      <c r="B367" s="42" t="s">
        <v>729</v>
      </c>
      <c r="C367" s="42" t="s">
        <v>317</v>
      </c>
      <c r="D367" s="42" t="s">
        <v>268</v>
      </c>
      <c r="E367" s="42" t="s">
        <v>328</v>
      </c>
      <c r="F367" s="3"/>
      <c r="G367" s="11"/>
      <c r="H367" s="11"/>
      <c r="I367" s="11"/>
      <c r="J367" s="11"/>
      <c r="K367" s="11"/>
      <c r="L367" s="11"/>
      <c r="M367" s="11"/>
      <c r="N367" s="7" t="e">
        <f t="shared" si="194"/>
        <v>#DIV/0!</v>
      </c>
    </row>
    <row r="368" spans="1:18" ht="47.25" hidden="1">
      <c r="A368" s="47" t="s">
        <v>314</v>
      </c>
      <c r="B368" s="42" t="s">
        <v>729</v>
      </c>
      <c r="C368" s="42" t="s">
        <v>317</v>
      </c>
      <c r="D368" s="42" t="s">
        <v>268</v>
      </c>
      <c r="E368" s="42"/>
      <c r="F368" s="2">
        <v>903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7" t="e">
        <f t="shared" si="194"/>
        <v>#DIV/0!</v>
      </c>
    </row>
    <row r="369" spans="1:14" ht="31.5" hidden="1">
      <c r="A369" s="31" t="s">
        <v>331</v>
      </c>
      <c r="B369" s="42" t="s">
        <v>730</v>
      </c>
      <c r="C369" s="42" t="s">
        <v>317</v>
      </c>
      <c r="D369" s="42" t="s">
        <v>268</v>
      </c>
      <c r="E369" s="42"/>
      <c r="F369" s="3"/>
      <c r="G369" s="11">
        <f>G370</f>
        <v>0</v>
      </c>
      <c r="H369" s="11">
        <f t="shared" ref="H369:M370" si="216">H370</f>
        <v>0</v>
      </c>
      <c r="I369" s="11">
        <f t="shared" si="216"/>
        <v>0</v>
      </c>
      <c r="J369" s="11">
        <f t="shared" si="216"/>
        <v>0</v>
      </c>
      <c r="K369" s="11">
        <f t="shared" si="216"/>
        <v>0</v>
      </c>
      <c r="L369" s="11">
        <f t="shared" si="216"/>
        <v>0</v>
      </c>
      <c r="M369" s="11">
        <f t="shared" si="216"/>
        <v>0</v>
      </c>
      <c r="N369" s="7" t="e">
        <f t="shared" si="194"/>
        <v>#DIV/0!</v>
      </c>
    </row>
    <row r="370" spans="1:14" ht="31.5" hidden="1">
      <c r="A370" s="31" t="s">
        <v>325</v>
      </c>
      <c r="B370" s="42" t="s">
        <v>730</v>
      </c>
      <c r="C370" s="42" t="s">
        <v>317</v>
      </c>
      <c r="D370" s="42" t="s">
        <v>268</v>
      </c>
      <c r="E370" s="42" t="s">
        <v>326</v>
      </c>
      <c r="F370" s="3"/>
      <c r="G370" s="11">
        <f>G371</f>
        <v>0</v>
      </c>
      <c r="H370" s="11">
        <f t="shared" si="216"/>
        <v>0</v>
      </c>
      <c r="I370" s="11">
        <f t="shared" si="216"/>
        <v>0</v>
      </c>
      <c r="J370" s="11">
        <f t="shared" si="216"/>
        <v>0</v>
      </c>
      <c r="K370" s="11">
        <f t="shared" si="216"/>
        <v>0</v>
      </c>
      <c r="L370" s="11">
        <f t="shared" si="216"/>
        <v>0</v>
      </c>
      <c r="M370" s="11">
        <f t="shared" si="216"/>
        <v>0</v>
      </c>
      <c r="N370" s="7" t="e">
        <f t="shared" si="194"/>
        <v>#DIV/0!</v>
      </c>
    </row>
    <row r="371" spans="1:14" ht="15.75" hidden="1">
      <c r="A371" s="31" t="s">
        <v>327</v>
      </c>
      <c r="B371" s="42" t="s">
        <v>730</v>
      </c>
      <c r="C371" s="42" t="s">
        <v>317</v>
      </c>
      <c r="D371" s="42" t="s">
        <v>268</v>
      </c>
      <c r="E371" s="42" t="s">
        <v>328</v>
      </c>
      <c r="F371" s="3"/>
      <c r="G371" s="11"/>
      <c r="H371" s="11"/>
      <c r="I371" s="11"/>
      <c r="J371" s="11"/>
      <c r="K371" s="11"/>
      <c r="L371" s="11"/>
      <c r="M371" s="11"/>
      <c r="N371" s="7" t="e">
        <f t="shared" si="194"/>
        <v>#DIV/0!</v>
      </c>
    </row>
    <row r="372" spans="1:14" ht="47.25" hidden="1">
      <c r="A372" s="47" t="s">
        <v>314</v>
      </c>
      <c r="B372" s="42" t="s">
        <v>730</v>
      </c>
      <c r="C372" s="42" t="s">
        <v>317</v>
      </c>
      <c r="D372" s="42" t="s">
        <v>268</v>
      </c>
      <c r="E372" s="42"/>
      <c r="F372" s="2">
        <v>903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7" t="e">
        <f t="shared" si="194"/>
        <v>#DIV/0!</v>
      </c>
    </row>
    <row r="373" spans="1:14" ht="31.5" hidden="1">
      <c r="A373" s="31" t="s">
        <v>333</v>
      </c>
      <c r="B373" s="42" t="s">
        <v>731</v>
      </c>
      <c r="C373" s="42" t="s">
        <v>317</v>
      </c>
      <c r="D373" s="42" t="s">
        <v>268</v>
      </c>
      <c r="E373" s="42"/>
      <c r="F373" s="3"/>
      <c r="G373" s="11">
        <f>G374</f>
        <v>0</v>
      </c>
      <c r="H373" s="11">
        <f t="shared" ref="H373:M374" si="217">H374</f>
        <v>0</v>
      </c>
      <c r="I373" s="11">
        <f t="shared" si="217"/>
        <v>0</v>
      </c>
      <c r="J373" s="11">
        <f t="shared" si="217"/>
        <v>0</v>
      </c>
      <c r="K373" s="11">
        <f t="shared" si="217"/>
        <v>0</v>
      </c>
      <c r="L373" s="11">
        <f t="shared" si="217"/>
        <v>0</v>
      </c>
      <c r="M373" s="11">
        <f t="shared" si="217"/>
        <v>0</v>
      </c>
      <c r="N373" s="7" t="e">
        <f t="shared" si="194"/>
        <v>#DIV/0!</v>
      </c>
    </row>
    <row r="374" spans="1:14" ht="69" hidden="1" customHeight="1">
      <c r="A374" s="31" t="s">
        <v>325</v>
      </c>
      <c r="B374" s="42" t="s">
        <v>731</v>
      </c>
      <c r="C374" s="42" t="s">
        <v>317</v>
      </c>
      <c r="D374" s="42" t="s">
        <v>268</v>
      </c>
      <c r="E374" s="42" t="s">
        <v>326</v>
      </c>
      <c r="F374" s="3"/>
      <c r="G374" s="11">
        <f>G375</f>
        <v>0</v>
      </c>
      <c r="H374" s="11">
        <f t="shared" si="217"/>
        <v>0</v>
      </c>
      <c r="I374" s="11">
        <f t="shared" si="217"/>
        <v>0</v>
      </c>
      <c r="J374" s="11">
        <f t="shared" si="217"/>
        <v>0</v>
      </c>
      <c r="K374" s="11">
        <f t="shared" si="217"/>
        <v>0</v>
      </c>
      <c r="L374" s="11">
        <f t="shared" si="217"/>
        <v>0</v>
      </c>
      <c r="M374" s="11">
        <f t="shared" si="217"/>
        <v>0</v>
      </c>
      <c r="N374" s="7" t="e">
        <f t="shared" si="194"/>
        <v>#DIV/0!</v>
      </c>
    </row>
    <row r="375" spans="1:14" ht="15.75" hidden="1">
      <c r="A375" s="31" t="s">
        <v>327</v>
      </c>
      <c r="B375" s="42" t="s">
        <v>731</v>
      </c>
      <c r="C375" s="42" t="s">
        <v>317</v>
      </c>
      <c r="D375" s="42" t="s">
        <v>268</v>
      </c>
      <c r="E375" s="42" t="s">
        <v>328</v>
      </c>
      <c r="F375" s="3"/>
      <c r="G375" s="11"/>
      <c r="H375" s="11"/>
      <c r="I375" s="11"/>
      <c r="J375" s="11"/>
      <c r="K375" s="11"/>
      <c r="L375" s="11"/>
      <c r="M375" s="11"/>
      <c r="N375" s="7" t="e">
        <f t="shared" si="194"/>
        <v>#DIV/0!</v>
      </c>
    </row>
    <row r="376" spans="1:14" ht="47.25" hidden="1">
      <c r="A376" s="47" t="s">
        <v>314</v>
      </c>
      <c r="B376" s="42" t="s">
        <v>731</v>
      </c>
      <c r="C376" s="42" t="s">
        <v>317</v>
      </c>
      <c r="D376" s="42" t="s">
        <v>268</v>
      </c>
      <c r="E376" s="42"/>
      <c r="F376" s="2">
        <v>903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7" t="e">
        <f t="shared" si="194"/>
        <v>#DIV/0!</v>
      </c>
    </row>
    <row r="377" spans="1:14" ht="31.5">
      <c r="A377" s="31" t="s">
        <v>335</v>
      </c>
      <c r="B377" s="42" t="s">
        <v>336</v>
      </c>
      <c r="C377" s="42" t="s">
        <v>317</v>
      </c>
      <c r="D377" s="42" t="s">
        <v>268</v>
      </c>
      <c r="E377" s="42"/>
      <c r="F377" s="3"/>
      <c r="G377" s="11">
        <f>G378</f>
        <v>50</v>
      </c>
      <c r="H377" s="11">
        <f t="shared" ref="H377:M378" si="218">H378</f>
        <v>50</v>
      </c>
      <c r="I377" s="11">
        <f t="shared" si="218"/>
        <v>60</v>
      </c>
      <c r="J377" s="11">
        <f t="shared" si="218"/>
        <v>60</v>
      </c>
      <c r="K377" s="11">
        <f t="shared" si="218"/>
        <v>60</v>
      </c>
      <c r="L377" s="11">
        <f t="shared" si="218"/>
        <v>50</v>
      </c>
      <c r="M377" s="11">
        <f t="shared" si="218"/>
        <v>0</v>
      </c>
      <c r="N377" s="7">
        <f t="shared" si="194"/>
        <v>0</v>
      </c>
    </row>
    <row r="378" spans="1:14" ht="31.5">
      <c r="A378" s="31" t="s">
        <v>325</v>
      </c>
      <c r="B378" s="42" t="s">
        <v>336</v>
      </c>
      <c r="C378" s="42" t="s">
        <v>317</v>
      </c>
      <c r="D378" s="42" t="s">
        <v>268</v>
      </c>
      <c r="E378" s="42" t="s">
        <v>326</v>
      </c>
      <c r="F378" s="3"/>
      <c r="G378" s="11">
        <f>G379</f>
        <v>50</v>
      </c>
      <c r="H378" s="11">
        <f t="shared" si="218"/>
        <v>50</v>
      </c>
      <c r="I378" s="11">
        <f t="shared" si="218"/>
        <v>60</v>
      </c>
      <c r="J378" s="11">
        <f t="shared" si="218"/>
        <v>60</v>
      </c>
      <c r="K378" s="11">
        <f t="shared" si="218"/>
        <v>60</v>
      </c>
      <c r="L378" s="11">
        <f t="shared" si="218"/>
        <v>50</v>
      </c>
      <c r="M378" s="11">
        <f t="shared" si="218"/>
        <v>0</v>
      </c>
      <c r="N378" s="7">
        <f t="shared" si="194"/>
        <v>0</v>
      </c>
    </row>
    <row r="379" spans="1:14" ht="15.75">
      <c r="A379" s="31" t="s">
        <v>327</v>
      </c>
      <c r="B379" s="42" t="s">
        <v>336</v>
      </c>
      <c r="C379" s="42" t="s">
        <v>317</v>
      </c>
      <c r="D379" s="42" t="s">
        <v>268</v>
      </c>
      <c r="E379" s="42" t="s">
        <v>328</v>
      </c>
      <c r="F379" s="3"/>
      <c r="G379" s="7">
        <f>'Прил.№4 ведомств.'!G301</f>
        <v>50</v>
      </c>
      <c r="H379" s="7">
        <f>'Прил.№4 ведомств.'!I301</f>
        <v>50</v>
      </c>
      <c r="I379" s="7">
        <f>'Прил.№4 ведомств.'!J301</f>
        <v>60</v>
      </c>
      <c r="J379" s="7">
        <f>'Прил.№4 ведомств.'!K301</f>
        <v>60</v>
      </c>
      <c r="K379" s="7">
        <f>'Прил.№4 ведомств.'!L301</f>
        <v>60</v>
      </c>
      <c r="L379" s="7">
        <f>'Прил.№4 ведомств.'!M301</f>
        <v>50</v>
      </c>
      <c r="M379" s="7">
        <f>'Прил.№4 ведомств.'!N301</f>
        <v>0</v>
      </c>
      <c r="N379" s="7">
        <f t="shared" si="194"/>
        <v>0</v>
      </c>
    </row>
    <row r="380" spans="1:14" ht="31.5" hidden="1">
      <c r="A380" s="26" t="s">
        <v>337</v>
      </c>
      <c r="B380" s="42" t="s">
        <v>339</v>
      </c>
      <c r="C380" s="42" t="s">
        <v>317</v>
      </c>
      <c r="D380" s="42" t="s">
        <v>268</v>
      </c>
      <c r="E380" s="42"/>
      <c r="F380" s="3"/>
      <c r="G380" s="11">
        <f>G381</f>
        <v>0</v>
      </c>
      <c r="H380" s="11">
        <f t="shared" ref="H380:M381" si="219">H381</f>
        <v>0</v>
      </c>
      <c r="I380" s="11">
        <f t="shared" si="219"/>
        <v>275</v>
      </c>
      <c r="J380" s="11">
        <f t="shared" si="219"/>
        <v>275</v>
      </c>
      <c r="K380" s="11">
        <f t="shared" si="219"/>
        <v>275</v>
      </c>
      <c r="L380" s="11">
        <f t="shared" si="219"/>
        <v>0</v>
      </c>
      <c r="M380" s="11">
        <f t="shared" si="219"/>
        <v>0</v>
      </c>
      <c r="N380" s="7" t="e">
        <f t="shared" si="194"/>
        <v>#DIV/0!</v>
      </c>
    </row>
    <row r="381" spans="1:14" ht="31.5" hidden="1">
      <c r="A381" s="26" t="s">
        <v>325</v>
      </c>
      <c r="B381" s="42" t="s">
        <v>339</v>
      </c>
      <c r="C381" s="42" t="s">
        <v>317</v>
      </c>
      <c r="D381" s="42" t="s">
        <v>268</v>
      </c>
      <c r="E381" s="42" t="s">
        <v>326</v>
      </c>
      <c r="F381" s="3"/>
      <c r="G381" s="11">
        <f>G382</f>
        <v>0</v>
      </c>
      <c r="H381" s="11">
        <f t="shared" si="219"/>
        <v>0</v>
      </c>
      <c r="I381" s="11">
        <f t="shared" si="219"/>
        <v>275</v>
      </c>
      <c r="J381" s="11">
        <f t="shared" si="219"/>
        <v>275</v>
      </c>
      <c r="K381" s="11">
        <f t="shared" si="219"/>
        <v>275</v>
      </c>
      <c r="L381" s="11">
        <f t="shared" si="219"/>
        <v>0</v>
      </c>
      <c r="M381" s="11">
        <f t="shared" si="219"/>
        <v>0</v>
      </c>
      <c r="N381" s="7" t="e">
        <f t="shared" si="194"/>
        <v>#DIV/0!</v>
      </c>
    </row>
    <row r="382" spans="1:14" ht="15.75" hidden="1">
      <c r="A382" s="26" t="s">
        <v>327</v>
      </c>
      <c r="B382" s="42" t="s">
        <v>339</v>
      </c>
      <c r="C382" s="42" t="s">
        <v>317</v>
      </c>
      <c r="D382" s="42" t="s">
        <v>268</v>
      </c>
      <c r="E382" s="42" t="s">
        <v>328</v>
      </c>
      <c r="F382" s="3"/>
      <c r="G382" s="11">
        <f>'Прил.№4 ведомств.'!G304</f>
        <v>0</v>
      </c>
      <c r="H382" s="11">
        <f>'Прил.№4 ведомств.'!I304</f>
        <v>0</v>
      </c>
      <c r="I382" s="11">
        <f>'Прил.№4 ведомств.'!J304</f>
        <v>275</v>
      </c>
      <c r="J382" s="11">
        <f>'Прил.№4 ведомств.'!K304</f>
        <v>275</v>
      </c>
      <c r="K382" s="11">
        <f>'Прил.№4 ведомств.'!L304</f>
        <v>275</v>
      </c>
      <c r="L382" s="11">
        <f>'Прил.№4 ведомств.'!M304</f>
        <v>0</v>
      </c>
      <c r="M382" s="11">
        <f>'Прил.№4 ведомств.'!N304</f>
        <v>0</v>
      </c>
      <c r="N382" s="7" t="e">
        <f t="shared" si="194"/>
        <v>#DIV/0!</v>
      </c>
    </row>
    <row r="383" spans="1:14" ht="31.5" hidden="1">
      <c r="A383" s="70" t="s">
        <v>340</v>
      </c>
      <c r="B383" s="21" t="s">
        <v>341</v>
      </c>
      <c r="C383" s="42" t="s">
        <v>317</v>
      </c>
      <c r="D383" s="42" t="s">
        <v>268</v>
      </c>
      <c r="E383" s="42"/>
      <c r="F383" s="3"/>
      <c r="G383" s="11">
        <f>G384</f>
        <v>0</v>
      </c>
      <c r="H383" s="11">
        <f t="shared" ref="H383:M384" si="220">H384</f>
        <v>0</v>
      </c>
      <c r="I383" s="11">
        <f t="shared" si="220"/>
        <v>600</v>
      </c>
      <c r="J383" s="11">
        <f t="shared" si="220"/>
        <v>0</v>
      </c>
      <c r="K383" s="11">
        <f t="shared" si="220"/>
        <v>0</v>
      </c>
      <c r="L383" s="11">
        <f t="shared" si="220"/>
        <v>0</v>
      </c>
      <c r="M383" s="11">
        <f t="shared" si="220"/>
        <v>0</v>
      </c>
      <c r="N383" s="7" t="e">
        <f t="shared" si="194"/>
        <v>#DIV/0!</v>
      </c>
    </row>
    <row r="384" spans="1:14" ht="31.5" hidden="1">
      <c r="A384" s="31" t="s">
        <v>325</v>
      </c>
      <c r="B384" s="21" t="s">
        <v>341</v>
      </c>
      <c r="C384" s="42" t="s">
        <v>317</v>
      </c>
      <c r="D384" s="42" t="s">
        <v>268</v>
      </c>
      <c r="E384" s="42" t="s">
        <v>326</v>
      </c>
      <c r="F384" s="3"/>
      <c r="G384" s="11">
        <f>G385</f>
        <v>0</v>
      </c>
      <c r="H384" s="11">
        <f t="shared" si="220"/>
        <v>0</v>
      </c>
      <c r="I384" s="11">
        <f t="shared" si="220"/>
        <v>600</v>
      </c>
      <c r="J384" s="11">
        <f t="shared" si="220"/>
        <v>0</v>
      </c>
      <c r="K384" s="11">
        <f t="shared" si="220"/>
        <v>0</v>
      </c>
      <c r="L384" s="11">
        <f t="shared" si="220"/>
        <v>0</v>
      </c>
      <c r="M384" s="11">
        <f t="shared" si="220"/>
        <v>0</v>
      </c>
      <c r="N384" s="7" t="e">
        <f t="shared" si="194"/>
        <v>#DIV/0!</v>
      </c>
    </row>
    <row r="385" spans="1:14" ht="15.75" hidden="1">
      <c r="A385" s="258" t="s">
        <v>327</v>
      </c>
      <c r="B385" s="21" t="s">
        <v>341</v>
      </c>
      <c r="C385" s="42" t="s">
        <v>317</v>
      </c>
      <c r="D385" s="42" t="s">
        <v>268</v>
      </c>
      <c r="E385" s="42" t="s">
        <v>328</v>
      </c>
      <c r="F385" s="3"/>
      <c r="G385" s="11">
        <f>'Прил.№4 ведомств.'!G307</f>
        <v>0</v>
      </c>
      <c r="H385" s="11">
        <f>'Прил.№4 ведомств.'!I307</f>
        <v>0</v>
      </c>
      <c r="I385" s="11">
        <f>'Прил.№4 ведомств.'!J307</f>
        <v>600</v>
      </c>
      <c r="J385" s="11">
        <f>'Прил.№4 ведомств.'!K307</f>
        <v>0</v>
      </c>
      <c r="K385" s="11">
        <f>'Прил.№4 ведомств.'!L307</f>
        <v>0</v>
      </c>
      <c r="L385" s="11">
        <f>'Прил.№4 ведомств.'!M307</f>
        <v>0</v>
      </c>
      <c r="M385" s="11">
        <f>'Прил.№4 ведомств.'!N307</f>
        <v>0</v>
      </c>
      <c r="N385" s="7" t="e">
        <f t="shared" si="194"/>
        <v>#DIV/0!</v>
      </c>
    </row>
    <row r="386" spans="1:14" ht="31.5">
      <c r="A386" s="70" t="s">
        <v>871</v>
      </c>
      <c r="B386" s="21" t="s">
        <v>877</v>
      </c>
      <c r="C386" s="42" t="s">
        <v>317</v>
      </c>
      <c r="D386" s="42" t="s">
        <v>268</v>
      </c>
      <c r="E386" s="42"/>
      <c r="F386" s="3"/>
      <c r="G386" s="11">
        <f>G387</f>
        <v>0</v>
      </c>
      <c r="H386" s="11">
        <f t="shared" ref="H386:M387" si="221">H387</f>
        <v>0</v>
      </c>
      <c r="I386" s="11">
        <f t="shared" si="221"/>
        <v>661.8</v>
      </c>
      <c r="J386" s="11">
        <f t="shared" si="221"/>
        <v>661.8</v>
      </c>
      <c r="K386" s="11">
        <f t="shared" si="221"/>
        <v>661.8</v>
      </c>
      <c r="L386" s="11">
        <f t="shared" si="221"/>
        <v>661.8</v>
      </c>
      <c r="M386" s="11">
        <f t="shared" si="221"/>
        <v>661.8</v>
      </c>
      <c r="N386" s="7">
        <f t="shared" si="194"/>
        <v>100</v>
      </c>
    </row>
    <row r="387" spans="1:14" ht="31.5">
      <c r="A387" s="31" t="s">
        <v>325</v>
      </c>
      <c r="B387" s="21" t="s">
        <v>877</v>
      </c>
      <c r="C387" s="42" t="s">
        <v>317</v>
      </c>
      <c r="D387" s="42" t="s">
        <v>268</v>
      </c>
      <c r="E387" s="42" t="s">
        <v>326</v>
      </c>
      <c r="F387" s="3"/>
      <c r="G387" s="11">
        <f>G388</f>
        <v>0</v>
      </c>
      <c r="H387" s="11">
        <f t="shared" si="221"/>
        <v>0</v>
      </c>
      <c r="I387" s="11">
        <f t="shared" si="221"/>
        <v>661.8</v>
      </c>
      <c r="J387" s="11">
        <f t="shared" si="221"/>
        <v>661.8</v>
      </c>
      <c r="K387" s="11">
        <f t="shared" si="221"/>
        <v>661.8</v>
      </c>
      <c r="L387" s="11">
        <f t="shared" si="221"/>
        <v>661.8</v>
      </c>
      <c r="M387" s="11">
        <f t="shared" si="221"/>
        <v>661.8</v>
      </c>
      <c r="N387" s="7">
        <f t="shared" si="194"/>
        <v>100</v>
      </c>
    </row>
    <row r="388" spans="1:14" ht="15.75">
      <c r="A388" s="258" t="s">
        <v>327</v>
      </c>
      <c r="B388" s="21" t="s">
        <v>877</v>
      </c>
      <c r="C388" s="42" t="s">
        <v>317</v>
      </c>
      <c r="D388" s="42" t="s">
        <v>268</v>
      </c>
      <c r="E388" s="42" t="s">
        <v>328</v>
      </c>
      <c r="F388" s="3"/>
      <c r="G388" s="11">
        <f>'Прил.№4 ведомств.'!G310</f>
        <v>0</v>
      </c>
      <c r="H388" s="11">
        <f>'Прил.№4 ведомств.'!I310</f>
        <v>0</v>
      </c>
      <c r="I388" s="11">
        <f>'Прил.№4 ведомств.'!J310</f>
        <v>661.8</v>
      </c>
      <c r="J388" s="11">
        <f>'Прил.№4 ведомств.'!K310</f>
        <v>661.8</v>
      </c>
      <c r="K388" s="11">
        <f>'Прил.№4 ведомств.'!L310</f>
        <v>661.8</v>
      </c>
      <c r="L388" s="11">
        <f>'Прил.№4 ведомств.'!M310</f>
        <v>661.8</v>
      </c>
      <c r="M388" s="11">
        <f>'Прил.№4 ведомств.'!N310</f>
        <v>661.8</v>
      </c>
      <c r="N388" s="7">
        <f t="shared" si="194"/>
        <v>100</v>
      </c>
    </row>
    <row r="389" spans="1:14" ht="47.25">
      <c r="A389" s="47" t="s">
        <v>314</v>
      </c>
      <c r="B389" s="42" t="s">
        <v>322</v>
      </c>
      <c r="C389" s="42" t="s">
        <v>317</v>
      </c>
      <c r="D389" s="42" t="s">
        <v>268</v>
      </c>
      <c r="E389" s="42"/>
      <c r="F389" s="2">
        <v>903</v>
      </c>
      <c r="G389" s="11">
        <f>G359</f>
        <v>16445.599999999999</v>
      </c>
      <c r="H389" s="11">
        <f t="shared" ref="H389:L389" si="222">H359</f>
        <v>11383.333333333334</v>
      </c>
      <c r="I389" s="11">
        <f t="shared" si="222"/>
        <v>21824</v>
      </c>
      <c r="J389" s="11">
        <f t="shared" si="222"/>
        <v>21497.599999999999</v>
      </c>
      <c r="K389" s="11">
        <f t="shared" si="222"/>
        <v>21724.799999999999</v>
      </c>
      <c r="L389" s="11">
        <f t="shared" si="222"/>
        <v>16868.900000000001</v>
      </c>
      <c r="M389" s="11">
        <f t="shared" ref="M389" si="223">M359</f>
        <v>5907.8</v>
      </c>
      <c r="N389" s="7">
        <f t="shared" si="194"/>
        <v>35.021844933575984</v>
      </c>
    </row>
    <row r="390" spans="1:14" ht="79.5" customHeight="1">
      <c r="A390" s="43" t="s">
        <v>354</v>
      </c>
      <c r="B390" s="8" t="s">
        <v>355</v>
      </c>
      <c r="C390" s="8"/>
      <c r="D390" s="8"/>
      <c r="E390" s="83"/>
      <c r="F390" s="3"/>
      <c r="G390" s="68">
        <f>G391</f>
        <v>25422.5</v>
      </c>
      <c r="H390" s="68">
        <f t="shared" ref="H390:M391" si="224">H391</f>
        <v>25422.5</v>
      </c>
      <c r="I390" s="68">
        <f t="shared" si="224"/>
        <v>30257.599999999999</v>
      </c>
      <c r="J390" s="68">
        <f t="shared" si="224"/>
        <v>31110.899999999998</v>
      </c>
      <c r="K390" s="68">
        <f t="shared" si="224"/>
        <v>31536.199999999997</v>
      </c>
      <c r="L390" s="68">
        <f t="shared" si="224"/>
        <v>24030</v>
      </c>
      <c r="M390" s="68">
        <f t="shared" si="224"/>
        <v>8393.1</v>
      </c>
      <c r="N390" s="4">
        <f t="shared" si="194"/>
        <v>34.927590511860174</v>
      </c>
    </row>
    <row r="391" spans="1:14" ht="15.75">
      <c r="A391" s="84" t="s">
        <v>351</v>
      </c>
      <c r="B391" s="42" t="s">
        <v>355</v>
      </c>
      <c r="C391" s="42" t="s">
        <v>352</v>
      </c>
      <c r="D391" s="84"/>
      <c r="E391" s="84"/>
      <c r="F391" s="2"/>
      <c r="G391" s="11">
        <f>G392</f>
        <v>25422.5</v>
      </c>
      <c r="H391" s="11">
        <f t="shared" si="224"/>
        <v>25422.5</v>
      </c>
      <c r="I391" s="11">
        <f t="shared" si="224"/>
        <v>30257.599999999999</v>
      </c>
      <c r="J391" s="11">
        <f t="shared" si="224"/>
        <v>31110.899999999998</v>
      </c>
      <c r="K391" s="11">
        <f t="shared" si="224"/>
        <v>31536.199999999997</v>
      </c>
      <c r="L391" s="11">
        <f t="shared" si="224"/>
        <v>24030</v>
      </c>
      <c r="M391" s="11">
        <f t="shared" si="224"/>
        <v>8393.1</v>
      </c>
      <c r="N391" s="7">
        <f t="shared" si="194"/>
        <v>34.927590511860174</v>
      </c>
    </row>
    <row r="392" spans="1:14" ht="15.75">
      <c r="A392" s="84" t="s">
        <v>353</v>
      </c>
      <c r="B392" s="42" t="s">
        <v>355</v>
      </c>
      <c r="C392" s="42" t="s">
        <v>352</v>
      </c>
      <c r="D392" s="42" t="s">
        <v>171</v>
      </c>
      <c r="E392" s="84"/>
      <c r="F392" s="2"/>
      <c r="G392" s="11">
        <f>G393+G399+G402+G396+G405+G408+G411</f>
        <v>25422.5</v>
      </c>
      <c r="H392" s="11">
        <f t="shared" ref="H392:L392" si="225">H393+H399+H402+H396+H405+H408+H411</f>
        <v>25422.5</v>
      </c>
      <c r="I392" s="11">
        <f t="shared" si="225"/>
        <v>30257.599999999999</v>
      </c>
      <c r="J392" s="11">
        <f t="shared" si="225"/>
        <v>31110.899999999998</v>
      </c>
      <c r="K392" s="11">
        <f t="shared" si="225"/>
        <v>31536.199999999997</v>
      </c>
      <c r="L392" s="11">
        <f t="shared" si="225"/>
        <v>24030</v>
      </c>
      <c r="M392" s="11">
        <f t="shared" ref="M392" si="226">M393+M399+M402+M396+M405+M408+M411</f>
        <v>8393.1</v>
      </c>
      <c r="N392" s="7">
        <f t="shared" si="194"/>
        <v>34.927590511860174</v>
      </c>
    </row>
    <row r="393" spans="1:14" ht="31.5">
      <c r="A393" s="31" t="s">
        <v>356</v>
      </c>
      <c r="B393" s="42" t="s">
        <v>357</v>
      </c>
      <c r="C393" s="42" t="s">
        <v>352</v>
      </c>
      <c r="D393" s="42" t="s">
        <v>171</v>
      </c>
      <c r="E393" s="84"/>
      <c r="F393" s="2"/>
      <c r="G393" s="11">
        <f>G394</f>
        <v>23654.800000000003</v>
      </c>
      <c r="H393" s="11">
        <f t="shared" ref="H393:M394" si="227">H394</f>
        <v>23654.800000000003</v>
      </c>
      <c r="I393" s="11">
        <f t="shared" si="227"/>
        <v>26579.5</v>
      </c>
      <c r="J393" s="11">
        <f t="shared" si="227"/>
        <v>27182.799999999999</v>
      </c>
      <c r="K393" s="11">
        <f t="shared" si="227"/>
        <v>27608.1</v>
      </c>
      <c r="L393" s="11">
        <f t="shared" si="227"/>
        <v>23276.9</v>
      </c>
      <c r="M393" s="11">
        <f t="shared" si="227"/>
        <v>7640</v>
      </c>
      <c r="N393" s="7">
        <f t="shared" si="194"/>
        <v>32.822240074924061</v>
      </c>
    </row>
    <row r="394" spans="1:14" ht="31.5">
      <c r="A394" s="31" t="s">
        <v>325</v>
      </c>
      <c r="B394" s="42" t="s">
        <v>357</v>
      </c>
      <c r="C394" s="42" t="s">
        <v>352</v>
      </c>
      <c r="D394" s="42" t="s">
        <v>171</v>
      </c>
      <c r="E394" s="42" t="s">
        <v>326</v>
      </c>
      <c r="F394" s="2"/>
      <c r="G394" s="11">
        <f>G395</f>
        <v>23654.800000000003</v>
      </c>
      <c r="H394" s="11">
        <f t="shared" si="227"/>
        <v>23654.800000000003</v>
      </c>
      <c r="I394" s="11">
        <f t="shared" si="227"/>
        <v>26579.5</v>
      </c>
      <c r="J394" s="11">
        <f t="shared" si="227"/>
        <v>27182.799999999999</v>
      </c>
      <c r="K394" s="11">
        <f t="shared" si="227"/>
        <v>27608.1</v>
      </c>
      <c r="L394" s="11">
        <f t="shared" si="227"/>
        <v>23276.9</v>
      </c>
      <c r="M394" s="11">
        <f t="shared" si="227"/>
        <v>7640</v>
      </c>
      <c r="N394" s="7">
        <f t="shared" si="194"/>
        <v>32.822240074924061</v>
      </c>
    </row>
    <row r="395" spans="1:14" ht="15.75">
      <c r="A395" s="31" t="s">
        <v>327</v>
      </c>
      <c r="B395" s="42" t="s">
        <v>357</v>
      </c>
      <c r="C395" s="42" t="s">
        <v>352</v>
      </c>
      <c r="D395" s="42" t="s">
        <v>171</v>
      </c>
      <c r="E395" s="42" t="s">
        <v>328</v>
      </c>
      <c r="F395" s="2"/>
      <c r="G395" s="11">
        <f>'Прил.№4 ведомств.'!G334</f>
        <v>23654.800000000003</v>
      </c>
      <c r="H395" s="11">
        <f>'Прил.№4 ведомств.'!I334</f>
        <v>23654.800000000003</v>
      </c>
      <c r="I395" s="11">
        <f>'Прил.№4 ведомств.'!J334</f>
        <v>26579.5</v>
      </c>
      <c r="J395" s="11">
        <f>'Прил.№4 ведомств.'!K334</f>
        <v>27182.799999999999</v>
      </c>
      <c r="K395" s="11">
        <f>'Прил.№4 ведомств.'!L334</f>
        <v>27608.1</v>
      </c>
      <c r="L395" s="11">
        <f>'Прил.№4 ведомств.'!M334</f>
        <v>23276.9</v>
      </c>
      <c r="M395" s="11">
        <f>'Прил.№4 ведомств.'!N334</f>
        <v>7640</v>
      </c>
      <c r="N395" s="7">
        <f t="shared" si="194"/>
        <v>32.822240074924061</v>
      </c>
    </row>
    <row r="396" spans="1:14" ht="47.25" hidden="1">
      <c r="A396" s="31" t="s">
        <v>329</v>
      </c>
      <c r="B396" s="42" t="s">
        <v>358</v>
      </c>
      <c r="C396" s="42" t="s">
        <v>352</v>
      </c>
      <c r="D396" s="42" t="s">
        <v>171</v>
      </c>
      <c r="E396" s="42"/>
      <c r="F396" s="2"/>
      <c r="G396" s="11">
        <f>G397</f>
        <v>96.1</v>
      </c>
      <c r="H396" s="11">
        <f t="shared" ref="H396:M397" si="228">H397</f>
        <v>96.1</v>
      </c>
      <c r="I396" s="11">
        <f t="shared" si="228"/>
        <v>650</v>
      </c>
      <c r="J396" s="11">
        <f t="shared" si="228"/>
        <v>800</v>
      </c>
      <c r="K396" s="11">
        <f t="shared" si="228"/>
        <v>900</v>
      </c>
      <c r="L396" s="11">
        <f t="shared" si="228"/>
        <v>0</v>
      </c>
      <c r="M396" s="11">
        <f t="shared" si="228"/>
        <v>0</v>
      </c>
      <c r="N396" s="7" t="e">
        <f t="shared" ref="N396:N459" si="229">M396/L396*100</f>
        <v>#DIV/0!</v>
      </c>
    </row>
    <row r="397" spans="1:14" ht="31.5" hidden="1">
      <c r="A397" s="31" t="s">
        <v>325</v>
      </c>
      <c r="B397" s="42" t="s">
        <v>358</v>
      </c>
      <c r="C397" s="42" t="s">
        <v>352</v>
      </c>
      <c r="D397" s="42" t="s">
        <v>171</v>
      </c>
      <c r="E397" s="42" t="s">
        <v>326</v>
      </c>
      <c r="F397" s="2"/>
      <c r="G397" s="11">
        <f>G398</f>
        <v>96.1</v>
      </c>
      <c r="H397" s="11">
        <f t="shared" si="228"/>
        <v>96.1</v>
      </c>
      <c r="I397" s="11">
        <f t="shared" si="228"/>
        <v>650</v>
      </c>
      <c r="J397" s="11">
        <f t="shared" si="228"/>
        <v>800</v>
      </c>
      <c r="K397" s="11">
        <f t="shared" si="228"/>
        <v>900</v>
      </c>
      <c r="L397" s="11">
        <f t="shared" si="228"/>
        <v>0</v>
      </c>
      <c r="M397" s="11">
        <f t="shared" si="228"/>
        <v>0</v>
      </c>
      <c r="N397" s="7" t="e">
        <f t="shared" si="229"/>
        <v>#DIV/0!</v>
      </c>
    </row>
    <row r="398" spans="1:14" ht="15.75" hidden="1">
      <c r="A398" s="31" t="s">
        <v>327</v>
      </c>
      <c r="B398" s="42" t="s">
        <v>358</v>
      </c>
      <c r="C398" s="42" t="s">
        <v>352</v>
      </c>
      <c r="D398" s="42" t="s">
        <v>171</v>
      </c>
      <c r="E398" s="42" t="s">
        <v>328</v>
      </c>
      <c r="F398" s="2"/>
      <c r="G398" s="11">
        <f>'Прил.№4 ведомств.'!G337</f>
        <v>96.1</v>
      </c>
      <c r="H398" s="11">
        <f>'Прил.№4 ведомств.'!I337</f>
        <v>96.1</v>
      </c>
      <c r="I398" s="11">
        <f>'Прил.№4 ведомств.'!J337</f>
        <v>650</v>
      </c>
      <c r="J398" s="11">
        <f>'Прил.№4 ведомств.'!K337</f>
        <v>800</v>
      </c>
      <c r="K398" s="11">
        <f>'Прил.№4 ведомств.'!L337</f>
        <v>900</v>
      </c>
      <c r="L398" s="11">
        <f>'Прил.№4 ведомств.'!M337</f>
        <v>0</v>
      </c>
      <c r="M398" s="11">
        <f>'Прил.№4 ведомств.'!N337</f>
        <v>0</v>
      </c>
      <c r="N398" s="7" t="e">
        <f t="shared" si="229"/>
        <v>#DIV/0!</v>
      </c>
    </row>
    <row r="399" spans="1:14" ht="31.5" hidden="1">
      <c r="A399" s="31" t="s">
        <v>682</v>
      </c>
      <c r="B399" s="42" t="s">
        <v>359</v>
      </c>
      <c r="C399" s="42" t="s">
        <v>352</v>
      </c>
      <c r="D399" s="42" t="s">
        <v>171</v>
      </c>
      <c r="E399" s="42"/>
      <c r="F399" s="2"/>
      <c r="G399" s="11">
        <f>G400</f>
        <v>142.1</v>
      </c>
      <c r="H399" s="11">
        <f t="shared" ref="H399:M400" si="230">H400</f>
        <v>142.1</v>
      </c>
      <c r="I399" s="11">
        <f t="shared" si="230"/>
        <v>2000</v>
      </c>
      <c r="J399" s="11">
        <f t="shared" si="230"/>
        <v>1500</v>
      </c>
      <c r="K399" s="11">
        <f t="shared" si="230"/>
        <v>2000</v>
      </c>
      <c r="L399" s="11">
        <f t="shared" si="230"/>
        <v>0</v>
      </c>
      <c r="M399" s="11">
        <f t="shared" si="230"/>
        <v>0</v>
      </c>
      <c r="N399" s="7" t="e">
        <f t="shared" si="229"/>
        <v>#DIV/0!</v>
      </c>
    </row>
    <row r="400" spans="1:14" ht="71.25" hidden="1" customHeight="1">
      <c r="A400" s="31" t="s">
        <v>325</v>
      </c>
      <c r="B400" s="42" t="s">
        <v>359</v>
      </c>
      <c r="C400" s="42" t="s">
        <v>352</v>
      </c>
      <c r="D400" s="42" t="s">
        <v>171</v>
      </c>
      <c r="E400" s="42" t="s">
        <v>326</v>
      </c>
      <c r="F400" s="2"/>
      <c r="G400" s="11">
        <f>G401</f>
        <v>142.1</v>
      </c>
      <c r="H400" s="11">
        <f t="shared" si="230"/>
        <v>142.1</v>
      </c>
      <c r="I400" s="11">
        <f t="shared" si="230"/>
        <v>2000</v>
      </c>
      <c r="J400" s="11">
        <f t="shared" si="230"/>
        <v>1500</v>
      </c>
      <c r="K400" s="11">
        <f t="shared" si="230"/>
        <v>2000</v>
      </c>
      <c r="L400" s="11">
        <f t="shared" si="230"/>
        <v>0</v>
      </c>
      <c r="M400" s="11">
        <f t="shared" si="230"/>
        <v>0</v>
      </c>
      <c r="N400" s="7" t="e">
        <f t="shared" si="229"/>
        <v>#DIV/0!</v>
      </c>
    </row>
    <row r="401" spans="1:14" ht="15.75" hidden="1">
      <c r="A401" s="31" t="s">
        <v>327</v>
      </c>
      <c r="B401" s="42" t="s">
        <v>359</v>
      </c>
      <c r="C401" s="42" t="s">
        <v>352</v>
      </c>
      <c r="D401" s="42" t="s">
        <v>171</v>
      </c>
      <c r="E401" s="42" t="s">
        <v>328</v>
      </c>
      <c r="F401" s="2"/>
      <c r="G401" s="11">
        <f>'Прил.№4 ведомств.'!G340</f>
        <v>142.1</v>
      </c>
      <c r="H401" s="11">
        <f>'Прил.№4 ведомств.'!I340</f>
        <v>142.1</v>
      </c>
      <c r="I401" s="11">
        <f>'Прил.№4 ведомств.'!J340</f>
        <v>2000</v>
      </c>
      <c r="J401" s="11">
        <f>'Прил.№4 ведомств.'!K340</f>
        <v>1500</v>
      </c>
      <c r="K401" s="11">
        <f>'Прил.№4 ведомств.'!L340</f>
        <v>2000</v>
      </c>
      <c r="L401" s="11">
        <f>'Прил.№4 ведомств.'!M340</f>
        <v>0</v>
      </c>
      <c r="M401" s="11">
        <f>'Прил.№4 ведомств.'!N340</f>
        <v>0</v>
      </c>
      <c r="N401" s="7" t="e">
        <f t="shared" si="229"/>
        <v>#DIV/0!</v>
      </c>
    </row>
    <row r="402" spans="1:14" ht="15.75" hidden="1">
      <c r="A402" s="31" t="s">
        <v>360</v>
      </c>
      <c r="B402" s="42" t="s">
        <v>361</v>
      </c>
      <c r="C402" s="42" t="s">
        <v>352</v>
      </c>
      <c r="D402" s="42" t="s">
        <v>171</v>
      </c>
      <c r="E402" s="42"/>
      <c r="F402" s="2"/>
      <c r="G402" s="11">
        <f>G403</f>
        <v>1529.5</v>
      </c>
      <c r="H402" s="11">
        <f t="shared" ref="H402:M403" si="231">H403</f>
        <v>1529.5</v>
      </c>
      <c r="I402" s="11">
        <f t="shared" si="231"/>
        <v>0</v>
      </c>
      <c r="J402" s="11">
        <f t="shared" si="231"/>
        <v>0</v>
      </c>
      <c r="K402" s="11">
        <f t="shared" si="231"/>
        <v>0</v>
      </c>
      <c r="L402" s="11">
        <f t="shared" si="231"/>
        <v>0</v>
      </c>
      <c r="M402" s="11">
        <f t="shared" si="231"/>
        <v>0</v>
      </c>
      <c r="N402" s="7" t="e">
        <f t="shared" si="229"/>
        <v>#DIV/0!</v>
      </c>
    </row>
    <row r="403" spans="1:14" ht="31.5" hidden="1">
      <c r="A403" s="31" t="s">
        <v>325</v>
      </c>
      <c r="B403" s="42" t="s">
        <v>361</v>
      </c>
      <c r="C403" s="42" t="s">
        <v>352</v>
      </c>
      <c r="D403" s="42" t="s">
        <v>171</v>
      </c>
      <c r="E403" s="42" t="s">
        <v>326</v>
      </c>
      <c r="F403" s="2"/>
      <c r="G403" s="11">
        <f>G404</f>
        <v>1529.5</v>
      </c>
      <c r="H403" s="11">
        <f t="shared" si="231"/>
        <v>1529.5</v>
      </c>
      <c r="I403" s="11">
        <f t="shared" si="231"/>
        <v>0</v>
      </c>
      <c r="J403" s="11">
        <f t="shared" si="231"/>
        <v>0</v>
      </c>
      <c r="K403" s="11">
        <f t="shared" si="231"/>
        <v>0</v>
      </c>
      <c r="L403" s="11">
        <f t="shared" si="231"/>
        <v>0</v>
      </c>
      <c r="M403" s="11">
        <f t="shared" si="231"/>
        <v>0</v>
      </c>
      <c r="N403" s="7" t="e">
        <f t="shared" si="229"/>
        <v>#DIV/0!</v>
      </c>
    </row>
    <row r="404" spans="1:14" ht="15.75" hidden="1">
      <c r="A404" s="31" t="s">
        <v>327</v>
      </c>
      <c r="B404" s="42" t="s">
        <v>361</v>
      </c>
      <c r="C404" s="42" t="s">
        <v>352</v>
      </c>
      <c r="D404" s="42" t="s">
        <v>171</v>
      </c>
      <c r="E404" s="42" t="s">
        <v>328</v>
      </c>
      <c r="F404" s="2"/>
      <c r="G404" s="11">
        <f>'Прил.№4 ведомств.'!G343</f>
        <v>1529.5</v>
      </c>
      <c r="H404" s="11">
        <f>'Прил.№4 ведомств.'!I343</f>
        <v>1529.5</v>
      </c>
      <c r="I404" s="11">
        <f>'Прил.№4 ведомств.'!J343</f>
        <v>0</v>
      </c>
      <c r="J404" s="11">
        <f>'Прил.№4 ведомств.'!K343</f>
        <v>0</v>
      </c>
      <c r="K404" s="11">
        <f>'Прил.№4 ведомств.'!L343</f>
        <v>0</v>
      </c>
      <c r="L404" s="11">
        <f>'Прил.№4 ведомств.'!M343</f>
        <v>0</v>
      </c>
      <c r="M404" s="11">
        <f>'Прил.№4 ведомств.'!N343</f>
        <v>0</v>
      </c>
      <c r="N404" s="7" t="e">
        <f t="shared" si="229"/>
        <v>#DIV/0!</v>
      </c>
    </row>
    <row r="405" spans="1:14" ht="31.5" hidden="1">
      <c r="A405" s="31" t="s">
        <v>337</v>
      </c>
      <c r="B405" s="42" t="s">
        <v>338</v>
      </c>
      <c r="C405" s="42" t="s">
        <v>352</v>
      </c>
      <c r="D405" s="42" t="s">
        <v>171</v>
      </c>
      <c r="E405" s="42"/>
      <c r="F405" s="2"/>
      <c r="G405" s="11">
        <f>G406</f>
        <v>0</v>
      </c>
      <c r="H405" s="11">
        <f t="shared" ref="H405:M406" si="232">H406</f>
        <v>0</v>
      </c>
      <c r="I405" s="11">
        <f t="shared" si="232"/>
        <v>275</v>
      </c>
      <c r="J405" s="11">
        <f t="shared" si="232"/>
        <v>275</v>
      </c>
      <c r="K405" s="11">
        <f t="shared" si="232"/>
        <v>275</v>
      </c>
      <c r="L405" s="11">
        <f t="shared" si="232"/>
        <v>0</v>
      </c>
      <c r="M405" s="11">
        <f t="shared" si="232"/>
        <v>0</v>
      </c>
      <c r="N405" s="7" t="e">
        <f t="shared" si="229"/>
        <v>#DIV/0!</v>
      </c>
    </row>
    <row r="406" spans="1:14" ht="31.5" hidden="1">
      <c r="A406" s="31" t="s">
        <v>325</v>
      </c>
      <c r="B406" s="42" t="s">
        <v>338</v>
      </c>
      <c r="C406" s="42" t="s">
        <v>352</v>
      </c>
      <c r="D406" s="42" t="s">
        <v>171</v>
      </c>
      <c r="E406" s="42" t="s">
        <v>326</v>
      </c>
      <c r="F406" s="2"/>
      <c r="G406" s="11">
        <f>G407</f>
        <v>0</v>
      </c>
      <c r="H406" s="11">
        <f t="shared" si="232"/>
        <v>0</v>
      </c>
      <c r="I406" s="11">
        <f t="shared" si="232"/>
        <v>275</v>
      </c>
      <c r="J406" s="11">
        <f t="shared" si="232"/>
        <v>275</v>
      </c>
      <c r="K406" s="11">
        <f t="shared" si="232"/>
        <v>275</v>
      </c>
      <c r="L406" s="11">
        <f t="shared" si="232"/>
        <v>0</v>
      </c>
      <c r="M406" s="11">
        <f t="shared" si="232"/>
        <v>0</v>
      </c>
      <c r="N406" s="7" t="e">
        <f t="shared" si="229"/>
        <v>#DIV/0!</v>
      </c>
    </row>
    <row r="407" spans="1:14" ht="15.75" hidden="1">
      <c r="A407" s="31" t="s">
        <v>327</v>
      </c>
      <c r="B407" s="42" t="s">
        <v>338</v>
      </c>
      <c r="C407" s="42" t="s">
        <v>352</v>
      </c>
      <c r="D407" s="42" t="s">
        <v>171</v>
      </c>
      <c r="E407" s="42" t="s">
        <v>328</v>
      </c>
      <c r="F407" s="2"/>
      <c r="G407" s="11">
        <f>'Прил.№4 ведомств.'!G346</f>
        <v>0</v>
      </c>
      <c r="H407" s="11">
        <f>'Прил.№4 ведомств.'!I346</f>
        <v>0</v>
      </c>
      <c r="I407" s="11">
        <f>'Прил.№4 ведомств.'!J346</f>
        <v>275</v>
      </c>
      <c r="J407" s="11">
        <f>'Прил.№4 ведомств.'!K346</f>
        <v>275</v>
      </c>
      <c r="K407" s="11">
        <f>'Прил.№4 ведомств.'!L346</f>
        <v>275</v>
      </c>
      <c r="L407" s="11">
        <f>'Прил.№4 ведомств.'!M346</f>
        <v>0</v>
      </c>
      <c r="M407" s="11">
        <f>'Прил.№4 ведомств.'!N346</f>
        <v>0</v>
      </c>
      <c r="N407" s="7" t="e">
        <f t="shared" si="229"/>
        <v>#DIV/0!</v>
      </c>
    </row>
    <row r="408" spans="1:14" ht="31.5" hidden="1">
      <c r="A408" s="37" t="s">
        <v>340</v>
      </c>
      <c r="B408" s="21" t="s">
        <v>362</v>
      </c>
      <c r="C408" s="42" t="s">
        <v>352</v>
      </c>
      <c r="D408" s="42" t="s">
        <v>171</v>
      </c>
      <c r="E408" s="42"/>
      <c r="F408" s="2"/>
      <c r="G408" s="11">
        <f>G409</f>
        <v>0</v>
      </c>
      <c r="H408" s="11">
        <f t="shared" ref="H408:M409" si="233">H409</f>
        <v>0</v>
      </c>
      <c r="I408" s="11">
        <f t="shared" si="233"/>
        <v>0</v>
      </c>
      <c r="J408" s="11">
        <f t="shared" si="233"/>
        <v>600</v>
      </c>
      <c r="K408" s="11">
        <f t="shared" si="233"/>
        <v>0</v>
      </c>
      <c r="L408" s="11">
        <f t="shared" si="233"/>
        <v>0</v>
      </c>
      <c r="M408" s="11">
        <f t="shared" si="233"/>
        <v>0</v>
      </c>
      <c r="N408" s="7" t="e">
        <f t="shared" si="229"/>
        <v>#DIV/0!</v>
      </c>
    </row>
    <row r="409" spans="1:14" ht="31.5" hidden="1">
      <c r="A409" s="26" t="s">
        <v>325</v>
      </c>
      <c r="B409" s="21" t="s">
        <v>362</v>
      </c>
      <c r="C409" s="42" t="s">
        <v>352</v>
      </c>
      <c r="D409" s="42" t="s">
        <v>171</v>
      </c>
      <c r="E409" s="42" t="s">
        <v>326</v>
      </c>
      <c r="F409" s="2"/>
      <c r="G409" s="11">
        <f>G410</f>
        <v>0</v>
      </c>
      <c r="H409" s="11">
        <f t="shared" si="233"/>
        <v>0</v>
      </c>
      <c r="I409" s="11">
        <f t="shared" si="233"/>
        <v>0</v>
      </c>
      <c r="J409" s="11">
        <f t="shared" si="233"/>
        <v>600</v>
      </c>
      <c r="K409" s="11">
        <f t="shared" si="233"/>
        <v>0</v>
      </c>
      <c r="L409" s="11">
        <f t="shared" si="233"/>
        <v>0</v>
      </c>
      <c r="M409" s="11">
        <f t="shared" si="233"/>
        <v>0</v>
      </c>
      <c r="N409" s="7" t="e">
        <f t="shared" si="229"/>
        <v>#DIV/0!</v>
      </c>
    </row>
    <row r="410" spans="1:14" ht="15.75" hidden="1">
      <c r="A410" s="26" t="s">
        <v>327</v>
      </c>
      <c r="B410" s="21" t="s">
        <v>362</v>
      </c>
      <c r="C410" s="42" t="s">
        <v>352</v>
      </c>
      <c r="D410" s="42" t="s">
        <v>171</v>
      </c>
      <c r="E410" s="42" t="s">
        <v>328</v>
      </c>
      <c r="F410" s="2"/>
      <c r="G410" s="11">
        <f>'Прил.№4 ведомств.'!G349</f>
        <v>0</v>
      </c>
      <c r="H410" s="11">
        <f>'Прил.№4 ведомств.'!I349</f>
        <v>0</v>
      </c>
      <c r="I410" s="11">
        <f>'Прил.№4 ведомств.'!J349</f>
        <v>0</v>
      </c>
      <c r="J410" s="11">
        <f>'Прил.№4 ведомств.'!K349</f>
        <v>600</v>
      </c>
      <c r="K410" s="11">
        <f>'Прил.№4 ведомств.'!L349</f>
        <v>0</v>
      </c>
      <c r="L410" s="11">
        <f>'Прил.№4 ведомств.'!M349</f>
        <v>0</v>
      </c>
      <c r="M410" s="11">
        <f>'Прил.№4 ведомств.'!N349</f>
        <v>0</v>
      </c>
      <c r="N410" s="7" t="e">
        <f t="shared" si="229"/>
        <v>#DIV/0!</v>
      </c>
    </row>
    <row r="411" spans="1:14" ht="31.5">
      <c r="A411" s="70" t="s">
        <v>871</v>
      </c>
      <c r="B411" s="21" t="s">
        <v>876</v>
      </c>
      <c r="C411" s="42" t="s">
        <v>352</v>
      </c>
      <c r="D411" s="42" t="s">
        <v>171</v>
      </c>
      <c r="E411" s="42"/>
      <c r="F411" s="2"/>
      <c r="G411" s="11">
        <f>G412</f>
        <v>0</v>
      </c>
      <c r="H411" s="11">
        <f t="shared" ref="H411:M412" si="234">H412</f>
        <v>0</v>
      </c>
      <c r="I411" s="11">
        <f t="shared" si="234"/>
        <v>753.1</v>
      </c>
      <c r="J411" s="11">
        <f t="shared" si="234"/>
        <v>753.1</v>
      </c>
      <c r="K411" s="11">
        <f t="shared" si="234"/>
        <v>753.1</v>
      </c>
      <c r="L411" s="11">
        <f t="shared" si="234"/>
        <v>753.1</v>
      </c>
      <c r="M411" s="11">
        <f t="shared" si="234"/>
        <v>753.1</v>
      </c>
      <c r="N411" s="7">
        <f t="shared" si="229"/>
        <v>100</v>
      </c>
    </row>
    <row r="412" spans="1:14" ht="31.5">
      <c r="A412" s="31" t="s">
        <v>325</v>
      </c>
      <c r="B412" s="21" t="s">
        <v>876</v>
      </c>
      <c r="C412" s="42" t="s">
        <v>352</v>
      </c>
      <c r="D412" s="42" t="s">
        <v>171</v>
      </c>
      <c r="E412" s="42" t="s">
        <v>326</v>
      </c>
      <c r="F412" s="2"/>
      <c r="G412" s="11">
        <f>G413</f>
        <v>0</v>
      </c>
      <c r="H412" s="11">
        <f t="shared" si="234"/>
        <v>0</v>
      </c>
      <c r="I412" s="11">
        <f t="shared" si="234"/>
        <v>753.1</v>
      </c>
      <c r="J412" s="11">
        <f t="shared" si="234"/>
        <v>753.1</v>
      </c>
      <c r="K412" s="11">
        <f t="shared" si="234"/>
        <v>753.1</v>
      </c>
      <c r="L412" s="11">
        <f t="shared" si="234"/>
        <v>753.1</v>
      </c>
      <c r="M412" s="11">
        <f t="shared" si="234"/>
        <v>753.1</v>
      </c>
      <c r="N412" s="7">
        <f t="shared" si="229"/>
        <v>100</v>
      </c>
    </row>
    <row r="413" spans="1:14" ht="15.75">
      <c r="A413" s="258" t="s">
        <v>327</v>
      </c>
      <c r="B413" s="21" t="s">
        <v>876</v>
      </c>
      <c r="C413" s="42" t="s">
        <v>352</v>
      </c>
      <c r="D413" s="42" t="s">
        <v>171</v>
      </c>
      <c r="E413" s="42" t="s">
        <v>328</v>
      </c>
      <c r="F413" s="2"/>
      <c r="G413" s="11">
        <f>'Прил.№4 ведомств.'!G352</f>
        <v>0</v>
      </c>
      <c r="H413" s="11">
        <f>'Прил.№4 ведомств.'!I352</f>
        <v>0</v>
      </c>
      <c r="I413" s="11">
        <f>'Прил.№4 ведомств.'!J352</f>
        <v>753.1</v>
      </c>
      <c r="J413" s="11">
        <f>'Прил.№4 ведомств.'!K352</f>
        <v>753.1</v>
      </c>
      <c r="K413" s="11">
        <f>'Прил.№4 ведомств.'!L352</f>
        <v>753.1</v>
      </c>
      <c r="L413" s="11">
        <f>'Прил.№4 ведомств.'!M352</f>
        <v>753.1</v>
      </c>
      <c r="M413" s="11">
        <f>'Прил.№4 ведомств.'!N352</f>
        <v>753.1</v>
      </c>
      <c r="N413" s="7">
        <f t="shared" si="229"/>
        <v>100</v>
      </c>
    </row>
    <row r="414" spans="1:14" ht="47.25">
      <c r="A414" s="47" t="s">
        <v>314</v>
      </c>
      <c r="B414" s="42" t="s">
        <v>355</v>
      </c>
      <c r="C414" s="42" t="s">
        <v>352</v>
      </c>
      <c r="D414" s="42" t="s">
        <v>171</v>
      </c>
      <c r="E414" s="42"/>
      <c r="F414" s="2">
        <v>903</v>
      </c>
      <c r="G414" s="11">
        <f>G390</f>
        <v>25422.5</v>
      </c>
      <c r="H414" s="11">
        <f t="shared" ref="H414:L414" si="235">H390</f>
        <v>25422.5</v>
      </c>
      <c r="I414" s="11">
        <f t="shared" si="235"/>
        <v>30257.599999999999</v>
      </c>
      <c r="J414" s="11">
        <f t="shared" si="235"/>
        <v>31110.899999999998</v>
      </c>
      <c r="K414" s="11">
        <f t="shared" si="235"/>
        <v>31536.199999999997</v>
      </c>
      <c r="L414" s="11">
        <f t="shared" si="235"/>
        <v>24030</v>
      </c>
      <c r="M414" s="11">
        <f t="shared" ref="M414" si="236">M390</f>
        <v>8393.1</v>
      </c>
      <c r="N414" s="7">
        <f t="shared" si="229"/>
        <v>34.927590511860174</v>
      </c>
    </row>
    <row r="415" spans="1:14" ht="31.5">
      <c r="A415" s="43" t="s">
        <v>365</v>
      </c>
      <c r="B415" s="8" t="s">
        <v>366</v>
      </c>
      <c r="C415" s="8"/>
      <c r="D415" s="8"/>
      <c r="E415" s="8"/>
      <c r="F415" s="86"/>
      <c r="G415" s="68">
        <f>G416</f>
        <v>16660.600000000002</v>
      </c>
      <c r="H415" s="68">
        <f t="shared" ref="H415:M416" si="237">H416</f>
        <v>16660.600000000002</v>
      </c>
      <c r="I415" s="68">
        <f t="shared" si="237"/>
        <v>20069.2</v>
      </c>
      <c r="J415" s="68">
        <f t="shared" si="237"/>
        <v>20340.2</v>
      </c>
      <c r="K415" s="68">
        <f t="shared" si="237"/>
        <v>20562.600000000002</v>
      </c>
      <c r="L415" s="68">
        <f t="shared" si="237"/>
        <v>17026.3</v>
      </c>
      <c r="M415" s="68">
        <f t="shared" si="237"/>
        <v>5914.4</v>
      </c>
      <c r="N415" s="4">
        <f t="shared" si="229"/>
        <v>34.73684828764911</v>
      </c>
    </row>
    <row r="416" spans="1:14" ht="15.75">
      <c r="A416" s="84" t="s">
        <v>351</v>
      </c>
      <c r="B416" s="42" t="s">
        <v>366</v>
      </c>
      <c r="C416" s="42" t="s">
        <v>352</v>
      </c>
      <c r="D416" s="42"/>
      <c r="E416" s="8"/>
      <c r="F416" s="86"/>
      <c r="G416" s="11">
        <f>G417</f>
        <v>16660.600000000002</v>
      </c>
      <c r="H416" s="11">
        <f t="shared" si="237"/>
        <v>16660.600000000002</v>
      </c>
      <c r="I416" s="11">
        <f t="shared" si="237"/>
        <v>20069.2</v>
      </c>
      <c r="J416" s="11">
        <f t="shared" si="237"/>
        <v>20340.2</v>
      </c>
      <c r="K416" s="11">
        <f t="shared" si="237"/>
        <v>20562.600000000002</v>
      </c>
      <c r="L416" s="11">
        <f t="shared" si="237"/>
        <v>17026.3</v>
      </c>
      <c r="M416" s="11">
        <f t="shared" si="237"/>
        <v>5914.4</v>
      </c>
      <c r="N416" s="7">
        <f t="shared" si="229"/>
        <v>34.73684828764911</v>
      </c>
    </row>
    <row r="417" spans="1:14" ht="15.75">
      <c r="A417" s="84" t="s">
        <v>353</v>
      </c>
      <c r="B417" s="42" t="s">
        <v>366</v>
      </c>
      <c r="C417" s="42" t="s">
        <v>352</v>
      </c>
      <c r="D417" s="42" t="s">
        <v>171</v>
      </c>
      <c r="E417" s="8"/>
      <c r="F417" s="86"/>
      <c r="G417" s="11">
        <f>G418+G437+G442+G421+G445+G448</f>
        <v>16660.600000000002</v>
      </c>
      <c r="H417" s="11">
        <f t="shared" ref="H417:L417" si="238">H418+H437+H442+H421+H445+H448</f>
        <v>16660.600000000002</v>
      </c>
      <c r="I417" s="11">
        <f t="shared" si="238"/>
        <v>20069.2</v>
      </c>
      <c r="J417" s="11">
        <f t="shared" si="238"/>
        <v>20340.2</v>
      </c>
      <c r="K417" s="11">
        <f t="shared" si="238"/>
        <v>20562.600000000002</v>
      </c>
      <c r="L417" s="11">
        <f t="shared" si="238"/>
        <v>17026.3</v>
      </c>
      <c r="M417" s="11">
        <f t="shared" ref="M417" si="239">M418+M437+M442+M421+M445+M448</f>
        <v>5914.4</v>
      </c>
      <c r="N417" s="7">
        <f t="shared" si="229"/>
        <v>34.73684828764911</v>
      </c>
    </row>
    <row r="418" spans="1:14" ht="31.5">
      <c r="A418" s="31" t="s">
        <v>356</v>
      </c>
      <c r="B418" s="42" t="s">
        <v>367</v>
      </c>
      <c r="C418" s="42" t="s">
        <v>352</v>
      </c>
      <c r="D418" s="42" t="s">
        <v>171</v>
      </c>
      <c r="E418" s="42"/>
      <c r="F418" s="85"/>
      <c r="G418" s="11">
        <f>G419</f>
        <v>16655.2</v>
      </c>
      <c r="H418" s="11">
        <f t="shared" ref="H418:M419" si="240">H419</f>
        <v>16655.2</v>
      </c>
      <c r="I418" s="11">
        <f t="shared" si="240"/>
        <v>19144</v>
      </c>
      <c r="J418" s="11">
        <f t="shared" si="240"/>
        <v>19415</v>
      </c>
      <c r="K418" s="11">
        <f t="shared" si="240"/>
        <v>19637.400000000001</v>
      </c>
      <c r="L418" s="11">
        <f t="shared" si="240"/>
        <v>16370.599999999999</v>
      </c>
      <c r="M418" s="11">
        <f t="shared" si="240"/>
        <v>5264.2</v>
      </c>
      <c r="N418" s="7">
        <f t="shared" si="229"/>
        <v>32.156426765054427</v>
      </c>
    </row>
    <row r="419" spans="1:14" ht="31.5">
      <c r="A419" s="31" t="s">
        <v>325</v>
      </c>
      <c r="B419" s="42" t="s">
        <v>367</v>
      </c>
      <c r="C419" s="42" t="s">
        <v>352</v>
      </c>
      <c r="D419" s="42" t="s">
        <v>171</v>
      </c>
      <c r="E419" s="42" t="s">
        <v>326</v>
      </c>
      <c r="F419" s="85"/>
      <c r="G419" s="11">
        <f>G420</f>
        <v>16655.2</v>
      </c>
      <c r="H419" s="11">
        <f t="shared" si="240"/>
        <v>16655.2</v>
      </c>
      <c r="I419" s="11">
        <f t="shared" si="240"/>
        <v>19144</v>
      </c>
      <c r="J419" s="11">
        <f t="shared" si="240"/>
        <v>19415</v>
      </c>
      <c r="K419" s="11">
        <f t="shared" si="240"/>
        <v>19637.400000000001</v>
      </c>
      <c r="L419" s="11">
        <f t="shared" si="240"/>
        <v>16370.599999999999</v>
      </c>
      <c r="M419" s="11">
        <f t="shared" si="240"/>
        <v>5264.2</v>
      </c>
      <c r="N419" s="7">
        <f t="shared" si="229"/>
        <v>32.156426765054427</v>
      </c>
    </row>
    <row r="420" spans="1:14" ht="15.75">
      <c r="A420" s="31" t="s">
        <v>327</v>
      </c>
      <c r="B420" s="42" t="s">
        <v>367</v>
      </c>
      <c r="C420" s="42" t="s">
        <v>352</v>
      </c>
      <c r="D420" s="42" t="s">
        <v>171</v>
      </c>
      <c r="E420" s="42" t="s">
        <v>328</v>
      </c>
      <c r="F420" s="85"/>
      <c r="G420" s="7">
        <f>'Прил.№4 ведомств.'!G363</f>
        <v>16655.2</v>
      </c>
      <c r="H420" s="7">
        <f>'Прил.№4 ведомств.'!I363</f>
        <v>16655.2</v>
      </c>
      <c r="I420" s="7">
        <f>'Прил.№4 ведомств.'!J363</f>
        <v>19144</v>
      </c>
      <c r="J420" s="7">
        <f>'Прил.№4 ведомств.'!K363</f>
        <v>19415</v>
      </c>
      <c r="K420" s="7">
        <f>'Прил.№4 ведомств.'!L363</f>
        <v>19637.400000000001</v>
      </c>
      <c r="L420" s="7">
        <f>'Прил.№4 ведомств.'!M363</f>
        <v>16370.599999999999</v>
      </c>
      <c r="M420" s="7">
        <f>'Прил.№4 ведомств.'!N363</f>
        <v>5264.2</v>
      </c>
      <c r="N420" s="7">
        <f t="shared" si="229"/>
        <v>32.156426765054427</v>
      </c>
    </row>
    <row r="421" spans="1:14" ht="47.25" hidden="1">
      <c r="A421" s="31" t="s">
        <v>329</v>
      </c>
      <c r="B421" s="42" t="s">
        <v>370</v>
      </c>
      <c r="C421" s="42" t="s">
        <v>352</v>
      </c>
      <c r="D421" s="42" t="s">
        <v>171</v>
      </c>
      <c r="E421" s="42"/>
      <c r="F421" s="85"/>
      <c r="G421" s="11">
        <f>G422</f>
        <v>0</v>
      </c>
      <c r="H421" s="11">
        <f t="shared" ref="H421:M422" si="241">H422</f>
        <v>0</v>
      </c>
      <c r="I421" s="11">
        <f t="shared" si="241"/>
        <v>0</v>
      </c>
      <c r="J421" s="11">
        <f t="shared" si="241"/>
        <v>0</v>
      </c>
      <c r="K421" s="11">
        <f t="shared" si="241"/>
        <v>0</v>
      </c>
      <c r="L421" s="11">
        <f t="shared" si="241"/>
        <v>0</v>
      </c>
      <c r="M421" s="11">
        <f t="shared" si="241"/>
        <v>0</v>
      </c>
      <c r="N421" s="7" t="e">
        <f t="shared" si="229"/>
        <v>#DIV/0!</v>
      </c>
    </row>
    <row r="422" spans="1:14" ht="31.5" hidden="1">
      <c r="A422" s="31" t="s">
        <v>325</v>
      </c>
      <c r="B422" s="42" t="s">
        <v>370</v>
      </c>
      <c r="C422" s="42" t="s">
        <v>352</v>
      </c>
      <c r="D422" s="42" t="s">
        <v>171</v>
      </c>
      <c r="E422" s="42" t="s">
        <v>326</v>
      </c>
      <c r="F422" s="85"/>
      <c r="G422" s="11">
        <f>G423</f>
        <v>0</v>
      </c>
      <c r="H422" s="11">
        <f t="shared" si="241"/>
        <v>0</v>
      </c>
      <c r="I422" s="11">
        <f t="shared" si="241"/>
        <v>0</v>
      </c>
      <c r="J422" s="11">
        <f t="shared" si="241"/>
        <v>0</v>
      </c>
      <c r="K422" s="11">
        <f t="shared" si="241"/>
        <v>0</v>
      </c>
      <c r="L422" s="11">
        <f t="shared" si="241"/>
        <v>0</v>
      </c>
      <c r="M422" s="11">
        <f t="shared" si="241"/>
        <v>0</v>
      </c>
      <c r="N422" s="7" t="e">
        <f t="shared" si="229"/>
        <v>#DIV/0!</v>
      </c>
    </row>
    <row r="423" spans="1:14" ht="15.75" hidden="1">
      <c r="A423" s="31" t="s">
        <v>327</v>
      </c>
      <c r="B423" s="42" t="s">
        <v>370</v>
      </c>
      <c r="C423" s="42" t="s">
        <v>352</v>
      </c>
      <c r="D423" s="42" t="s">
        <v>171</v>
      </c>
      <c r="E423" s="42" t="s">
        <v>328</v>
      </c>
      <c r="F423" s="85"/>
      <c r="G423" s="11"/>
      <c r="H423" s="11"/>
      <c r="I423" s="11"/>
      <c r="J423" s="11"/>
      <c r="K423" s="11"/>
      <c r="L423" s="11"/>
      <c r="M423" s="11"/>
      <c r="N423" s="7" t="e">
        <f t="shared" si="229"/>
        <v>#DIV/0!</v>
      </c>
    </row>
    <row r="424" spans="1:14" ht="47.25" hidden="1">
      <c r="A424" s="47" t="s">
        <v>314</v>
      </c>
      <c r="B424" s="42" t="s">
        <v>732</v>
      </c>
      <c r="C424" s="42" t="s">
        <v>352</v>
      </c>
      <c r="D424" s="42" t="s">
        <v>171</v>
      </c>
      <c r="E424" s="42"/>
      <c r="F424" s="2">
        <v>903</v>
      </c>
      <c r="G424" s="11">
        <f>G421</f>
        <v>0</v>
      </c>
      <c r="H424" s="11">
        <f t="shared" ref="H424:L424" si="242">H421</f>
        <v>0</v>
      </c>
      <c r="I424" s="11">
        <f t="shared" si="242"/>
        <v>0</v>
      </c>
      <c r="J424" s="11">
        <f t="shared" si="242"/>
        <v>0</v>
      </c>
      <c r="K424" s="11">
        <f t="shared" si="242"/>
        <v>0</v>
      </c>
      <c r="L424" s="11">
        <f t="shared" si="242"/>
        <v>0</v>
      </c>
      <c r="M424" s="11">
        <f t="shared" ref="M424" si="243">M421</f>
        <v>0</v>
      </c>
      <c r="N424" s="7" t="e">
        <f t="shared" si="229"/>
        <v>#DIV/0!</v>
      </c>
    </row>
    <row r="425" spans="1:14" ht="31.5" hidden="1">
      <c r="A425" s="26" t="s">
        <v>331</v>
      </c>
      <c r="B425" s="42" t="s">
        <v>371</v>
      </c>
      <c r="C425" s="42" t="s">
        <v>352</v>
      </c>
      <c r="D425" s="42" t="s">
        <v>171</v>
      </c>
      <c r="E425" s="42"/>
      <c r="F425" s="85"/>
      <c r="G425" s="11">
        <f>G426</f>
        <v>0</v>
      </c>
      <c r="H425" s="11">
        <f t="shared" ref="H425:M426" si="244">H426</f>
        <v>0</v>
      </c>
      <c r="I425" s="11">
        <f t="shared" si="244"/>
        <v>0</v>
      </c>
      <c r="J425" s="11">
        <f t="shared" si="244"/>
        <v>0</v>
      </c>
      <c r="K425" s="11">
        <f t="shared" si="244"/>
        <v>0</v>
      </c>
      <c r="L425" s="11">
        <f t="shared" si="244"/>
        <v>0</v>
      </c>
      <c r="M425" s="11">
        <f t="shared" si="244"/>
        <v>0</v>
      </c>
      <c r="N425" s="7" t="e">
        <f t="shared" si="229"/>
        <v>#DIV/0!</v>
      </c>
    </row>
    <row r="426" spans="1:14" ht="31.5" hidden="1">
      <c r="A426" s="31" t="s">
        <v>325</v>
      </c>
      <c r="B426" s="42" t="s">
        <v>371</v>
      </c>
      <c r="C426" s="42" t="s">
        <v>352</v>
      </c>
      <c r="D426" s="42" t="s">
        <v>171</v>
      </c>
      <c r="E426" s="42" t="s">
        <v>326</v>
      </c>
      <c r="F426" s="85"/>
      <c r="G426" s="11">
        <f>G427</f>
        <v>0</v>
      </c>
      <c r="H426" s="11">
        <f t="shared" si="244"/>
        <v>0</v>
      </c>
      <c r="I426" s="11">
        <f t="shared" si="244"/>
        <v>0</v>
      </c>
      <c r="J426" s="11">
        <f t="shared" si="244"/>
        <v>0</v>
      </c>
      <c r="K426" s="11">
        <f t="shared" si="244"/>
        <v>0</v>
      </c>
      <c r="L426" s="11">
        <f t="shared" si="244"/>
        <v>0</v>
      </c>
      <c r="M426" s="11">
        <f t="shared" si="244"/>
        <v>0</v>
      </c>
      <c r="N426" s="7" t="e">
        <f t="shared" si="229"/>
        <v>#DIV/0!</v>
      </c>
    </row>
    <row r="427" spans="1:14" ht="35.25" hidden="1" customHeight="1">
      <c r="A427" s="31" t="s">
        <v>327</v>
      </c>
      <c r="B427" s="42" t="s">
        <v>371</v>
      </c>
      <c r="C427" s="42" t="s">
        <v>352</v>
      </c>
      <c r="D427" s="42" t="s">
        <v>171</v>
      </c>
      <c r="E427" s="42" t="s">
        <v>328</v>
      </c>
      <c r="F427" s="85"/>
      <c r="G427" s="11"/>
      <c r="H427" s="11"/>
      <c r="I427" s="11"/>
      <c r="J427" s="11"/>
      <c r="K427" s="11"/>
      <c r="L427" s="11"/>
      <c r="M427" s="11"/>
      <c r="N427" s="7" t="e">
        <f t="shared" si="229"/>
        <v>#DIV/0!</v>
      </c>
    </row>
    <row r="428" spans="1:14" ht="47.25" hidden="1">
      <c r="A428" s="47" t="s">
        <v>314</v>
      </c>
      <c r="B428" s="42" t="s">
        <v>371</v>
      </c>
      <c r="C428" s="42" t="s">
        <v>352</v>
      </c>
      <c r="D428" s="42" t="s">
        <v>171</v>
      </c>
      <c r="E428" s="42"/>
      <c r="F428" s="2">
        <v>903</v>
      </c>
      <c r="G428" s="11">
        <f>G425</f>
        <v>0</v>
      </c>
      <c r="H428" s="11">
        <f t="shared" ref="H428:L428" si="245">H425</f>
        <v>0</v>
      </c>
      <c r="I428" s="11">
        <f t="shared" si="245"/>
        <v>0</v>
      </c>
      <c r="J428" s="11">
        <f t="shared" si="245"/>
        <v>0</v>
      </c>
      <c r="K428" s="11">
        <f t="shared" si="245"/>
        <v>0</v>
      </c>
      <c r="L428" s="11">
        <f t="shared" si="245"/>
        <v>0</v>
      </c>
      <c r="M428" s="11">
        <f t="shared" ref="M428" si="246">M425</f>
        <v>0</v>
      </c>
      <c r="N428" s="7" t="e">
        <f t="shared" si="229"/>
        <v>#DIV/0!</v>
      </c>
    </row>
    <row r="429" spans="1:14" ht="15.75" hidden="1">
      <c r="A429" s="31" t="s">
        <v>733</v>
      </c>
      <c r="B429" s="42" t="s">
        <v>372</v>
      </c>
      <c r="C429" s="42" t="s">
        <v>352</v>
      </c>
      <c r="D429" s="42" t="s">
        <v>171</v>
      </c>
      <c r="E429" s="42"/>
      <c r="F429" s="85"/>
      <c r="G429" s="11">
        <f>G430</f>
        <v>0</v>
      </c>
      <c r="H429" s="11">
        <f t="shared" ref="H429:M430" si="247">H430</f>
        <v>0</v>
      </c>
      <c r="I429" s="11">
        <f t="shared" si="247"/>
        <v>0</v>
      </c>
      <c r="J429" s="11">
        <f t="shared" si="247"/>
        <v>0</v>
      </c>
      <c r="K429" s="11">
        <f t="shared" si="247"/>
        <v>0</v>
      </c>
      <c r="L429" s="11">
        <f t="shared" si="247"/>
        <v>0</v>
      </c>
      <c r="M429" s="11">
        <f t="shared" si="247"/>
        <v>0</v>
      </c>
      <c r="N429" s="7" t="e">
        <f t="shared" si="229"/>
        <v>#DIV/0!</v>
      </c>
    </row>
    <row r="430" spans="1:14" ht="31.5" hidden="1">
      <c r="A430" s="31" t="s">
        <v>325</v>
      </c>
      <c r="B430" s="42" t="s">
        <v>372</v>
      </c>
      <c r="C430" s="42" t="s">
        <v>352</v>
      </c>
      <c r="D430" s="42" t="s">
        <v>171</v>
      </c>
      <c r="E430" s="42" t="s">
        <v>326</v>
      </c>
      <c r="F430" s="85"/>
      <c r="G430" s="11">
        <f>G431</f>
        <v>0</v>
      </c>
      <c r="H430" s="11">
        <f t="shared" si="247"/>
        <v>0</v>
      </c>
      <c r="I430" s="11">
        <f t="shared" si="247"/>
        <v>0</v>
      </c>
      <c r="J430" s="11">
        <f t="shared" si="247"/>
        <v>0</v>
      </c>
      <c r="K430" s="11">
        <f t="shared" si="247"/>
        <v>0</v>
      </c>
      <c r="L430" s="11">
        <f t="shared" si="247"/>
        <v>0</v>
      </c>
      <c r="M430" s="11">
        <f t="shared" si="247"/>
        <v>0</v>
      </c>
      <c r="N430" s="7" t="e">
        <f t="shared" si="229"/>
        <v>#DIV/0!</v>
      </c>
    </row>
    <row r="431" spans="1:14" ht="15.75" hidden="1">
      <c r="A431" s="31" t="s">
        <v>327</v>
      </c>
      <c r="B431" s="42" t="s">
        <v>372</v>
      </c>
      <c r="C431" s="42" t="s">
        <v>352</v>
      </c>
      <c r="D431" s="42" t="s">
        <v>171</v>
      </c>
      <c r="E431" s="42" t="s">
        <v>328</v>
      </c>
      <c r="F431" s="85"/>
      <c r="G431" s="11"/>
      <c r="H431" s="11"/>
      <c r="I431" s="11"/>
      <c r="J431" s="11"/>
      <c r="K431" s="11"/>
      <c r="L431" s="11"/>
      <c r="M431" s="11"/>
      <c r="N431" s="7" t="e">
        <f t="shared" si="229"/>
        <v>#DIV/0!</v>
      </c>
    </row>
    <row r="432" spans="1:14" ht="47.25" hidden="1">
      <c r="A432" s="47" t="s">
        <v>314</v>
      </c>
      <c r="B432" s="42" t="s">
        <v>372</v>
      </c>
      <c r="C432" s="42" t="s">
        <v>352</v>
      </c>
      <c r="D432" s="42" t="s">
        <v>171</v>
      </c>
      <c r="E432" s="42"/>
      <c r="F432" s="2">
        <v>903</v>
      </c>
      <c r="G432" s="11">
        <f>G429</f>
        <v>0</v>
      </c>
      <c r="H432" s="11">
        <f t="shared" ref="H432:L432" si="248">H429</f>
        <v>0</v>
      </c>
      <c r="I432" s="11">
        <f t="shared" si="248"/>
        <v>0</v>
      </c>
      <c r="J432" s="11">
        <f t="shared" si="248"/>
        <v>0</v>
      </c>
      <c r="K432" s="11">
        <f t="shared" si="248"/>
        <v>0</v>
      </c>
      <c r="L432" s="11">
        <f t="shared" si="248"/>
        <v>0</v>
      </c>
      <c r="M432" s="11">
        <f t="shared" ref="M432" si="249">M429</f>
        <v>0</v>
      </c>
      <c r="N432" s="7" t="e">
        <f t="shared" si="229"/>
        <v>#DIV/0!</v>
      </c>
    </row>
    <row r="433" spans="1:14" ht="31.5" hidden="1">
      <c r="A433" s="31" t="s">
        <v>337</v>
      </c>
      <c r="B433" s="42" t="s">
        <v>686</v>
      </c>
      <c r="C433" s="42" t="s">
        <v>352</v>
      </c>
      <c r="D433" s="42" t="s">
        <v>171</v>
      </c>
      <c r="E433" s="42"/>
      <c r="F433" s="85"/>
      <c r="G433" s="11">
        <f>G434</f>
        <v>0</v>
      </c>
      <c r="H433" s="11">
        <f t="shared" ref="H433:M434" si="250">H434</f>
        <v>0</v>
      </c>
      <c r="I433" s="11">
        <f t="shared" si="250"/>
        <v>0</v>
      </c>
      <c r="J433" s="11">
        <f t="shared" si="250"/>
        <v>0</v>
      </c>
      <c r="K433" s="11">
        <f t="shared" si="250"/>
        <v>0</v>
      </c>
      <c r="L433" s="11">
        <f t="shared" si="250"/>
        <v>0</v>
      </c>
      <c r="M433" s="11">
        <f t="shared" si="250"/>
        <v>0</v>
      </c>
      <c r="N433" s="7" t="e">
        <f t="shared" si="229"/>
        <v>#DIV/0!</v>
      </c>
    </row>
    <row r="434" spans="1:14" ht="31.5" hidden="1">
      <c r="A434" s="31" t="s">
        <v>325</v>
      </c>
      <c r="B434" s="42" t="s">
        <v>686</v>
      </c>
      <c r="C434" s="42" t="s">
        <v>352</v>
      </c>
      <c r="D434" s="42" t="s">
        <v>171</v>
      </c>
      <c r="E434" s="42" t="s">
        <v>326</v>
      </c>
      <c r="F434" s="85"/>
      <c r="G434" s="11">
        <f>G435</f>
        <v>0</v>
      </c>
      <c r="H434" s="11">
        <f t="shared" si="250"/>
        <v>0</v>
      </c>
      <c r="I434" s="11">
        <f t="shared" si="250"/>
        <v>0</v>
      </c>
      <c r="J434" s="11">
        <f t="shared" si="250"/>
        <v>0</v>
      </c>
      <c r="K434" s="11">
        <f t="shared" si="250"/>
        <v>0</v>
      </c>
      <c r="L434" s="11">
        <f t="shared" si="250"/>
        <v>0</v>
      </c>
      <c r="M434" s="11">
        <f t="shared" si="250"/>
        <v>0</v>
      </c>
      <c r="N434" s="7" t="e">
        <f t="shared" si="229"/>
        <v>#DIV/0!</v>
      </c>
    </row>
    <row r="435" spans="1:14" ht="15.75" hidden="1">
      <c r="A435" s="31" t="s">
        <v>327</v>
      </c>
      <c r="B435" s="42" t="s">
        <v>686</v>
      </c>
      <c r="C435" s="42" t="s">
        <v>352</v>
      </c>
      <c r="D435" s="42" t="s">
        <v>171</v>
      </c>
      <c r="E435" s="42" t="s">
        <v>328</v>
      </c>
      <c r="F435" s="85"/>
      <c r="G435" s="11"/>
      <c r="H435" s="11"/>
      <c r="I435" s="11"/>
      <c r="J435" s="11"/>
      <c r="K435" s="11"/>
      <c r="L435" s="11"/>
      <c r="M435" s="11"/>
      <c r="N435" s="7" t="e">
        <f t="shared" si="229"/>
        <v>#DIV/0!</v>
      </c>
    </row>
    <row r="436" spans="1:14" ht="47.25" hidden="1">
      <c r="A436" s="47" t="s">
        <v>314</v>
      </c>
      <c r="B436" s="42" t="s">
        <v>686</v>
      </c>
      <c r="C436" s="42" t="s">
        <v>352</v>
      </c>
      <c r="D436" s="42" t="s">
        <v>171</v>
      </c>
      <c r="E436" s="42"/>
      <c r="F436" s="2">
        <v>903</v>
      </c>
      <c r="G436" s="11">
        <f>G433</f>
        <v>0</v>
      </c>
      <c r="H436" s="11">
        <f t="shared" ref="H436:L436" si="251">H433</f>
        <v>0</v>
      </c>
      <c r="I436" s="11">
        <f t="shared" si="251"/>
        <v>0</v>
      </c>
      <c r="J436" s="11">
        <f t="shared" si="251"/>
        <v>0</v>
      </c>
      <c r="K436" s="11">
        <f t="shared" si="251"/>
        <v>0</v>
      </c>
      <c r="L436" s="11">
        <f t="shared" si="251"/>
        <v>0</v>
      </c>
      <c r="M436" s="11">
        <f t="shared" ref="M436" si="252">M433</f>
        <v>0</v>
      </c>
      <c r="N436" s="7" t="e">
        <f t="shared" si="229"/>
        <v>#DIV/0!</v>
      </c>
    </row>
    <row r="437" spans="1:14" ht="15.75">
      <c r="A437" s="87" t="s">
        <v>734</v>
      </c>
      <c r="B437" s="42" t="s">
        <v>369</v>
      </c>
      <c r="C437" s="42" t="s">
        <v>352</v>
      </c>
      <c r="D437" s="42" t="s">
        <v>171</v>
      </c>
      <c r="E437" s="42"/>
      <c r="F437" s="2"/>
      <c r="G437" s="11">
        <f>G438+G440</f>
        <v>5</v>
      </c>
      <c r="H437" s="11">
        <f t="shared" ref="H437:L437" si="253">H438+H440</f>
        <v>5</v>
      </c>
      <c r="I437" s="11">
        <f t="shared" si="253"/>
        <v>0</v>
      </c>
      <c r="J437" s="11">
        <f t="shared" si="253"/>
        <v>0</v>
      </c>
      <c r="K437" s="11">
        <f t="shared" si="253"/>
        <v>0</v>
      </c>
      <c r="L437" s="11">
        <f t="shared" si="253"/>
        <v>5</v>
      </c>
      <c r="M437" s="11">
        <f t="shared" ref="M437" si="254">M438+M440</f>
        <v>0</v>
      </c>
      <c r="N437" s="7">
        <f t="shared" si="229"/>
        <v>0</v>
      </c>
    </row>
    <row r="438" spans="1:14" ht="31.5" hidden="1">
      <c r="A438" s="31" t="s">
        <v>184</v>
      </c>
      <c r="B438" s="42" t="s">
        <v>369</v>
      </c>
      <c r="C438" s="42" t="s">
        <v>352</v>
      </c>
      <c r="D438" s="42" t="s">
        <v>171</v>
      </c>
      <c r="E438" s="42" t="s">
        <v>185</v>
      </c>
      <c r="F438" s="2"/>
      <c r="G438" s="11">
        <f>G439</f>
        <v>0</v>
      </c>
      <c r="H438" s="11">
        <f t="shared" ref="H438:M438" si="255">H439</f>
        <v>0</v>
      </c>
      <c r="I438" s="11">
        <f t="shared" si="255"/>
        <v>0</v>
      </c>
      <c r="J438" s="11">
        <f t="shared" si="255"/>
        <v>0</v>
      </c>
      <c r="K438" s="11">
        <f t="shared" si="255"/>
        <v>0</v>
      </c>
      <c r="L438" s="11">
        <f t="shared" si="255"/>
        <v>0</v>
      </c>
      <c r="M438" s="11">
        <f t="shared" si="255"/>
        <v>0</v>
      </c>
      <c r="N438" s="7" t="e">
        <f t="shared" si="229"/>
        <v>#DIV/0!</v>
      </c>
    </row>
    <row r="439" spans="1:14" ht="31.5" hidden="1">
      <c r="A439" s="31" t="s">
        <v>186</v>
      </c>
      <c r="B439" s="42" t="s">
        <v>369</v>
      </c>
      <c r="C439" s="42" t="s">
        <v>352</v>
      </c>
      <c r="D439" s="42" t="s">
        <v>171</v>
      </c>
      <c r="E439" s="42" t="s">
        <v>187</v>
      </c>
      <c r="F439" s="2"/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7" t="e">
        <f t="shared" si="229"/>
        <v>#DIV/0!</v>
      </c>
    </row>
    <row r="440" spans="1:14" ht="62.25" customHeight="1">
      <c r="A440" s="31" t="s">
        <v>325</v>
      </c>
      <c r="B440" s="42" t="s">
        <v>369</v>
      </c>
      <c r="C440" s="42" t="s">
        <v>352</v>
      </c>
      <c r="D440" s="42" t="s">
        <v>171</v>
      </c>
      <c r="E440" s="42" t="s">
        <v>326</v>
      </c>
      <c r="F440" s="2"/>
      <c r="G440" s="11">
        <f>G441</f>
        <v>5</v>
      </c>
      <c r="H440" s="11">
        <f t="shared" ref="H440:M440" si="256">H441</f>
        <v>5</v>
      </c>
      <c r="I440" s="11">
        <f t="shared" si="256"/>
        <v>0</v>
      </c>
      <c r="J440" s="11">
        <f t="shared" si="256"/>
        <v>0</v>
      </c>
      <c r="K440" s="11">
        <f t="shared" si="256"/>
        <v>0</v>
      </c>
      <c r="L440" s="11">
        <f t="shared" si="256"/>
        <v>5</v>
      </c>
      <c r="M440" s="11">
        <f t="shared" si="256"/>
        <v>0</v>
      </c>
      <c r="N440" s="7">
        <f t="shared" si="229"/>
        <v>0</v>
      </c>
    </row>
    <row r="441" spans="1:14" ht="15.75">
      <c r="A441" s="31" t="s">
        <v>327</v>
      </c>
      <c r="B441" s="42" t="s">
        <v>369</v>
      </c>
      <c r="C441" s="42" t="s">
        <v>352</v>
      </c>
      <c r="D441" s="42" t="s">
        <v>171</v>
      </c>
      <c r="E441" s="42" t="s">
        <v>328</v>
      </c>
      <c r="F441" s="2"/>
      <c r="G441" s="11">
        <f>'Прил.№4 ведомств.'!G368</f>
        <v>5</v>
      </c>
      <c r="H441" s="11">
        <f>'Прил.№4 ведомств.'!I368</f>
        <v>5</v>
      </c>
      <c r="I441" s="11">
        <f>'Прил.№4 ведомств.'!J368</f>
        <v>0</v>
      </c>
      <c r="J441" s="11">
        <f>'Прил.№4 ведомств.'!K368</f>
        <v>0</v>
      </c>
      <c r="K441" s="11">
        <f>'Прил.№4 ведомств.'!L368</f>
        <v>0</v>
      </c>
      <c r="L441" s="11">
        <f>'Прил.№4 ведомств.'!M368</f>
        <v>5</v>
      </c>
      <c r="M441" s="11">
        <f>'Прил.№4 ведомств.'!N368</f>
        <v>0</v>
      </c>
      <c r="N441" s="7">
        <f t="shared" si="229"/>
        <v>0</v>
      </c>
    </row>
    <row r="442" spans="1:14" ht="15.75">
      <c r="A442" s="26" t="s">
        <v>767</v>
      </c>
      <c r="B442" s="21" t="s">
        <v>768</v>
      </c>
      <c r="C442" s="42" t="s">
        <v>352</v>
      </c>
      <c r="D442" s="42" t="s">
        <v>171</v>
      </c>
      <c r="E442" s="42"/>
      <c r="F442" s="2"/>
      <c r="G442" s="11">
        <f>G443</f>
        <v>0.4</v>
      </c>
      <c r="H442" s="11">
        <f t="shared" ref="H442:M443" si="257">H443</f>
        <v>0.4</v>
      </c>
      <c r="I442" s="11">
        <f t="shared" si="257"/>
        <v>0</v>
      </c>
      <c r="J442" s="11">
        <f t="shared" si="257"/>
        <v>0</v>
      </c>
      <c r="K442" s="11">
        <f t="shared" si="257"/>
        <v>0</v>
      </c>
      <c r="L442" s="11">
        <f t="shared" si="257"/>
        <v>0.5</v>
      </c>
      <c r="M442" s="11">
        <f t="shared" si="257"/>
        <v>0</v>
      </c>
      <c r="N442" s="7">
        <f t="shared" si="229"/>
        <v>0</v>
      </c>
    </row>
    <row r="443" spans="1:14" ht="31.5">
      <c r="A443" s="26" t="s">
        <v>325</v>
      </c>
      <c r="B443" s="21" t="s">
        <v>768</v>
      </c>
      <c r="C443" s="42" t="s">
        <v>352</v>
      </c>
      <c r="D443" s="42" t="s">
        <v>171</v>
      </c>
      <c r="E443" s="42" t="s">
        <v>326</v>
      </c>
      <c r="F443" s="2"/>
      <c r="G443" s="11">
        <f>G444</f>
        <v>0.4</v>
      </c>
      <c r="H443" s="11">
        <f t="shared" si="257"/>
        <v>0.4</v>
      </c>
      <c r="I443" s="11">
        <f t="shared" si="257"/>
        <v>0</v>
      </c>
      <c r="J443" s="11">
        <f t="shared" si="257"/>
        <v>0</v>
      </c>
      <c r="K443" s="11">
        <f t="shared" si="257"/>
        <v>0</v>
      </c>
      <c r="L443" s="11">
        <f t="shared" si="257"/>
        <v>0.5</v>
      </c>
      <c r="M443" s="11">
        <f t="shared" si="257"/>
        <v>0</v>
      </c>
      <c r="N443" s="7">
        <f t="shared" si="229"/>
        <v>0</v>
      </c>
    </row>
    <row r="444" spans="1:14" ht="15.75">
      <c r="A444" s="26" t="s">
        <v>327</v>
      </c>
      <c r="B444" s="21" t="s">
        <v>768</v>
      </c>
      <c r="C444" s="42" t="s">
        <v>352</v>
      </c>
      <c r="D444" s="42" t="s">
        <v>171</v>
      </c>
      <c r="E444" s="42" t="s">
        <v>328</v>
      </c>
      <c r="F444" s="2"/>
      <c r="G444" s="11">
        <f>'Прил.№4 ведомств.'!G371</f>
        <v>0.4</v>
      </c>
      <c r="H444" s="11">
        <f>'Прил.№4 ведомств.'!I371</f>
        <v>0.4</v>
      </c>
      <c r="I444" s="11">
        <f>'Прил.№4 ведомств.'!J371</f>
        <v>0</v>
      </c>
      <c r="J444" s="11">
        <f>'Прил.№4 ведомств.'!K371</f>
        <v>0</v>
      </c>
      <c r="K444" s="11">
        <f>'Прил.№4 ведомств.'!L371</f>
        <v>0</v>
      </c>
      <c r="L444" s="11">
        <f>'Прил.№4 ведомств.'!M371</f>
        <v>0.5</v>
      </c>
      <c r="M444" s="11">
        <f>'Прил.№4 ведомств.'!N371</f>
        <v>0</v>
      </c>
      <c r="N444" s="7">
        <f t="shared" si="229"/>
        <v>0</v>
      </c>
    </row>
    <row r="445" spans="1:14" ht="31.5" hidden="1">
      <c r="A445" s="26" t="s">
        <v>337</v>
      </c>
      <c r="B445" s="21" t="s">
        <v>373</v>
      </c>
      <c r="C445" s="42" t="s">
        <v>352</v>
      </c>
      <c r="D445" s="42" t="s">
        <v>171</v>
      </c>
      <c r="E445" s="42"/>
      <c r="F445" s="2"/>
      <c r="G445" s="11">
        <f>G446</f>
        <v>0</v>
      </c>
      <c r="H445" s="11">
        <f t="shared" ref="H445:M446" si="258">H446</f>
        <v>0</v>
      </c>
      <c r="I445" s="11">
        <f t="shared" si="258"/>
        <v>275</v>
      </c>
      <c r="J445" s="11">
        <f t="shared" si="258"/>
        <v>275</v>
      </c>
      <c r="K445" s="11">
        <f t="shared" si="258"/>
        <v>275</v>
      </c>
      <c r="L445" s="11">
        <f t="shared" si="258"/>
        <v>0</v>
      </c>
      <c r="M445" s="11">
        <f t="shared" si="258"/>
        <v>0</v>
      </c>
      <c r="N445" s="7" t="e">
        <f t="shared" si="229"/>
        <v>#DIV/0!</v>
      </c>
    </row>
    <row r="446" spans="1:14" ht="31.5" hidden="1">
      <c r="A446" s="26" t="s">
        <v>325</v>
      </c>
      <c r="B446" s="21" t="s">
        <v>373</v>
      </c>
      <c r="C446" s="42" t="s">
        <v>352</v>
      </c>
      <c r="D446" s="42" t="s">
        <v>171</v>
      </c>
      <c r="E446" s="42" t="s">
        <v>326</v>
      </c>
      <c r="F446" s="2"/>
      <c r="G446" s="11">
        <f>G447</f>
        <v>0</v>
      </c>
      <c r="H446" s="11">
        <f t="shared" si="258"/>
        <v>0</v>
      </c>
      <c r="I446" s="11">
        <f t="shared" si="258"/>
        <v>275</v>
      </c>
      <c r="J446" s="11">
        <f t="shared" si="258"/>
        <v>275</v>
      </c>
      <c r="K446" s="11">
        <f t="shared" si="258"/>
        <v>275</v>
      </c>
      <c r="L446" s="11">
        <f t="shared" si="258"/>
        <v>0</v>
      </c>
      <c r="M446" s="11">
        <f t="shared" si="258"/>
        <v>0</v>
      </c>
      <c r="N446" s="7" t="e">
        <f t="shared" si="229"/>
        <v>#DIV/0!</v>
      </c>
    </row>
    <row r="447" spans="1:14" ht="15.75" hidden="1">
      <c r="A447" s="26" t="s">
        <v>327</v>
      </c>
      <c r="B447" s="21" t="s">
        <v>373</v>
      </c>
      <c r="C447" s="42" t="s">
        <v>352</v>
      </c>
      <c r="D447" s="42" t="s">
        <v>171</v>
      </c>
      <c r="E447" s="42" t="s">
        <v>328</v>
      </c>
      <c r="F447" s="2"/>
      <c r="G447" s="11">
        <f>'Прил.№4 ведомств.'!G383</f>
        <v>0</v>
      </c>
      <c r="H447" s="11">
        <f>'Прил.№4 ведомств.'!I383</f>
        <v>0</v>
      </c>
      <c r="I447" s="11">
        <f>'Прил.№4 ведомств.'!J383</f>
        <v>275</v>
      </c>
      <c r="J447" s="11">
        <f>'Прил.№4 ведомств.'!K383</f>
        <v>275</v>
      </c>
      <c r="K447" s="11">
        <f>'Прил.№4 ведомств.'!L383</f>
        <v>275</v>
      </c>
      <c r="L447" s="11">
        <f>'Прил.№4 ведомств.'!M383</f>
        <v>0</v>
      </c>
      <c r="M447" s="11">
        <f>'Прил.№4 ведомств.'!N383</f>
        <v>0</v>
      </c>
      <c r="N447" s="7" t="e">
        <f t="shared" si="229"/>
        <v>#DIV/0!</v>
      </c>
    </row>
    <row r="448" spans="1:14" ht="31.5">
      <c r="A448" s="70" t="s">
        <v>871</v>
      </c>
      <c r="B448" s="21" t="s">
        <v>884</v>
      </c>
      <c r="C448" s="42" t="s">
        <v>352</v>
      </c>
      <c r="D448" s="42" t="s">
        <v>171</v>
      </c>
      <c r="E448" s="42"/>
      <c r="F448" s="2"/>
      <c r="G448" s="11">
        <f>G449</f>
        <v>0</v>
      </c>
      <c r="H448" s="11">
        <f t="shared" ref="H448:M449" si="259">H449</f>
        <v>0</v>
      </c>
      <c r="I448" s="11">
        <f t="shared" si="259"/>
        <v>650.20000000000005</v>
      </c>
      <c r="J448" s="11">
        <f t="shared" si="259"/>
        <v>650.20000000000005</v>
      </c>
      <c r="K448" s="11">
        <f t="shared" si="259"/>
        <v>650.20000000000005</v>
      </c>
      <c r="L448" s="11">
        <f t="shared" si="259"/>
        <v>650.20000000000005</v>
      </c>
      <c r="M448" s="11">
        <f t="shared" si="259"/>
        <v>650.20000000000005</v>
      </c>
      <c r="N448" s="7">
        <f t="shared" si="229"/>
        <v>100</v>
      </c>
    </row>
    <row r="449" spans="1:14" ht="31.5">
      <c r="A449" s="31" t="s">
        <v>325</v>
      </c>
      <c r="B449" s="21" t="s">
        <v>884</v>
      </c>
      <c r="C449" s="42" t="s">
        <v>352</v>
      </c>
      <c r="D449" s="42" t="s">
        <v>171</v>
      </c>
      <c r="E449" s="42" t="s">
        <v>326</v>
      </c>
      <c r="F449" s="2"/>
      <c r="G449" s="11">
        <f>G450</f>
        <v>0</v>
      </c>
      <c r="H449" s="11">
        <f t="shared" si="259"/>
        <v>0</v>
      </c>
      <c r="I449" s="11">
        <f t="shared" si="259"/>
        <v>650.20000000000005</v>
      </c>
      <c r="J449" s="11">
        <f t="shared" si="259"/>
        <v>650.20000000000005</v>
      </c>
      <c r="K449" s="11">
        <f t="shared" si="259"/>
        <v>650.20000000000005</v>
      </c>
      <c r="L449" s="11">
        <f t="shared" si="259"/>
        <v>650.20000000000005</v>
      </c>
      <c r="M449" s="11">
        <f t="shared" si="259"/>
        <v>650.20000000000005</v>
      </c>
      <c r="N449" s="7">
        <f t="shared" si="229"/>
        <v>100</v>
      </c>
    </row>
    <row r="450" spans="1:14" ht="15.75">
      <c r="A450" s="258" t="s">
        <v>327</v>
      </c>
      <c r="B450" s="21" t="s">
        <v>884</v>
      </c>
      <c r="C450" s="42" t="s">
        <v>352</v>
      </c>
      <c r="D450" s="42" t="s">
        <v>171</v>
      </c>
      <c r="E450" s="42" t="s">
        <v>328</v>
      </c>
      <c r="F450" s="2"/>
      <c r="G450" s="11">
        <f>'Прил.№4 ведомств.'!G389</f>
        <v>0</v>
      </c>
      <c r="H450" s="11">
        <f>'Прил.№4 ведомств.'!I389</f>
        <v>0</v>
      </c>
      <c r="I450" s="11">
        <f>'Прил.№4 ведомств.'!J389</f>
        <v>650.20000000000005</v>
      </c>
      <c r="J450" s="11">
        <f>'Прил.№4 ведомств.'!K389</f>
        <v>650.20000000000005</v>
      </c>
      <c r="K450" s="11">
        <f>'Прил.№4 ведомств.'!L389</f>
        <v>650.20000000000005</v>
      </c>
      <c r="L450" s="11">
        <f>'Прил.№4 ведомств.'!M389</f>
        <v>650.20000000000005</v>
      </c>
      <c r="M450" s="11">
        <f>'Прил.№4 ведомств.'!N389</f>
        <v>650.20000000000005</v>
      </c>
      <c r="N450" s="7">
        <f t="shared" si="229"/>
        <v>100</v>
      </c>
    </row>
    <row r="451" spans="1:14" ht="47.25">
      <c r="A451" s="47" t="s">
        <v>314</v>
      </c>
      <c r="B451" s="42" t="s">
        <v>366</v>
      </c>
      <c r="C451" s="42" t="s">
        <v>352</v>
      </c>
      <c r="D451" s="42" t="s">
        <v>171</v>
      </c>
      <c r="E451" s="42"/>
      <c r="F451" s="2">
        <v>903</v>
      </c>
      <c r="G451" s="11">
        <f t="shared" ref="G451:L451" si="260">G415</f>
        <v>16660.600000000002</v>
      </c>
      <c r="H451" s="11">
        <f t="shared" si="260"/>
        <v>16660.600000000002</v>
      </c>
      <c r="I451" s="11">
        <f t="shared" si="260"/>
        <v>20069.2</v>
      </c>
      <c r="J451" s="11">
        <f t="shared" si="260"/>
        <v>20340.2</v>
      </c>
      <c r="K451" s="11">
        <f t="shared" si="260"/>
        <v>20562.600000000002</v>
      </c>
      <c r="L451" s="11">
        <f t="shared" si="260"/>
        <v>17026.3</v>
      </c>
      <c r="M451" s="11">
        <f t="shared" ref="M451" si="261">M415</f>
        <v>5914.4</v>
      </c>
      <c r="N451" s="7">
        <f t="shared" si="229"/>
        <v>34.73684828764911</v>
      </c>
    </row>
    <row r="452" spans="1:14" ht="31.5" hidden="1">
      <c r="A452" s="70" t="s">
        <v>374</v>
      </c>
      <c r="B452" s="42" t="s">
        <v>375</v>
      </c>
      <c r="C452" s="42" t="s">
        <v>352</v>
      </c>
      <c r="D452" s="42" t="s">
        <v>171</v>
      </c>
      <c r="E452" s="42"/>
      <c r="F452" s="2"/>
      <c r="G452" s="11">
        <f>G453</f>
        <v>0</v>
      </c>
      <c r="H452" s="11">
        <f t="shared" ref="H452:M452" si="262">H453</f>
        <v>0</v>
      </c>
      <c r="I452" s="11">
        <f t="shared" si="262"/>
        <v>0</v>
      </c>
      <c r="J452" s="11">
        <f t="shared" si="262"/>
        <v>0</v>
      </c>
      <c r="K452" s="11">
        <f t="shared" si="262"/>
        <v>0</v>
      </c>
      <c r="L452" s="11">
        <f t="shared" si="262"/>
        <v>0</v>
      </c>
      <c r="M452" s="11">
        <f t="shared" si="262"/>
        <v>0</v>
      </c>
      <c r="N452" s="4" t="e">
        <f t="shared" si="229"/>
        <v>#DIV/0!</v>
      </c>
    </row>
    <row r="453" spans="1:14" ht="31.5" hidden="1">
      <c r="A453" s="31" t="s">
        <v>325</v>
      </c>
      <c r="B453" s="42" t="s">
        <v>375</v>
      </c>
      <c r="C453" s="42" t="s">
        <v>352</v>
      </c>
      <c r="D453" s="42" t="s">
        <v>171</v>
      </c>
      <c r="E453" s="42" t="s">
        <v>326</v>
      </c>
      <c r="F453" s="2"/>
      <c r="G453" s="11"/>
      <c r="H453" s="11"/>
      <c r="I453" s="11"/>
      <c r="J453" s="11"/>
      <c r="K453" s="11"/>
      <c r="L453" s="11"/>
      <c r="M453" s="11"/>
      <c r="N453" s="4" t="e">
        <f t="shared" si="229"/>
        <v>#DIV/0!</v>
      </c>
    </row>
    <row r="454" spans="1:14" ht="15.75" hidden="1">
      <c r="A454" s="31" t="s">
        <v>327</v>
      </c>
      <c r="B454" s="42" t="s">
        <v>375</v>
      </c>
      <c r="C454" s="42" t="s">
        <v>352</v>
      </c>
      <c r="D454" s="42" t="s">
        <v>171</v>
      </c>
      <c r="E454" s="42" t="s">
        <v>328</v>
      </c>
      <c r="F454" s="2"/>
      <c r="G454" s="11"/>
      <c r="H454" s="11"/>
      <c r="I454" s="11"/>
      <c r="J454" s="11"/>
      <c r="K454" s="11"/>
      <c r="L454" s="11"/>
      <c r="M454" s="11"/>
      <c r="N454" s="4" t="e">
        <f t="shared" si="229"/>
        <v>#DIV/0!</v>
      </c>
    </row>
    <row r="455" spans="1:14" ht="47.25" hidden="1">
      <c r="A455" s="47" t="s">
        <v>314</v>
      </c>
      <c r="B455" s="42" t="s">
        <v>375</v>
      </c>
      <c r="C455" s="42" t="s">
        <v>352</v>
      </c>
      <c r="D455" s="42" t="s">
        <v>171</v>
      </c>
      <c r="E455" s="42"/>
      <c r="F455" s="2">
        <v>903</v>
      </c>
      <c r="G455" s="11">
        <f>G454</f>
        <v>0</v>
      </c>
      <c r="H455" s="11">
        <f t="shared" ref="H455:L455" si="263">H454</f>
        <v>0</v>
      </c>
      <c r="I455" s="11">
        <f t="shared" si="263"/>
        <v>0</v>
      </c>
      <c r="J455" s="11">
        <f t="shared" si="263"/>
        <v>0</v>
      </c>
      <c r="K455" s="11">
        <f t="shared" si="263"/>
        <v>0</v>
      </c>
      <c r="L455" s="11">
        <f t="shared" si="263"/>
        <v>0</v>
      </c>
      <c r="M455" s="11">
        <f t="shared" ref="M455" si="264">M454</f>
        <v>0</v>
      </c>
      <c r="N455" s="4" t="e">
        <f t="shared" si="229"/>
        <v>#DIV/0!</v>
      </c>
    </row>
    <row r="456" spans="1:14" ht="59.25" customHeight="1">
      <c r="A456" s="43" t="s">
        <v>376</v>
      </c>
      <c r="B456" s="8" t="s">
        <v>377</v>
      </c>
      <c r="C456" s="83"/>
      <c r="D456" s="83"/>
      <c r="E456" s="83"/>
      <c r="F456" s="83"/>
      <c r="G456" s="68">
        <f>G457</f>
        <v>200</v>
      </c>
      <c r="H456" s="68">
        <f t="shared" ref="H456:M460" si="265">H457</f>
        <v>200</v>
      </c>
      <c r="I456" s="68">
        <f t="shared" si="265"/>
        <v>0</v>
      </c>
      <c r="J456" s="68">
        <f t="shared" si="265"/>
        <v>0</v>
      </c>
      <c r="K456" s="68">
        <f t="shared" si="265"/>
        <v>0</v>
      </c>
      <c r="L456" s="68">
        <f>L457</f>
        <v>545</v>
      </c>
      <c r="M456" s="68">
        <f t="shared" ref="M456:M458" si="266">M457</f>
        <v>0</v>
      </c>
      <c r="N456" s="4">
        <f t="shared" si="229"/>
        <v>0</v>
      </c>
    </row>
    <row r="457" spans="1:14" ht="15.75">
      <c r="A457" s="84" t="s">
        <v>544</v>
      </c>
      <c r="B457" s="42" t="s">
        <v>377</v>
      </c>
      <c r="C457" s="42" t="s">
        <v>545</v>
      </c>
      <c r="D457" s="84"/>
      <c r="E457" s="84"/>
      <c r="F457" s="84"/>
      <c r="G457" s="11">
        <f>G458</f>
        <v>200</v>
      </c>
      <c r="H457" s="11">
        <f t="shared" si="265"/>
        <v>200</v>
      </c>
      <c r="I457" s="11">
        <f t="shared" si="265"/>
        <v>0</v>
      </c>
      <c r="J457" s="11">
        <f t="shared" si="265"/>
        <v>0</v>
      </c>
      <c r="K457" s="11">
        <f t="shared" si="265"/>
        <v>0</v>
      </c>
      <c r="L457" s="11">
        <f>L458</f>
        <v>545</v>
      </c>
      <c r="M457" s="11">
        <f t="shared" si="266"/>
        <v>0</v>
      </c>
      <c r="N457" s="7">
        <f t="shared" si="229"/>
        <v>0</v>
      </c>
    </row>
    <row r="458" spans="1:14" ht="15.75">
      <c r="A458" s="84" t="s">
        <v>546</v>
      </c>
      <c r="B458" s="42" t="s">
        <v>377</v>
      </c>
      <c r="C458" s="42" t="s">
        <v>545</v>
      </c>
      <c r="D458" s="42" t="s">
        <v>171</v>
      </c>
      <c r="E458" s="84"/>
      <c r="F458" s="84"/>
      <c r="G458" s="11">
        <f>G459</f>
        <v>200</v>
      </c>
      <c r="H458" s="11">
        <f t="shared" si="265"/>
        <v>200</v>
      </c>
      <c r="I458" s="11">
        <f t="shared" si="265"/>
        <v>0</v>
      </c>
      <c r="J458" s="11">
        <f t="shared" si="265"/>
        <v>0</v>
      </c>
      <c r="K458" s="11">
        <f t="shared" si="265"/>
        <v>0</v>
      </c>
      <c r="L458" s="11">
        <f>L459</f>
        <v>545</v>
      </c>
      <c r="M458" s="11">
        <f t="shared" si="266"/>
        <v>0</v>
      </c>
      <c r="N458" s="7">
        <f t="shared" si="229"/>
        <v>0</v>
      </c>
    </row>
    <row r="459" spans="1:14" ht="47.25">
      <c r="A459" s="33" t="s">
        <v>378</v>
      </c>
      <c r="B459" s="42" t="s">
        <v>379</v>
      </c>
      <c r="C459" s="42" t="s">
        <v>545</v>
      </c>
      <c r="D459" s="42" t="s">
        <v>171</v>
      </c>
      <c r="E459" s="84"/>
      <c r="F459" s="84"/>
      <c r="G459" s="11">
        <f>G460</f>
        <v>200</v>
      </c>
      <c r="H459" s="11">
        <f t="shared" si="265"/>
        <v>200</v>
      </c>
      <c r="I459" s="11">
        <f t="shared" si="265"/>
        <v>0</v>
      </c>
      <c r="J459" s="11">
        <f t="shared" si="265"/>
        <v>0</v>
      </c>
      <c r="K459" s="11">
        <f t="shared" si="265"/>
        <v>0</v>
      </c>
      <c r="L459" s="11">
        <f t="shared" si="265"/>
        <v>545</v>
      </c>
      <c r="M459" s="11">
        <f t="shared" si="265"/>
        <v>0</v>
      </c>
      <c r="N459" s="7">
        <f t="shared" si="229"/>
        <v>0</v>
      </c>
    </row>
    <row r="460" spans="1:14" ht="31.5">
      <c r="A460" s="26" t="s">
        <v>325</v>
      </c>
      <c r="B460" s="42" t="s">
        <v>379</v>
      </c>
      <c r="C460" s="42" t="s">
        <v>545</v>
      </c>
      <c r="D460" s="42" t="s">
        <v>171</v>
      </c>
      <c r="E460" s="42" t="s">
        <v>326</v>
      </c>
      <c r="F460" s="84"/>
      <c r="G460" s="11">
        <f>G461</f>
        <v>200</v>
      </c>
      <c r="H460" s="11">
        <f t="shared" si="265"/>
        <v>200</v>
      </c>
      <c r="I460" s="11">
        <f t="shared" si="265"/>
        <v>0</v>
      </c>
      <c r="J460" s="11">
        <f t="shared" si="265"/>
        <v>0</v>
      </c>
      <c r="K460" s="11">
        <f t="shared" si="265"/>
        <v>0</v>
      </c>
      <c r="L460" s="11">
        <f t="shared" si="265"/>
        <v>545</v>
      </c>
      <c r="M460" s="11">
        <f t="shared" si="265"/>
        <v>0</v>
      </c>
      <c r="N460" s="7">
        <f t="shared" ref="N460:N523" si="267">M460/L460*100</f>
        <v>0</v>
      </c>
    </row>
    <row r="461" spans="1:14" ht="15.75">
      <c r="A461" s="26" t="s">
        <v>327</v>
      </c>
      <c r="B461" s="42" t="s">
        <v>379</v>
      </c>
      <c r="C461" s="42" t="s">
        <v>545</v>
      </c>
      <c r="D461" s="42" t="s">
        <v>171</v>
      </c>
      <c r="E461" s="42" t="s">
        <v>328</v>
      </c>
      <c r="F461" s="84"/>
      <c r="G461" s="11">
        <f>'Прил.№4 ведомств.'!G393</f>
        <v>200</v>
      </c>
      <c r="H461" s="11">
        <f>'Прил.№4 ведомств.'!I393</f>
        <v>200</v>
      </c>
      <c r="I461" s="11">
        <f>'Прил.№4 ведомств.'!J393</f>
        <v>0</v>
      </c>
      <c r="J461" s="11">
        <f>'Прил.№4 ведомств.'!K393</f>
        <v>0</v>
      </c>
      <c r="K461" s="11">
        <f>'Прил.№4 ведомств.'!L393</f>
        <v>0</v>
      </c>
      <c r="L461" s="11">
        <f>'Прил.№4 ведомств.'!M831</f>
        <v>545</v>
      </c>
      <c r="M461" s="11">
        <f>'Прил.№4 ведомств.'!N831</f>
        <v>0</v>
      </c>
      <c r="N461" s="7">
        <f t="shared" si="267"/>
        <v>0</v>
      </c>
    </row>
    <row r="462" spans="1:14" ht="31.5">
      <c r="A462" s="47" t="s">
        <v>534</v>
      </c>
      <c r="B462" s="42" t="s">
        <v>377</v>
      </c>
      <c r="C462" s="42" t="s">
        <v>545</v>
      </c>
      <c r="D462" s="42" t="s">
        <v>171</v>
      </c>
      <c r="E462" s="84"/>
      <c r="F462" s="2">
        <v>907</v>
      </c>
      <c r="G462" s="11">
        <f>G456</f>
        <v>200</v>
      </c>
      <c r="H462" s="11">
        <f>H456</f>
        <v>200</v>
      </c>
      <c r="I462" s="11">
        <f>I456</f>
        <v>0</v>
      </c>
      <c r="J462" s="11">
        <f>J456</f>
        <v>0</v>
      </c>
      <c r="K462" s="11">
        <f>K456</f>
        <v>0</v>
      </c>
      <c r="L462" s="11">
        <f>L458</f>
        <v>545</v>
      </c>
      <c r="M462" s="11">
        <f t="shared" ref="M462" si="268">M458</f>
        <v>0</v>
      </c>
      <c r="N462" s="7">
        <f t="shared" si="267"/>
        <v>0</v>
      </c>
    </row>
    <row r="463" spans="1:14" ht="47.25">
      <c r="A463" s="43" t="s">
        <v>596</v>
      </c>
      <c r="B463" s="8" t="s">
        <v>597</v>
      </c>
      <c r="C463" s="2"/>
      <c r="D463" s="2"/>
      <c r="E463" s="2"/>
      <c r="F463" s="2"/>
      <c r="G463" s="68">
        <f>G464+G482</f>
        <v>12375.499999999998</v>
      </c>
      <c r="H463" s="68">
        <f t="shared" ref="H463:L463" si="269">H464+H482</f>
        <v>3394.8</v>
      </c>
      <c r="I463" s="68">
        <f t="shared" si="269"/>
        <v>16123</v>
      </c>
      <c r="J463" s="68">
        <f t="shared" si="269"/>
        <v>16291.599999999999</v>
      </c>
      <c r="K463" s="68">
        <f t="shared" si="269"/>
        <v>18205.7</v>
      </c>
      <c r="L463" s="68">
        <f t="shared" si="269"/>
        <v>18293.899999999998</v>
      </c>
      <c r="M463" s="68">
        <f t="shared" ref="M463" si="270">M464+M482</f>
        <v>1602.8</v>
      </c>
      <c r="N463" s="4">
        <f t="shared" si="267"/>
        <v>8.7613904088248002</v>
      </c>
    </row>
    <row r="464" spans="1:14" ht="47.25">
      <c r="A464" s="43" t="s">
        <v>598</v>
      </c>
      <c r="B464" s="8" t="s">
        <v>599</v>
      </c>
      <c r="C464" s="8"/>
      <c r="D464" s="8"/>
      <c r="E464" s="3"/>
      <c r="F464" s="3"/>
      <c r="G464" s="68">
        <f>G465</f>
        <v>8697.2999999999993</v>
      </c>
      <c r="H464" s="68">
        <f t="shared" ref="H464:M465" si="271">H465</f>
        <v>1853.4</v>
      </c>
      <c r="I464" s="68">
        <f t="shared" si="271"/>
        <v>11055.8</v>
      </c>
      <c r="J464" s="68">
        <f t="shared" si="271"/>
        <v>10998</v>
      </c>
      <c r="K464" s="68">
        <f t="shared" si="271"/>
        <v>12675.6</v>
      </c>
      <c r="L464" s="68">
        <f t="shared" si="271"/>
        <v>13226.699999999999</v>
      </c>
      <c r="M464" s="68">
        <f t="shared" si="271"/>
        <v>1587.7</v>
      </c>
      <c r="N464" s="4">
        <f t="shared" si="267"/>
        <v>12.003749990549419</v>
      </c>
    </row>
    <row r="465" spans="1:14" ht="15.75">
      <c r="A465" s="84" t="s">
        <v>444</v>
      </c>
      <c r="B465" s="42" t="s">
        <v>599</v>
      </c>
      <c r="C465" s="42" t="s">
        <v>287</v>
      </c>
      <c r="D465" s="42"/>
      <c r="E465" s="2"/>
      <c r="F465" s="2"/>
      <c r="G465" s="11">
        <f>G466</f>
        <v>8697.2999999999993</v>
      </c>
      <c r="H465" s="11">
        <f t="shared" si="271"/>
        <v>1853.4</v>
      </c>
      <c r="I465" s="11">
        <f t="shared" si="271"/>
        <v>11055.8</v>
      </c>
      <c r="J465" s="11">
        <f t="shared" si="271"/>
        <v>10998</v>
      </c>
      <c r="K465" s="11">
        <f t="shared" si="271"/>
        <v>12675.6</v>
      </c>
      <c r="L465" s="11">
        <f t="shared" si="271"/>
        <v>13226.699999999999</v>
      </c>
      <c r="M465" s="11">
        <f t="shared" si="271"/>
        <v>1587.7</v>
      </c>
      <c r="N465" s="7">
        <f t="shared" si="267"/>
        <v>12.003749990549419</v>
      </c>
    </row>
    <row r="466" spans="1:14" ht="15.75">
      <c r="A466" s="84" t="s">
        <v>595</v>
      </c>
      <c r="B466" s="42" t="s">
        <v>599</v>
      </c>
      <c r="C466" s="42" t="s">
        <v>287</v>
      </c>
      <c r="D466" s="42" t="s">
        <v>268</v>
      </c>
      <c r="E466" s="2"/>
      <c r="F466" s="2"/>
      <c r="G466" s="11">
        <f>G467+G470+G475</f>
        <v>8697.2999999999993</v>
      </c>
      <c r="H466" s="11">
        <f t="shared" ref="H466:K466" si="272">H467+H470+H475</f>
        <v>1853.4</v>
      </c>
      <c r="I466" s="11">
        <f t="shared" si="272"/>
        <v>11055.8</v>
      </c>
      <c r="J466" s="11">
        <f t="shared" si="272"/>
        <v>10998</v>
      </c>
      <c r="K466" s="11">
        <f t="shared" si="272"/>
        <v>12675.6</v>
      </c>
      <c r="L466" s="11">
        <f>L467+L470+L475+L478</f>
        <v>13226.699999999999</v>
      </c>
      <c r="M466" s="11">
        <f t="shared" ref="M466" si="273">M467+M470+M475+M478</f>
        <v>1587.7</v>
      </c>
      <c r="N466" s="7">
        <f t="shared" si="267"/>
        <v>12.003749990549419</v>
      </c>
    </row>
    <row r="467" spans="1:14" ht="15.75">
      <c r="A467" s="26" t="s">
        <v>600</v>
      </c>
      <c r="B467" s="21" t="s">
        <v>601</v>
      </c>
      <c r="C467" s="42" t="s">
        <v>287</v>
      </c>
      <c r="D467" s="42" t="s">
        <v>268</v>
      </c>
      <c r="E467" s="2"/>
      <c r="F467" s="2"/>
      <c r="G467" s="11">
        <f>G468</f>
        <v>253.4</v>
      </c>
      <c r="H467" s="11">
        <f t="shared" ref="H467:M468" si="274">H468</f>
        <v>253.4</v>
      </c>
      <c r="I467" s="11">
        <f t="shared" si="274"/>
        <v>356</v>
      </c>
      <c r="J467" s="11">
        <f t="shared" si="274"/>
        <v>371</v>
      </c>
      <c r="K467" s="11">
        <f t="shared" si="274"/>
        <v>378</v>
      </c>
      <c r="L467" s="11">
        <f t="shared" si="274"/>
        <v>356</v>
      </c>
      <c r="M467" s="11">
        <f t="shared" si="274"/>
        <v>0</v>
      </c>
      <c r="N467" s="7">
        <f t="shared" si="267"/>
        <v>0</v>
      </c>
    </row>
    <row r="468" spans="1:14" ht="51" customHeight="1">
      <c r="A468" s="26" t="s">
        <v>184</v>
      </c>
      <c r="B468" s="21" t="s">
        <v>601</v>
      </c>
      <c r="C468" s="42" t="s">
        <v>287</v>
      </c>
      <c r="D468" s="42" t="s">
        <v>268</v>
      </c>
      <c r="E468" s="2">
        <v>200</v>
      </c>
      <c r="F468" s="2"/>
      <c r="G468" s="11">
        <f>G469</f>
        <v>253.4</v>
      </c>
      <c r="H468" s="11">
        <f t="shared" si="274"/>
        <v>253.4</v>
      </c>
      <c r="I468" s="11">
        <f t="shared" si="274"/>
        <v>356</v>
      </c>
      <c r="J468" s="11">
        <f t="shared" si="274"/>
        <v>371</v>
      </c>
      <c r="K468" s="11">
        <f t="shared" si="274"/>
        <v>378</v>
      </c>
      <c r="L468" s="11">
        <f t="shared" si="274"/>
        <v>356</v>
      </c>
      <c r="M468" s="11">
        <f t="shared" si="274"/>
        <v>0</v>
      </c>
      <c r="N468" s="7">
        <f t="shared" si="267"/>
        <v>0</v>
      </c>
    </row>
    <row r="469" spans="1:14" ht="31.5">
      <c r="A469" s="26" t="s">
        <v>186</v>
      </c>
      <c r="B469" s="21" t="s">
        <v>601</v>
      </c>
      <c r="C469" s="42" t="s">
        <v>287</v>
      </c>
      <c r="D469" s="42" t="s">
        <v>268</v>
      </c>
      <c r="E469" s="2">
        <v>240</v>
      </c>
      <c r="F469" s="2"/>
      <c r="G469" s="11">
        <f>'Прил.№4 ведомств.'!G970</f>
        <v>253.4</v>
      </c>
      <c r="H469" s="11">
        <f>'Прил.№4 ведомств.'!I970</f>
        <v>253.4</v>
      </c>
      <c r="I469" s="11">
        <f>'Прил.№4 ведомств.'!J970</f>
        <v>356</v>
      </c>
      <c r="J469" s="11">
        <f>'Прил.№4 ведомств.'!K970</f>
        <v>371</v>
      </c>
      <c r="K469" s="11">
        <f>'Прил.№4 ведомств.'!L970</f>
        <v>378</v>
      </c>
      <c r="L469" s="11">
        <f>'Прил.№4 ведомств.'!M970</f>
        <v>356</v>
      </c>
      <c r="M469" s="11">
        <f>'Прил.№4 ведомств.'!N970</f>
        <v>0</v>
      </c>
      <c r="N469" s="7">
        <f t="shared" si="267"/>
        <v>0</v>
      </c>
    </row>
    <row r="470" spans="1:14" ht="31.5" customHeight="1">
      <c r="A470" s="26" t="s">
        <v>602</v>
      </c>
      <c r="B470" s="21" t="s">
        <v>603</v>
      </c>
      <c r="C470" s="42" t="s">
        <v>287</v>
      </c>
      <c r="D470" s="42" t="s">
        <v>268</v>
      </c>
      <c r="E470" s="2"/>
      <c r="F470" s="2"/>
      <c r="G470" s="11">
        <f>G471</f>
        <v>5258.6</v>
      </c>
      <c r="H470" s="11">
        <f t="shared" ref="H470:M471" si="275">H471</f>
        <v>1500</v>
      </c>
      <c r="I470" s="11">
        <f t="shared" si="275"/>
        <v>6383</v>
      </c>
      <c r="J470" s="11">
        <f t="shared" si="275"/>
        <v>6266.6</v>
      </c>
      <c r="K470" s="11">
        <f t="shared" si="275"/>
        <v>6060</v>
      </c>
      <c r="L470" s="11">
        <f>L471+L473</f>
        <v>6383</v>
      </c>
      <c r="M470" s="11">
        <f t="shared" ref="M470" si="276">M471+M473</f>
        <v>4.7</v>
      </c>
      <c r="N470" s="7">
        <f t="shared" si="267"/>
        <v>7.363308788970703E-2</v>
      </c>
    </row>
    <row r="471" spans="1:14" ht="31.5">
      <c r="A471" s="26" t="s">
        <v>184</v>
      </c>
      <c r="B471" s="21" t="s">
        <v>603</v>
      </c>
      <c r="C471" s="42" t="s">
        <v>287</v>
      </c>
      <c r="D471" s="42" t="s">
        <v>268</v>
      </c>
      <c r="E471" s="2">
        <v>200</v>
      </c>
      <c r="F471" s="2"/>
      <c r="G471" s="11">
        <f>G472</f>
        <v>5258.6</v>
      </c>
      <c r="H471" s="11">
        <f t="shared" si="275"/>
        <v>1500</v>
      </c>
      <c r="I471" s="11">
        <f t="shared" si="275"/>
        <v>6383</v>
      </c>
      <c r="J471" s="11">
        <f t="shared" si="275"/>
        <v>6266.6</v>
      </c>
      <c r="K471" s="11">
        <f t="shared" si="275"/>
        <v>6060</v>
      </c>
      <c r="L471" s="11">
        <f t="shared" si="275"/>
        <v>6379.6</v>
      </c>
      <c r="M471" s="11">
        <f t="shared" si="275"/>
        <v>4.7</v>
      </c>
      <c r="N471" s="7">
        <f t="shared" si="267"/>
        <v>7.3672330553639725E-2</v>
      </c>
    </row>
    <row r="472" spans="1:14" ht="31.5">
      <c r="A472" s="26" t="s">
        <v>186</v>
      </c>
      <c r="B472" s="21" t="s">
        <v>603</v>
      </c>
      <c r="C472" s="42" t="s">
        <v>287</v>
      </c>
      <c r="D472" s="42" t="s">
        <v>268</v>
      </c>
      <c r="E472" s="2">
        <v>240</v>
      </c>
      <c r="F472" s="2"/>
      <c r="G472" s="11">
        <f>'Прил.№4 ведомств.'!G973</f>
        <v>5258.6</v>
      </c>
      <c r="H472" s="11">
        <f>'Прил.№4 ведомств.'!I973</f>
        <v>1500</v>
      </c>
      <c r="I472" s="11">
        <f>'Прил.№4 ведомств.'!J973</f>
        <v>6383</v>
      </c>
      <c r="J472" s="11">
        <f>'Прил.№4 ведомств.'!K973</f>
        <v>6266.6</v>
      </c>
      <c r="K472" s="11">
        <f>'Прил.№4 ведомств.'!L973</f>
        <v>6060</v>
      </c>
      <c r="L472" s="11">
        <f>'Прил.№4 ведомств.'!M973</f>
        <v>6379.6</v>
      </c>
      <c r="M472" s="11">
        <f>'Прил.№4 ведомств.'!N973</f>
        <v>4.7</v>
      </c>
      <c r="N472" s="7">
        <f t="shared" si="267"/>
        <v>7.3672330553639725E-2</v>
      </c>
    </row>
    <row r="473" spans="1:14" ht="15.75">
      <c r="A473" s="26" t="s">
        <v>188</v>
      </c>
      <c r="B473" s="21" t="s">
        <v>603</v>
      </c>
      <c r="C473" s="42" t="s">
        <v>287</v>
      </c>
      <c r="D473" s="42" t="s">
        <v>268</v>
      </c>
      <c r="E473" s="2">
        <v>800</v>
      </c>
      <c r="F473" s="2"/>
      <c r="G473" s="11"/>
      <c r="H473" s="11"/>
      <c r="I473" s="11"/>
      <c r="J473" s="11"/>
      <c r="K473" s="11"/>
      <c r="L473" s="11">
        <f>L474</f>
        <v>3.4</v>
      </c>
      <c r="M473" s="11">
        <f t="shared" ref="M473" si="277">M474</f>
        <v>0</v>
      </c>
      <c r="N473" s="7">
        <f t="shared" si="267"/>
        <v>0</v>
      </c>
    </row>
    <row r="474" spans="1:14" ht="15.75">
      <c r="A474" s="26" t="s">
        <v>622</v>
      </c>
      <c r="B474" s="21" t="s">
        <v>603</v>
      </c>
      <c r="C474" s="42" t="s">
        <v>287</v>
      </c>
      <c r="D474" s="42" t="s">
        <v>268</v>
      </c>
      <c r="E474" s="2">
        <v>850</v>
      </c>
      <c r="F474" s="2"/>
      <c r="G474" s="11"/>
      <c r="H474" s="11"/>
      <c r="I474" s="11"/>
      <c r="J474" s="11"/>
      <c r="K474" s="11"/>
      <c r="L474" s="11">
        <f>'Прил.№4 ведомств.'!M975</f>
        <v>3.4</v>
      </c>
      <c r="M474" s="11">
        <f>'Прил.№4 ведомств.'!N975</f>
        <v>0</v>
      </c>
      <c r="N474" s="7">
        <f t="shared" si="267"/>
        <v>0</v>
      </c>
    </row>
    <row r="475" spans="1:14" ht="15.75">
      <c r="A475" s="26" t="s">
        <v>604</v>
      </c>
      <c r="B475" s="21" t="s">
        <v>605</v>
      </c>
      <c r="C475" s="42" t="s">
        <v>287</v>
      </c>
      <c r="D475" s="42" t="s">
        <v>268</v>
      </c>
      <c r="E475" s="2"/>
      <c r="F475" s="2"/>
      <c r="G475" s="11">
        <f>G476</f>
        <v>3185.3</v>
      </c>
      <c r="H475" s="11">
        <f t="shared" ref="H475:M476" si="278">H476</f>
        <v>100</v>
      </c>
      <c r="I475" s="11">
        <f t="shared" si="278"/>
        <v>4316.8</v>
      </c>
      <c r="J475" s="11">
        <f t="shared" si="278"/>
        <v>4360.3999999999996</v>
      </c>
      <c r="K475" s="11">
        <f t="shared" si="278"/>
        <v>6237.6</v>
      </c>
      <c r="L475" s="11">
        <f t="shared" si="278"/>
        <v>4316.8</v>
      </c>
      <c r="M475" s="11">
        <f t="shared" si="278"/>
        <v>0</v>
      </c>
      <c r="N475" s="7">
        <f t="shared" si="267"/>
        <v>0</v>
      </c>
    </row>
    <row r="476" spans="1:14" ht="31.5">
      <c r="A476" s="26" t="s">
        <v>184</v>
      </c>
      <c r="B476" s="21" t="s">
        <v>605</v>
      </c>
      <c r="C476" s="42" t="s">
        <v>287</v>
      </c>
      <c r="D476" s="42" t="s">
        <v>268</v>
      </c>
      <c r="E476" s="2">
        <v>200</v>
      </c>
      <c r="F476" s="2"/>
      <c r="G476" s="11">
        <f>G477</f>
        <v>3185.3</v>
      </c>
      <c r="H476" s="11">
        <f t="shared" si="278"/>
        <v>100</v>
      </c>
      <c r="I476" s="11">
        <f t="shared" si="278"/>
        <v>4316.8</v>
      </c>
      <c r="J476" s="11">
        <f t="shared" si="278"/>
        <v>4360.3999999999996</v>
      </c>
      <c r="K476" s="11">
        <f t="shared" si="278"/>
        <v>6237.6</v>
      </c>
      <c r="L476" s="11">
        <f t="shared" si="278"/>
        <v>4316.8</v>
      </c>
      <c r="M476" s="11">
        <f t="shared" si="278"/>
        <v>0</v>
      </c>
      <c r="N476" s="7">
        <f t="shared" si="267"/>
        <v>0</v>
      </c>
    </row>
    <row r="477" spans="1:14" ht="31.5">
      <c r="A477" s="26" t="s">
        <v>186</v>
      </c>
      <c r="B477" s="21" t="s">
        <v>605</v>
      </c>
      <c r="C477" s="42" t="s">
        <v>287</v>
      </c>
      <c r="D477" s="42" t="s">
        <v>268</v>
      </c>
      <c r="E477" s="2">
        <v>240</v>
      </c>
      <c r="F477" s="2"/>
      <c r="G477" s="11">
        <f>'Прил.№4 ведомств.'!G978</f>
        <v>3185.3</v>
      </c>
      <c r="H477" s="11">
        <f>'Прил.№4 ведомств.'!I978</f>
        <v>100</v>
      </c>
      <c r="I477" s="11">
        <f>'Прил.№4 ведомств.'!J978</f>
        <v>4316.8</v>
      </c>
      <c r="J477" s="11">
        <f>'Прил.№4 ведомств.'!K978</f>
        <v>4360.3999999999996</v>
      </c>
      <c r="K477" s="11">
        <f>'Прил.№4 ведомств.'!L978</f>
        <v>6237.6</v>
      </c>
      <c r="L477" s="11">
        <f>'Прил.№4 ведомств.'!M978</f>
        <v>4316.8</v>
      </c>
      <c r="M477" s="11">
        <f>'Прил.№4 ведомств.'!N978</f>
        <v>0</v>
      </c>
      <c r="N477" s="7">
        <f t="shared" si="267"/>
        <v>0</v>
      </c>
    </row>
    <row r="478" spans="1:14" ht="31.5">
      <c r="A478" s="26" t="s">
        <v>615</v>
      </c>
      <c r="B478" s="21" t="s">
        <v>991</v>
      </c>
      <c r="C478" s="42" t="s">
        <v>937</v>
      </c>
      <c r="D478" s="42" t="s">
        <v>268</v>
      </c>
      <c r="E478" s="2"/>
      <c r="F478" s="2"/>
      <c r="G478" s="11"/>
      <c r="H478" s="11"/>
      <c r="I478" s="11"/>
      <c r="J478" s="11"/>
      <c r="K478" s="11"/>
      <c r="L478" s="11">
        <f>L479</f>
        <v>2170.9</v>
      </c>
      <c r="M478" s="11">
        <f t="shared" ref="M478:M479" si="279">M479</f>
        <v>1583</v>
      </c>
      <c r="N478" s="7">
        <f t="shared" si="267"/>
        <v>72.919065825233773</v>
      </c>
    </row>
    <row r="479" spans="1:14" ht="31.5">
      <c r="A479" s="26" t="s">
        <v>184</v>
      </c>
      <c r="B479" s="21" t="s">
        <v>991</v>
      </c>
      <c r="C479" s="42" t="s">
        <v>937</v>
      </c>
      <c r="D479" s="42" t="s">
        <v>268</v>
      </c>
      <c r="E479" s="2">
        <v>200</v>
      </c>
      <c r="F479" s="2"/>
      <c r="G479" s="11"/>
      <c r="H479" s="11"/>
      <c r="I479" s="11"/>
      <c r="J479" s="11"/>
      <c r="K479" s="11"/>
      <c r="L479" s="11">
        <f>L480</f>
        <v>2170.9</v>
      </c>
      <c r="M479" s="11">
        <f t="shared" si="279"/>
        <v>1583</v>
      </c>
      <c r="N479" s="7">
        <f t="shared" si="267"/>
        <v>72.919065825233773</v>
      </c>
    </row>
    <row r="480" spans="1:14" ht="31.5">
      <c r="A480" s="26" t="s">
        <v>186</v>
      </c>
      <c r="B480" s="21" t="s">
        <v>991</v>
      </c>
      <c r="C480" s="42" t="s">
        <v>937</v>
      </c>
      <c r="D480" s="42" t="s">
        <v>268</v>
      </c>
      <c r="E480" s="2">
        <v>240</v>
      </c>
      <c r="F480" s="2"/>
      <c r="G480" s="11"/>
      <c r="H480" s="11"/>
      <c r="I480" s="11"/>
      <c r="J480" s="11"/>
      <c r="K480" s="11"/>
      <c r="L480" s="11">
        <f>'Прил.№4 ведомств.'!M981</f>
        <v>2170.9</v>
      </c>
      <c r="M480" s="11">
        <f>'Прил.№4 ведомств.'!N981</f>
        <v>1583</v>
      </c>
      <c r="N480" s="7">
        <f t="shared" si="267"/>
        <v>72.919065825233773</v>
      </c>
    </row>
    <row r="481" spans="1:14" ht="31.5">
      <c r="A481" s="47" t="s">
        <v>703</v>
      </c>
      <c r="B481" s="42" t="s">
        <v>599</v>
      </c>
      <c r="C481" s="42" t="s">
        <v>287</v>
      </c>
      <c r="D481" s="42" t="s">
        <v>268</v>
      </c>
      <c r="E481" s="2"/>
      <c r="F481" s="2">
        <v>908</v>
      </c>
      <c r="G481" s="11">
        <f>G464</f>
        <v>8697.2999999999993</v>
      </c>
      <c r="H481" s="11">
        <f t="shared" ref="H481:L481" si="280">H464</f>
        <v>1853.4</v>
      </c>
      <c r="I481" s="11">
        <f t="shared" si="280"/>
        <v>11055.8</v>
      </c>
      <c r="J481" s="11">
        <f t="shared" si="280"/>
        <v>10998</v>
      </c>
      <c r="K481" s="11">
        <f t="shared" si="280"/>
        <v>12675.6</v>
      </c>
      <c r="L481" s="11">
        <f t="shared" si="280"/>
        <v>13226.699999999999</v>
      </c>
      <c r="M481" s="11">
        <f t="shared" ref="M481" si="281">M464</f>
        <v>1587.7</v>
      </c>
      <c r="N481" s="7">
        <f t="shared" si="267"/>
        <v>12.003749990549419</v>
      </c>
    </row>
    <row r="482" spans="1:14" ht="47.25">
      <c r="A482" s="24" t="s">
        <v>606</v>
      </c>
      <c r="B482" s="8" t="s">
        <v>607</v>
      </c>
      <c r="C482" s="8"/>
      <c r="D482" s="8"/>
      <c r="E482" s="3"/>
      <c r="F482" s="3"/>
      <c r="G482" s="68">
        <f>G483</f>
        <v>3678.1999999999994</v>
      </c>
      <c r="H482" s="68">
        <f t="shared" ref="H482:M483" si="282">H483</f>
        <v>1541.4</v>
      </c>
      <c r="I482" s="68">
        <f t="shared" si="282"/>
        <v>5067.2</v>
      </c>
      <c r="J482" s="68">
        <f t="shared" si="282"/>
        <v>5293.5999999999995</v>
      </c>
      <c r="K482" s="68">
        <f t="shared" si="282"/>
        <v>5530.0999999999995</v>
      </c>
      <c r="L482" s="68">
        <f t="shared" si="282"/>
        <v>5067.2</v>
      </c>
      <c r="M482" s="68">
        <f t="shared" si="282"/>
        <v>15.1</v>
      </c>
      <c r="N482" s="4">
        <f t="shared" si="267"/>
        <v>0.29799494790022102</v>
      </c>
    </row>
    <row r="483" spans="1:14" ht="15.75">
      <c r="A483" s="84" t="s">
        <v>444</v>
      </c>
      <c r="B483" s="42" t="s">
        <v>607</v>
      </c>
      <c r="C483" s="42" t="s">
        <v>287</v>
      </c>
      <c r="D483" s="42"/>
      <c r="E483" s="2"/>
      <c r="F483" s="2"/>
      <c r="G483" s="11">
        <f>G484</f>
        <v>3678.1999999999994</v>
      </c>
      <c r="H483" s="11">
        <f t="shared" si="282"/>
        <v>1541.4</v>
      </c>
      <c r="I483" s="11">
        <f t="shared" si="282"/>
        <v>5067.2</v>
      </c>
      <c r="J483" s="11">
        <f t="shared" si="282"/>
        <v>5293.5999999999995</v>
      </c>
      <c r="K483" s="11">
        <f t="shared" si="282"/>
        <v>5530.0999999999995</v>
      </c>
      <c r="L483" s="11">
        <f t="shared" si="282"/>
        <v>5067.2</v>
      </c>
      <c r="M483" s="11">
        <f t="shared" si="282"/>
        <v>15.1</v>
      </c>
      <c r="N483" s="7">
        <f t="shared" si="267"/>
        <v>0.29799494790022102</v>
      </c>
    </row>
    <row r="484" spans="1:14" ht="15.75">
      <c r="A484" s="84" t="s">
        <v>595</v>
      </c>
      <c r="B484" s="42" t="s">
        <v>607</v>
      </c>
      <c r="C484" s="42" t="s">
        <v>287</v>
      </c>
      <c r="D484" s="42" t="s">
        <v>268</v>
      </c>
      <c r="E484" s="2"/>
      <c r="F484" s="2"/>
      <c r="G484" s="11">
        <f>G485+G490+G493+G496</f>
        <v>3678.1999999999994</v>
      </c>
      <c r="H484" s="11">
        <f t="shared" ref="H484:L484" si="283">H485+H490+H493+H496</f>
        <v>1541.4</v>
      </c>
      <c r="I484" s="11">
        <f t="shared" si="283"/>
        <v>5067.2</v>
      </c>
      <c r="J484" s="11">
        <f t="shared" si="283"/>
        <v>5293.5999999999995</v>
      </c>
      <c r="K484" s="11">
        <f t="shared" si="283"/>
        <v>5530.0999999999995</v>
      </c>
      <c r="L484" s="11">
        <f t="shared" si="283"/>
        <v>5067.2</v>
      </c>
      <c r="M484" s="11">
        <f t="shared" ref="M484" si="284">M485+M490+M493+M496</f>
        <v>15.1</v>
      </c>
      <c r="N484" s="7">
        <f t="shared" si="267"/>
        <v>0.29799494790022102</v>
      </c>
    </row>
    <row r="485" spans="1:14" ht="15.75">
      <c r="A485" s="26" t="s">
        <v>604</v>
      </c>
      <c r="B485" s="21" t="s">
        <v>608</v>
      </c>
      <c r="C485" s="42" t="s">
        <v>287</v>
      </c>
      <c r="D485" s="42" t="s">
        <v>268</v>
      </c>
      <c r="E485" s="2"/>
      <c r="F485" s="2"/>
      <c r="G485" s="11">
        <f>G486+G488</f>
        <v>1112.3999999999999</v>
      </c>
      <c r="H485" s="11">
        <f t="shared" ref="H485:L485" si="285">H486+H488</f>
        <v>992.8</v>
      </c>
      <c r="I485" s="11">
        <f t="shared" si="285"/>
        <v>1364</v>
      </c>
      <c r="J485" s="11">
        <f t="shared" si="285"/>
        <v>1430.3</v>
      </c>
      <c r="K485" s="11">
        <f t="shared" si="285"/>
        <v>1500</v>
      </c>
      <c r="L485" s="11">
        <f t="shared" si="285"/>
        <v>1364</v>
      </c>
      <c r="M485" s="11">
        <f t="shared" ref="M485" si="286">M486+M488</f>
        <v>0</v>
      </c>
      <c r="N485" s="7">
        <f t="shared" si="267"/>
        <v>0</v>
      </c>
    </row>
    <row r="486" spans="1:14" ht="78.75" hidden="1">
      <c r="A486" s="26" t="s">
        <v>180</v>
      </c>
      <c r="B486" s="21" t="s">
        <v>608</v>
      </c>
      <c r="C486" s="42" t="s">
        <v>287</v>
      </c>
      <c r="D486" s="42" t="s">
        <v>268</v>
      </c>
      <c r="E486" s="2">
        <v>100</v>
      </c>
      <c r="F486" s="2"/>
      <c r="G486" s="11">
        <f>G487</f>
        <v>892.8</v>
      </c>
      <c r="H486" s="11">
        <f t="shared" ref="H486:M486" si="287">H487</f>
        <v>892.8</v>
      </c>
      <c r="I486" s="11">
        <f t="shared" si="287"/>
        <v>0</v>
      </c>
      <c r="J486" s="11">
        <f t="shared" si="287"/>
        <v>0</v>
      </c>
      <c r="K486" s="11">
        <f t="shared" si="287"/>
        <v>0</v>
      </c>
      <c r="L486" s="11">
        <f t="shared" si="287"/>
        <v>0</v>
      </c>
      <c r="M486" s="11">
        <f t="shared" si="287"/>
        <v>0</v>
      </c>
      <c r="N486" s="7" t="e">
        <f t="shared" si="267"/>
        <v>#DIV/0!</v>
      </c>
    </row>
    <row r="487" spans="1:14" ht="15.75" hidden="1">
      <c r="A487" s="48" t="s">
        <v>395</v>
      </c>
      <c r="B487" s="21" t="s">
        <v>608</v>
      </c>
      <c r="C487" s="42" t="s">
        <v>287</v>
      </c>
      <c r="D487" s="42" t="s">
        <v>268</v>
      </c>
      <c r="E487" s="2">
        <v>110</v>
      </c>
      <c r="F487" s="2"/>
      <c r="G487" s="11">
        <f>'Прил.№4 ведомств.'!G985</f>
        <v>892.8</v>
      </c>
      <c r="H487" s="11">
        <f>'Прил.№4 ведомств.'!I985</f>
        <v>892.8</v>
      </c>
      <c r="I487" s="11">
        <f>'Прил.№4 ведомств.'!J985</f>
        <v>0</v>
      </c>
      <c r="J487" s="11">
        <f>'Прил.№4 ведомств.'!K985</f>
        <v>0</v>
      </c>
      <c r="K487" s="11">
        <f>'Прил.№4 ведомств.'!L985</f>
        <v>0</v>
      </c>
      <c r="L487" s="11">
        <f>'Прил.№4 ведомств.'!M985</f>
        <v>0</v>
      </c>
      <c r="M487" s="11">
        <f>'Прил.№4 ведомств.'!N985</f>
        <v>0</v>
      </c>
      <c r="N487" s="7" t="e">
        <f t="shared" si="267"/>
        <v>#DIV/0!</v>
      </c>
    </row>
    <row r="488" spans="1:14" ht="31.5">
      <c r="A488" s="26" t="s">
        <v>184</v>
      </c>
      <c r="B488" s="21" t="s">
        <v>608</v>
      </c>
      <c r="C488" s="42" t="s">
        <v>287</v>
      </c>
      <c r="D488" s="42" t="s">
        <v>268</v>
      </c>
      <c r="E488" s="2">
        <v>200</v>
      </c>
      <c r="F488" s="2"/>
      <c r="G488" s="11">
        <f>G489</f>
        <v>219.6</v>
      </c>
      <c r="H488" s="11">
        <f t="shared" ref="H488:M488" si="288">H489</f>
        <v>100</v>
      </c>
      <c r="I488" s="11">
        <f t="shared" si="288"/>
        <v>1364</v>
      </c>
      <c r="J488" s="11">
        <f t="shared" si="288"/>
        <v>1430.3</v>
      </c>
      <c r="K488" s="11">
        <f t="shared" si="288"/>
        <v>1500</v>
      </c>
      <c r="L488" s="11">
        <f t="shared" si="288"/>
        <v>1364</v>
      </c>
      <c r="M488" s="11">
        <f t="shared" si="288"/>
        <v>0</v>
      </c>
      <c r="N488" s="7">
        <f t="shared" si="267"/>
        <v>0</v>
      </c>
    </row>
    <row r="489" spans="1:14" ht="31.5">
      <c r="A489" s="26" t="s">
        <v>186</v>
      </c>
      <c r="B489" s="21" t="s">
        <v>608</v>
      </c>
      <c r="C489" s="42" t="s">
        <v>287</v>
      </c>
      <c r="D489" s="42" t="s">
        <v>268</v>
      </c>
      <c r="E489" s="2">
        <v>240</v>
      </c>
      <c r="F489" s="2"/>
      <c r="G489" s="11">
        <f>'Прил.№4 ведомств.'!G987</f>
        <v>219.6</v>
      </c>
      <c r="H489" s="11">
        <f>'Прил.№4 ведомств.'!I987</f>
        <v>100</v>
      </c>
      <c r="I489" s="11">
        <f>'Прил.№4 ведомств.'!J987</f>
        <v>1364</v>
      </c>
      <c r="J489" s="11">
        <f>'Прил.№4 ведомств.'!K987</f>
        <v>1430.3</v>
      </c>
      <c r="K489" s="11">
        <f>'Прил.№4 ведомств.'!L987</f>
        <v>1500</v>
      </c>
      <c r="L489" s="11">
        <f>'Прил.№4 ведомств.'!M987</f>
        <v>1364</v>
      </c>
      <c r="M489" s="11">
        <f>'Прил.№4 ведомств.'!N987</f>
        <v>0</v>
      </c>
      <c r="N489" s="7">
        <f t="shared" si="267"/>
        <v>0</v>
      </c>
    </row>
    <row r="490" spans="1:14" ht="15.75">
      <c r="A490" s="26" t="s">
        <v>609</v>
      </c>
      <c r="B490" s="21" t="s">
        <v>610</v>
      </c>
      <c r="C490" s="42" t="s">
        <v>287</v>
      </c>
      <c r="D490" s="42" t="s">
        <v>268</v>
      </c>
      <c r="E490" s="2"/>
      <c r="F490" s="2"/>
      <c r="G490" s="11">
        <f>G491</f>
        <v>86.6</v>
      </c>
      <c r="H490" s="11">
        <f t="shared" ref="H490:M491" si="289">H491</f>
        <v>0</v>
      </c>
      <c r="I490" s="11">
        <f t="shared" si="289"/>
        <v>115.8</v>
      </c>
      <c r="J490" s="11">
        <f t="shared" si="289"/>
        <v>121.6</v>
      </c>
      <c r="K490" s="11">
        <f t="shared" si="289"/>
        <v>127.6</v>
      </c>
      <c r="L490" s="11">
        <f t="shared" si="289"/>
        <v>115.8</v>
      </c>
      <c r="M490" s="11">
        <f t="shared" si="289"/>
        <v>0</v>
      </c>
      <c r="N490" s="7">
        <f t="shared" si="267"/>
        <v>0</v>
      </c>
    </row>
    <row r="491" spans="1:14" ht="31.5">
      <c r="A491" s="26" t="s">
        <v>184</v>
      </c>
      <c r="B491" s="21" t="s">
        <v>610</v>
      </c>
      <c r="C491" s="42" t="s">
        <v>287</v>
      </c>
      <c r="D491" s="42" t="s">
        <v>268</v>
      </c>
      <c r="E491" s="2">
        <v>200</v>
      </c>
      <c r="F491" s="2"/>
      <c r="G491" s="11">
        <f>G492</f>
        <v>86.6</v>
      </c>
      <c r="H491" s="11">
        <f t="shared" si="289"/>
        <v>0</v>
      </c>
      <c r="I491" s="11">
        <f t="shared" si="289"/>
        <v>115.8</v>
      </c>
      <c r="J491" s="11">
        <f t="shared" si="289"/>
        <v>121.6</v>
      </c>
      <c r="K491" s="11">
        <f t="shared" si="289"/>
        <v>127.6</v>
      </c>
      <c r="L491" s="11">
        <f t="shared" si="289"/>
        <v>115.8</v>
      </c>
      <c r="M491" s="11">
        <f t="shared" si="289"/>
        <v>0</v>
      </c>
      <c r="N491" s="7">
        <f t="shared" si="267"/>
        <v>0</v>
      </c>
    </row>
    <row r="492" spans="1:14" ht="31.5">
      <c r="A492" s="26" t="s">
        <v>186</v>
      </c>
      <c r="B492" s="21" t="s">
        <v>610</v>
      </c>
      <c r="C492" s="42" t="s">
        <v>287</v>
      </c>
      <c r="D492" s="42" t="s">
        <v>268</v>
      </c>
      <c r="E492" s="2">
        <v>240</v>
      </c>
      <c r="F492" s="2"/>
      <c r="G492" s="11">
        <f>'Прил.№4 ведомств.'!G990</f>
        <v>86.6</v>
      </c>
      <c r="H492" s="11">
        <f>'Прил.№4 ведомств.'!I990</f>
        <v>0</v>
      </c>
      <c r="I492" s="11">
        <f>'Прил.№4 ведомств.'!J990</f>
        <v>115.8</v>
      </c>
      <c r="J492" s="11">
        <f>'Прил.№4 ведомств.'!K990</f>
        <v>121.6</v>
      </c>
      <c r="K492" s="11">
        <f>'Прил.№4 ведомств.'!L990</f>
        <v>127.6</v>
      </c>
      <c r="L492" s="11">
        <f>'Прил.№4 ведомств.'!M990</f>
        <v>115.8</v>
      </c>
      <c r="M492" s="11">
        <f>'Прил.№4 ведомств.'!N990</f>
        <v>0</v>
      </c>
      <c r="N492" s="7">
        <f t="shared" si="267"/>
        <v>0</v>
      </c>
    </row>
    <row r="493" spans="1:14" ht="47.25">
      <c r="A493" s="47" t="s">
        <v>611</v>
      </c>
      <c r="B493" s="21" t="s">
        <v>612</v>
      </c>
      <c r="C493" s="42" t="s">
        <v>287</v>
      </c>
      <c r="D493" s="42" t="s">
        <v>268</v>
      </c>
      <c r="E493" s="2"/>
      <c r="F493" s="2"/>
      <c r="G493" s="11">
        <f>G494</f>
        <v>2130.6</v>
      </c>
      <c r="H493" s="11">
        <f t="shared" ref="H493:M494" si="290">H494</f>
        <v>200</v>
      </c>
      <c r="I493" s="11">
        <f t="shared" si="290"/>
        <v>3124.2</v>
      </c>
      <c r="J493" s="11">
        <f t="shared" si="290"/>
        <v>3258.5</v>
      </c>
      <c r="K493" s="11">
        <f t="shared" si="290"/>
        <v>3398.6</v>
      </c>
      <c r="L493" s="11">
        <f t="shared" si="290"/>
        <v>3124.2</v>
      </c>
      <c r="M493" s="11">
        <f t="shared" si="290"/>
        <v>0</v>
      </c>
      <c r="N493" s="7">
        <f t="shared" si="267"/>
        <v>0</v>
      </c>
    </row>
    <row r="494" spans="1:14" ht="31.5">
      <c r="A494" s="26" t="s">
        <v>184</v>
      </c>
      <c r="B494" s="21" t="s">
        <v>612</v>
      </c>
      <c r="C494" s="42" t="s">
        <v>287</v>
      </c>
      <c r="D494" s="42" t="s">
        <v>268</v>
      </c>
      <c r="E494" s="2">
        <v>200</v>
      </c>
      <c r="F494" s="2"/>
      <c r="G494" s="11">
        <f>G495</f>
        <v>2130.6</v>
      </c>
      <c r="H494" s="11">
        <f t="shared" si="290"/>
        <v>200</v>
      </c>
      <c r="I494" s="11">
        <f t="shared" si="290"/>
        <v>3124.2</v>
      </c>
      <c r="J494" s="11">
        <f t="shared" si="290"/>
        <v>3258.5</v>
      </c>
      <c r="K494" s="11">
        <f t="shared" si="290"/>
        <v>3398.6</v>
      </c>
      <c r="L494" s="11">
        <f t="shared" si="290"/>
        <v>3124.2</v>
      </c>
      <c r="M494" s="11">
        <f t="shared" si="290"/>
        <v>0</v>
      </c>
      <c r="N494" s="7">
        <f t="shared" si="267"/>
        <v>0</v>
      </c>
    </row>
    <row r="495" spans="1:14" ht="31.5">
      <c r="A495" s="26" t="s">
        <v>186</v>
      </c>
      <c r="B495" s="21" t="s">
        <v>612</v>
      </c>
      <c r="C495" s="42" t="s">
        <v>287</v>
      </c>
      <c r="D495" s="42" t="s">
        <v>268</v>
      </c>
      <c r="E495" s="2">
        <v>240</v>
      </c>
      <c r="F495" s="2"/>
      <c r="G495" s="11">
        <f>'Прил.№4 ведомств.'!G993</f>
        <v>2130.6</v>
      </c>
      <c r="H495" s="11">
        <f>'Прил.№4 ведомств.'!I993</f>
        <v>200</v>
      </c>
      <c r="I495" s="11">
        <f>'Прил.№4 ведомств.'!J993</f>
        <v>3124.2</v>
      </c>
      <c r="J495" s="11">
        <f>'Прил.№4 ведомств.'!K993</f>
        <v>3258.5</v>
      </c>
      <c r="K495" s="11">
        <f>'Прил.№4 ведомств.'!L993</f>
        <v>3398.6</v>
      </c>
      <c r="L495" s="11">
        <f>'Прил.№4 ведомств.'!M993</f>
        <v>3124.2</v>
      </c>
      <c r="M495" s="11">
        <f>'Прил.№4 ведомств.'!N993</f>
        <v>0</v>
      </c>
      <c r="N495" s="7">
        <f t="shared" si="267"/>
        <v>0</v>
      </c>
    </row>
    <row r="496" spans="1:14" ht="15.75">
      <c r="A496" s="47" t="s">
        <v>613</v>
      </c>
      <c r="B496" s="21" t="s">
        <v>614</v>
      </c>
      <c r="C496" s="42" t="s">
        <v>287</v>
      </c>
      <c r="D496" s="42" t="s">
        <v>268</v>
      </c>
      <c r="E496" s="2"/>
      <c r="F496" s="2"/>
      <c r="G496" s="11">
        <f>G497</f>
        <v>348.6</v>
      </c>
      <c r="H496" s="11">
        <f t="shared" ref="H496:M497" si="291">H497</f>
        <v>348.6</v>
      </c>
      <c r="I496" s="11">
        <f t="shared" si="291"/>
        <v>463.2</v>
      </c>
      <c r="J496" s="11">
        <f t="shared" si="291"/>
        <v>483.2</v>
      </c>
      <c r="K496" s="11">
        <f t="shared" si="291"/>
        <v>503.9</v>
      </c>
      <c r="L496" s="11">
        <f t="shared" si="291"/>
        <v>463.2</v>
      </c>
      <c r="M496" s="11">
        <f t="shared" si="291"/>
        <v>15.1</v>
      </c>
      <c r="N496" s="7">
        <f t="shared" si="267"/>
        <v>3.2599309153713301</v>
      </c>
    </row>
    <row r="497" spans="1:14" ht="31.5">
      <c r="A497" s="26" t="s">
        <v>184</v>
      </c>
      <c r="B497" s="21" t="s">
        <v>614</v>
      </c>
      <c r="C497" s="42" t="s">
        <v>287</v>
      </c>
      <c r="D497" s="42" t="s">
        <v>268</v>
      </c>
      <c r="E497" s="2">
        <v>200</v>
      </c>
      <c r="F497" s="2"/>
      <c r="G497" s="11">
        <f>G498</f>
        <v>348.6</v>
      </c>
      <c r="H497" s="11">
        <f t="shared" si="291"/>
        <v>348.6</v>
      </c>
      <c r="I497" s="11">
        <f t="shared" si="291"/>
        <v>463.2</v>
      </c>
      <c r="J497" s="11">
        <f t="shared" si="291"/>
        <v>483.2</v>
      </c>
      <c r="K497" s="11">
        <f t="shared" si="291"/>
        <v>503.9</v>
      </c>
      <c r="L497" s="11">
        <f t="shared" si="291"/>
        <v>463.2</v>
      </c>
      <c r="M497" s="11">
        <f t="shared" si="291"/>
        <v>15.1</v>
      </c>
      <c r="N497" s="7">
        <f t="shared" si="267"/>
        <v>3.2599309153713301</v>
      </c>
    </row>
    <row r="498" spans="1:14" ht="31.5">
      <c r="A498" s="26" t="s">
        <v>186</v>
      </c>
      <c r="B498" s="21" t="s">
        <v>614</v>
      </c>
      <c r="C498" s="42" t="s">
        <v>287</v>
      </c>
      <c r="D498" s="42" t="s">
        <v>268</v>
      </c>
      <c r="E498" s="2">
        <v>240</v>
      </c>
      <c r="F498" s="2"/>
      <c r="G498" s="11">
        <f>'Прил.№4 ведомств.'!G996</f>
        <v>348.6</v>
      </c>
      <c r="H498" s="11">
        <f>'Прил.№4 ведомств.'!I996</f>
        <v>348.6</v>
      </c>
      <c r="I498" s="11">
        <f>'Прил.№4 ведомств.'!J996</f>
        <v>463.2</v>
      </c>
      <c r="J498" s="11">
        <f>'Прил.№4 ведомств.'!K996</f>
        <v>483.2</v>
      </c>
      <c r="K498" s="11">
        <f>'Прил.№4 ведомств.'!L996</f>
        <v>503.9</v>
      </c>
      <c r="L498" s="11">
        <f>'Прил.№4 ведомств.'!M996</f>
        <v>463.2</v>
      </c>
      <c r="M498" s="11">
        <f>'Прил.№4 ведомств.'!N996</f>
        <v>15.1</v>
      </c>
      <c r="N498" s="7">
        <f t="shared" si="267"/>
        <v>3.2599309153713301</v>
      </c>
    </row>
    <row r="499" spans="1:14" ht="31.5">
      <c r="A499" s="47" t="s">
        <v>703</v>
      </c>
      <c r="B499" s="21" t="s">
        <v>607</v>
      </c>
      <c r="C499" s="42" t="s">
        <v>287</v>
      </c>
      <c r="D499" s="42" t="s">
        <v>268</v>
      </c>
      <c r="E499" s="2"/>
      <c r="F499" s="2">
        <v>908</v>
      </c>
      <c r="G499" s="11">
        <f>G482</f>
        <v>3678.1999999999994</v>
      </c>
      <c r="H499" s="11">
        <f t="shared" ref="H499:L499" si="292">H482</f>
        <v>1541.4</v>
      </c>
      <c r="I499" s="11">
        <f t="shared" si="292"/>
        <v>5067.2</v>
      </c>
      <c r="J499" s="11">
        <f t="shared" si="292"/>
        <v>5293.5999999999995</v>
      </c>
      <c r="K499" s="11">
        <f t="shared" si="292"/>
        <v>5530.0999999999995</v>
      </c>
      <c r="L499" s="11">
        <f t="shared" si="292"/>
        <v>5067.2</v>
      </c>
      <c r="M499" s="11">
        <f t="shared" ref="M499" si="293">M482</f>
        <v>15.1</v>
      </c>
      <c r="N499" s="7">
        <f t="shared" si="267"/>
        <v>0.29799494790022102</v>
      </c>
    </row>
    <row r="500" spans="1:14" ht="47.25">
      <c r="A500" s="36" t="s">
        <v>234</v>
      </c>
      <c r="B500" s="278" t="s">
        <v>235</v>
      </c>
      <c r="C500" s="8"/>
      <c r="D500" s="8"/>
      <c r="E500" s="8"/>
      <c r="F500" s="3"/>
      <c r="G500" s="68">
        <f>G501+G507</f>
        <v>120</v>
      </c>
      <c r="H500" s="68">
        <f t="shared" ref="H500:L500" si="294">H501+H507</f>
        <v>120</v>
      </c>
      <c r="I500" s="68">
        <f t="shared" si="294"/>
        <v>100</v>
      </c>
      <c r="J500" s="68">
        <f t="shared" si="294"/>
        <v>100</v>
      </c>
      <c r="K500" s="68">
        <f t="shared" si="294"/>
        <v>100</v>
      </c>
      <c r="L500" s="68">
        <f t="shared" si="294"/>
        <v>120</v>
      </c>
      <c r="M500" s="68">
        <f t="shared" ref="M500" si="295">M501+M507</f>
        <v>5</v>
      </c>
      <c r="N500" s="4">
        <f t="shared" si="267"/>
        <v>4.1666666666666661</v>
      </c>
    </row>
    <row r="501" spans="1:14" ht="15.75" hidden="1">
      <c r="A501" s="26" t="s">
        <v>170</v>
      </c>
      <c r="B501" s="6" t="s">
        <v>235</v>
      </c>
      <c r="C501" s="42" t="s">
        <v>171</v>
      </c>
      <c r="D501" s="42"/>
      <c r="E501" s="42"/>
      <c r="F501" s="2"/>
      <c r="G501" s="11">
        <f>G502</f>
        <v>120</v>
      </c>
      <c r="H501" s="11">
        <f t="shared" ref="H501:M504" si="296">H502</f>
        <v>120</v>
      </c>
      <c r="I501" s="11">
        <f t="shared" si="296"/>
        <v>0</v>
      </c>
      <c r="J501" s="11">
        <f t="shared" si="296"/>
        <v>0</v>
      </c>
      <c r="K501" s="11">
        <f t="shared" si="296"/>
        <v>0</v>
      </c>
      <c r="L501" s="11">
        <f t="shared" si="296"/>
        <v>0</v>
      </c>
      <c r="M501" s="11">
        <f t="shared" si="296"/>
        <v>0</v>
      </c>
      <c r="N501" s="4" t="e">
        <f t="shared" si="267"/>
        <v>#DIV/0!</v>
      </c>
    </row>
    <row r="502" spans="1:14" ht="15.75" hidden="1">
      <c r="A502" s="26" t="s">
        <v>192</v>
      </c>
      <c r="B502" s="32" t="s">
        <v>235</v>
      </c>
      <c r="C502" s="42" t="s">
        <v>171</v>
      </c>
      <c r="D502" s="42" t="s">
        <v>193</v>
      </c>
      <c r="E502" s="42"/>
      <c r="F502" s="2"/>
      <c r="G502" s="11">
        <f>G503</f>
        <v>120</v>
      </c>
      <c r="H502" s="11">
        <f t="shared" si="296"/>
        <v>120</v>
      </c>
      <c r="I502" s="11">
        <f t="shared" si="296"/>
        <v>0</v>
      </c>
      <c r="J502" s="11">
        <f t="shared" si="296"/>
        <v>0</v>
      </c>
      <c r="K502" s="11">
        <f t="shared" si="296"/>
        <v>0</v>
      </c>
      <c r="L502" s="11">
        <f t="shared" si="296"/>
        <v>0</v>
      </c>
      <c r="M502" s="11">
        <f t="shared" si="296"/>
        <v>0</v>
      </c>
      <c r="N502" s="4" t="e">
        <f t="shared" si="267"/>
        <v>#DIV/0!</v>
      </c>
    </row>
    <row r="503" spans="1:14" ht="31.5" hidden="1">
      <c r="A503" s="31" t="s">
        <v>210</v>
      </c>
      <c r="B503" s="21" t="s">
        <v>236</v>
      </c>
      <c r="C503" s="42" t="s">
        <v>171</v>
      </c>
      <c r="D503" s="42" t="s">
        <v>193</v>
      </c>
      <c r="E503" s="42"/>
      <c r="F503" s="2"/>
      <c r="G503" s="11">
        <f>G504</f>
        <v>120</v>
      </c>
      <c r="H503" s="11">
        <f t="shared" si="296"/>
        <v>120</v>
      </c>
      <c r="I503" s="11">
        <f t="shared" si="296"/>
        <v>0</v>
      </c>
      <c r="J503" s="11">
        <f t="shared" si="296"/>
        <v>0</v>
      </c>
      <c r="K503" s="11">
        <f t="shared" si="296"/>
        <v>0</v>
      </c>
      <c r="L503" s="11">
        <f t="shared" si="296"/>
        <v>0</v>
      </c>
      <c r="M503" s="11">
        <f t="shared" si="296"/>
        <v>0</v>
      </c>
      <c r="N503" s="4" t="e">
        <f t="shared" si="267"/>
        <v>#DIV/0!</v>
      </c>
    </row>
    <row r="504" spans="1:14" ht="31.5" hidden="1">
      <c r="A504" s="31" t="s">
        <v>184</v>
      </c>
      <c r="B504" s="21" t="s">
        <v>236</v>
      </c>
      <c r="C504" s="42" t="s">
        <v>171</v>
      </c>
      <c r="D504" s="42" t="s">
        <v>193</v>
      </c>
      <c r="E504" s="42" t="s">
        <v>198</v>
      </c>
      <c r="F504" s="2"/>
      <c r="G504" s="11">
        <f>G505</f>
        <v>120</v>
      </c>
      <c r="H504" s="11">
        <f t="shared" si="296"/>
        <v>120</v>
      </c>
      <c r="I504" s="11">
        <f t="shared" si="296"/>
        <v>0</v>
      </c>
      <c r="J504" s="11">
        <f t="shared" si="296"/>
        <v>0</v>
      </c>
      <c r="K504" s="11">
        <f t="shared" si="296"/>
        <v>0</v>
      </c>
      <c r="L504" s="11">
        <f t="shared" si="296"/>
        <v>0</v>
      </c>
      <c r="M504" s="11">
        <f t="shared" si="296"/>
        <v>0</v>
      </c>
      <c r="N504" s="4" t="e">
        <f t="shared" si="267"/>
        <v>#DIV/0!</v>
      </c>
    </row>
    <row r="505" spans="1:14" ht="47.25" hidden="1">
      <c r="A505" s="31" t="s">
        <v>237</v>
      </c>
      <c r="B505" s="21" t="s">
        <v>236</v>
      </c>
      <c r="C505" s="42" t="s">
        <v>171</v>
      </c>
      <c r="D505" s="42" t="s">
        <v>193</v>
      </c>
      <c r="E505" s="42" t="s">
        <v>213</v>
      </c>
      <c r="F505" s="2"/>
      <c r="G505" s="11">
        <f>'Прил.№4 ведомств.'!G96</f>
        <v>120</v>
      </c>
      <c r="H505" s="11">
        <f>'Прил.№4 ведомств.'!I96</f>
        <v>120</v>
      </c>
      <c r="I505" s="11">
        <f>'Прил.№4 ведомств.'!J96</f>
        <v>0</v>
      </c>
      <c r="J505" s="11">
        <f>'Прил.№4 ведомств.'!K96</f>
        <v>0</v>
      </c>
      <c r="K505" s="11">
        <f>'Прил.№4 ведомств.'!L96</f>
        <v>0</v>
      </c>
      <c r="L505" s="11">
        <f>'Прил.№4 ведомств.'!M96</f>
        <v>0</v>
      </c>
      <c r="M505" s="11">
        <f>'Прил.№4 ведомств.'!N96</f>
        <v>0</v>
      </c>
      <c r="N505" s="4" t="e">
        <f t="shared" si="267"/>
        <v>#DIV/0!</v>
      </c>
    </row>
    <row r="506" spans="1:14" ht="15.75" hidden="1">
      <c r="A506" s="31" t="s">
        <v>201</v>
      </c>
      <c r="B506" s="32" t="s">
        <v>235</v>
      </c>
      <c r="C506" s="42" t="s">
        <v>171</v>
      </c>
      <c r="D506" s="42" t="s">
        <v>193</v>
      </c>
      <c r="E506" s="42"/>
      <c r="F506" s="2">
        <v>902</v>
      </c>
      <c r="G506" s="11">
        <f>G500</f>
        <v>120</v>
      </c>
      <c r="H506" s="11">
        <f t="shared" ref="H506:K506" si="297">H500</f>
        <v>120</v>
      </c>
      <c r="I506" s="11">
        <f t="shared" si="297"/>
        <v>100</v>
      </c>
      <c r="J506" s="11">
        <f t="shared" si="297"/>
        <v>100</v>
      </c>
      <c r="K506" s="11">
        <f t="shared" si="297"/>
        <v>100</v>
      </c>
      <c r="L506" s="11">
        <f>L501</f>
        <v>0</v>
      </c>
      <c r="M506" s="11">
        <f t="shared" ref="M506" si="298">M501</f>
        <v>0</v>
      </c>
      <c r="N506" s="4" t="e">
        <f t="shared" si="267"/>
        <v>#DIV/0!</v>
      </c>
    </row>
    <row r="507" spans="1:14" ht="15.75">
      <c r="A507" s="31" t="s">
        <v>285</v>
      </c>
      <c r="B507" s="6" t="s">
        <v>235</v>
      </c>
      <c r="C507" s="42" t="s">
        <v>203</v>
      </c>
      <c r="D507" s="42"/>
      <c r="E507" s="42"/>
      <c r="F507" s="2"/>
      <c r="G507" s="11">
        <f>G508</f>
        <v>0</v>
      </c>
      <c r="H507" s="11">
        <f t="shared" ref="H507:M510" si="299">H508</f>
        <v>0</v>
      </c>
      <c r="I507" s="11">
        <f t="shared" si="299"/>
        <v>100</v>
      </c>
      <c r="J507" s="11">
        <f t="shared" si="299"/>
        <v>100</v>
      </c>
      <c r="K507" s="11">
        <f t="shared" si="299"/>
        <v>100</v>
      </c>
      <c r="L507" s="11">
        <f t="shared" si="299"/>
        <v>120</v>
      </c>
      <c r="M507" s="11">
        <f t="shared" si="299"/>
        <v>5</v>
      </c>
      <c r="N507" s="7">
        <f t="shared" si="267"/>
        <v>4.1666666666666661</v>
      </c>
    </row>
    <row r="508" spans="1:14" ht="15.75">
      <c r="A508" s="31" t="s">
        <v>286</v>
      </c>
      <c r="B508" s="32" t="s">
        <v>235</v>
      </c>
      <c r="C508" s="42" t="s">
        <v>203</v>
      </c>
      <c r="D508" s="42" t="s">
        <v>287</v>
      </c>
      <c r="E508" s="42"/>
      <c r="F508" s="2"/>
      <c r="G508" s="11">
        <f>G509</f>
        <v>0</v>
      </c>
      <c r="H508" s="11">
        <f t="shared" si="299"/>
        <v>0</v>
      </c>
      <c r="I508" s="11">
        <f t="shared" si="299"/>
        <v>100</v>
      </c>
      <c r="J508" s="11">
        <f t="shared" si="299"/>
        <v>100</v>
      </c>
      <c r="K508" s="11">
        <f t="shared" si="299"/>
        <v>100</v>
      </c>
      <c r="L508" s="11">
        <f>L509+L512</f>
        <v>120</v>
      </c>
      <c r="M508" s="11">
        <f t="shared" ref="M508" si="300">M509+M512</f>
        <v>5</v>
      </c>
      <c r="N508" s="7">
        <f t="shared" si="267"/>
        <v>4.1666666666666661</v>
      </c>
    </row>
    <row r="509" spans="1:14" ht="31.5">
      <c r="A509" s="31" t="s">
        <v>210</v>
      </c>
      <c r="B509" s="21" t="s">
        <v>236</v>
      </c>
      <c r="C509" s="42" t="s">
        <v>203</v>
      </c>
      <c r="D509" s="42" t="s">
        <v>287</v>
      </c>
      <c r="E509" s="42"/>
      <c r="F509" s="2"/>
      <c r="G509" s="11">
        <f>G510</f>
        <v>0</v>
      </c>
      <c r="H509" s="11">
        <f t="shared" si="299"/>
        <v>0</v>
      </c>
      <c r="I509" s="11">
        <f t="shared" si="299"/>
        <v>100</v>
      </c>
      <c r="J509" s="11">
        <f t="shared" si="299"/>
        <v>100</v>
      </c>
      <c r="K509" s="11">
        <f t="shared" si="299"/>
        <v>100</v>
      </c>
      <c r="L509" s="11">
        <f t="shared" si="299"/>
        <v>119</v>
      </c>
      <c r="M509" s="11">
        <f t="shared" si="299"/>
        <v>5</v>
      </c>
      <c r="N509" s="7">
        <f t="shared" si="267"/>
        <v>4.2016806722689077</v>
      </c>
    </row>
    <row r="510" spans="1:14" ht="31.5">
      <c r="A510" s="31" t="s">
        <v>184</v>
      </c>
      <c r="B510" s="21" t="s">
        <v>236</v>
      </c>
      <c r="C510" s="42" t="s">
        <v>203</v>
      </c>
      <c r="D510" s="42" t="s">
        <v>287</v>
      </c>
      <c r="E510" s="42" t="s">
        <v>198</v>
      </c>
      <c r="F510" s="2"/>
      <c r="G510" s="11">
        <f>G511</f>
        <v>0</v>
      </c>
      <c r="H510" s="11">
        <f t="shared" si="299"/>
        <v>0</v>
      </c>
      <c r="I510" s="11">
        <f t="shared" si="299"/>
        <v>100</v>
      </c>
      <c r="J510" s="11">
        <f t="shared" si="299"/>
        <v>100</v>
      </c>
      <c r="K510" s="11">
        <f t="shared" si="299"/>
        <v>100</v>
      </c>
      <c r="L510" s="11">
        <f t="shared" si="299"/>
        <v>119</v>
      </c>
      <c r="M510" s="11">
        <f t="shared" si="299"/>
        <v>5</v>
      </c>
      <c r="N510" s="7">
        <f t="shared" si="267"/>
        <v>4.2016806722689077</v>
      </c>
    </row>
    <row r="511" spans="1:14" ht="47.25">
      <c r="A511" s="31" t="s">
        <v>237</v>
      </c>
      <c r="B511" s="21" t="s">
        <v>236</v>
      </c>
      <c r="C511" s="42" t="s">
        <v>203</v>
      </c>
      <c r="D511" s="42" t="s">
        <v>287</v>
      </c>
      <c r="E511" s="42" t="s">
        <v>213</v>
      </c>
      <c r="F511" s="2"/>
      <c r="G511" s="11">
        <v>0</v>
      </c>
      <c r="H511" s="11">
        <v>0</v>
      </c>
      <c r="I511" s="11">
        <v>100</v>
      </c>
      <c r="J511" s="11">
        <v>100</v>
      </c>
      <c r="K511" s="11">
        <v>100</v>
      </c>
      <c r="L511" s="11">
        <f>'Прил.№4 ведомств.'!M191</f>
        <v>119</v>
      </c>
      <c r="M511" s="11">
        <f>'Прил.№4 ведомств.'!N191</f>
        <v>5</v>
      </c>
      <c r="N511" s="7">
        <f t="shared" si="267"/>
        <v>4.2016806722689077</v>
      </c>
    </row>
    <row r="512" spans="1:14" ht="31.5">
      <c r="A512" s="26" t="s">
        <v>987</v>
      </c>
      <c r="B512" s="21" t="s">
        <v>989</v>
      </c>
      <c r="C512" s="42" t="s">
        <v>203</v>
      </c>
      <c r="D512" s="42" t="s">
        <v>287</v>
      </c>
      <c r="E512" s="42"/>
      <c r="F512" s="2"/>
      <c r="G512" s="11"/>
      <c r="H512" s="11"/>
      <c r="I512" s="11"/>
      <c r="J512" s="11"/>
      <c r="K512" s="11"/>
      <c r="L512" s="11">
        <f>L513</f>
        <v>1</v>
      </c>
      <c r="M512" s="11">
        <f t="shared" ref="M512:M513" si="301">M513</f>
        <v>0</v>
      </c>
      <c r="N512" s="7">
        <f t="shared" si="267"/>
        <v>0</v>
      </c>
    </row>
    <row r="513" spans="1:14" ht="15.75">
      <c r="A513" s="31" t="s">
        <v>188</v>
      </c>
      <c r="B513" s="21" t="s">
        <v>989</v>
      </c>
      <c r="C513" s="42" t="s">
        <v>203</v>
      </c>
      <c r="D513" s="42" t="s">
        <v>287</v>
      </c>
      <c r="E513" s="42" t="s">
        <v>198</v>
      </c>
      <c r="F513" s="2"/>
      <c r="G513" s="11"/>
      <c r="H513" s="11"/>
      <c r="I513" s="11"/>
      <c r="J513" s="11"/>
      <c r="K513" s="11"/>
      <c r="L513" s="11">
        <f>L514</f>
        <v>1</v>
      </c>
      <c r="M513" s="11">
        <f t="shared" si="301"/>
        <v>0</v>
      </c>
      <c r="N513" s="7">
        <f t="shared" si="267"/>
        <v>0</v>
      </c>
    </row>
    <row r="514" spans="1:14" ht="47.25">
      <c r="A514" s="31" t="s">
        <v>237</v>
      </c>
      <c r="B514" s="21" t="s">
        <v>989</v>
      </c>
      <c r="C514" s="42" t="s">
        <v>203</v>
      </c>
      <c r="D514" s="42" t="s">
        <v>287</v>
      </c>
      <c r="E514" s="42" t="s">
        <v>213</v>
      </c>
      <c r="F514" s="2"/>
      <c r="G514" s="11"/>
      <c r="H514" s="11"/>
      <c r="I514" s="11"/>
      <c r="J514" s="11"/>
      <c r="K514" s="11"/>
      <c r="L514" s="11">
        <f>'Прил.№4 ведомств.'!M194</f>
        <v>1</v>
      </c>
      <c r="M514" s="11">
        <f>'Прил.№4 ведомств.'!N194</f>
        <v>0</v>
      </c>
      <c r="N514" s="7">
        <f t="shared" si="267"/>
        <v>0</v>
      </c>
    </row>
    <row r="515" spans="1:14" ht="15.75">
      <c r="A515" s="31" t="s">
        <v>201</v>
      </c>
      <c r="B515" s="32" t="s">
        <v>235</v>
      </c>
      <c r="C515" s="42" t="s">
        <v>203</v>
      </c>
      <c r="D515" s="42" t="s">
        <v>287</v>
      </c>
      <c r="E515" s="42"/>
      <c r="F515" s="2">
        <v>902</v>
      </c>
      <c r="G515" s="11">
        <f>G507</f>
        <v>0</v>
      </c>
      <c r="H515" s="11">
        <f t="shared" ref="H515:L515" si="302">H507</f>
        <v>0</v>
      </c>
      <c r="I515" s="11">
        <f t="shared" si="302"/>
        <v>100</v>
      </c>
      <c r="J515" s="11">
        <f t="shared" si="302"/>
        <v>100</v>
      </c>
      <c r="K515" s="11">
        <f t="shared" si="302"/>
        <v>100</v>
      </c>
      <c r="L515" s="11">
        <f t="shared" si="302"/>
        <v>120</v>
      </c>
      <c r="M515" s="11">
        <f t="shared" ref="M515" si="303">M507</f>
        <v>5</v>
      </c>
      <c r="N515" s="7">
        <f t="shared" si="267"/>
        <v>4.1666666666666661</v>
      </c>
    </row>
    <row r="516" spans="1:14" ht="63">
      <c r="A516" s="43" t="s">
        <v>736</v>
      </c>
      <c r="B516" s="8" t="s">
        <v>572</v>
      </c>
      <c r="C516" s="8"/>
      <c r="D516" s="8"/>
      <c r="E516" s="83"/>
      <c r="F516" s="3"/>
      <c r="G516" s="68">
        <f>G517</f>
        <v>5427.9</v>
      </c>
      <c r="H516" s="68">
        <f t="shared" ref="H516:M517" si="304">H517</f>
        <v>5427.9</v>
      </c>
      <c r="I516" s="68">
        <f t="shared" si="304"/>
        <v>967</v>
      </c>
      <c r="J516" s="68">
        <f t="shared" si="304"/>
        <v>967</v>
      </c>
      <c r="K516" s="68">
        <f t="shared" si="304"/>
        <v>967</v>
      </c>
      <c r="L516" s="68">
        <f t="shared" si="304"/>
        <v>5084.5</v>
      </c>
      <c r="M516" s="68">
        <f t="shared" si="304"/>
        <v>548.5</v>
      </c>
      <c r="N516" s="4">
        <f t="shared" si="267"/>
        <v>10.787688071590127</v>
      </c>
    </row>
    <row r="517" spans="1:14" ht="15.75">
      <c r="A517" s="31" t="s">
        <v>444</v>
      </c>
      <c r="B517" s="42" t="s">
        <v>572</v>
      </c>
      <c r="C517" s="42" t="s">
        <v>287</v>
      </c>
      <c r="D517" s="42"/>
      <c r="E517" s="84"/>
      <c r="F517" s="2"/>
      <c r="G517" s="11">
        <f>G518</f>
        <v>5427.9</v>
      </c>
      <c r="H517" s="11">
        <f t="shared" si="304"/>
        <v>5427.9</v>
      </c>
      <c r="I517" s="11">
        <f t="shared" si="304"/>
        <v>967</v>
      </c>
      <c r="J517" s="11">
        <f t="shared" si="304"/>
        <v>967</v>
      </c>
      <c r="K517" s="11">
        <f t="shared" si="304"/>
        <v>967</v>
      </c>
      <c r="L517" s="11">
        <f t="shared" si="304"/>
        <v>5084.5</v>
      </c>
      <c r="M517" s="11">
        <f t="shared" si="304"/>
        <v>548.5</v>
      </c>
      <c r="N517" s="7">
        <f t="shared" si="267"/>
        <v>10.787688071590127</v>
      </c>
    </row>
    <row r="518" spans="1:14" ht="15.75">
      <c r="A518" s="31" t="s">
        <v>571</v>
      </c>
      <c r="B518" s="42" t="s">
        <v>572</v>
      </c>
      <c r="C518" s="42" t="s">
        <v>287</v>
      </c>
      <c r="D518" s="42" t="s">
        <v>266</v>
      </c>
      <c r="E518" s="84"/>
      <c r="F518" s="2"/>
      <c r="G518" s="11">
        <f>G523+G526+G529+G534+G537+G540+G543</f>
        <v>5427.9</v>
      </c>
      <c r="H518" s="11">
        <f t="shared" ref="H518:L518" si="305">H523+H526+H529+H534+H537+H540+H543</f>
        <v>5427.9</v>
      </c>
      <c r="I518" s="11">
        <f t="shared" si="305"/>
        <v>967</v>
      </c>
      <c r="J518" s="11">
        <f t="shared" si="305"/>
        <v>967</v>
      </c>
      <c r="K518" s="11">
        <f t="shared" si="305"/>
        <v>967</v>
      </c>
      <c r="L518" s="11">
        <f t="shared" si="305"/>
        <v>5084.5</v>
      </c>
      <c r="M518" s="11">
        <f t="shared" ref="M518" si="306">M523+M526+M529+M534+M537+M540+M543</f>
        <v>548.5</v>
      </c>
      <c r="N518" s="7">
        <f t="shared" si="267"/>
        <v>10.787688071590127</v>
      </c>
    </row>
    <row r="519" spans="1:14" ht="31.5" hidden="1">
      <c r="A519" s="37" t="s">
        <v>573</v>
      </c>
      <c r="B519" s="21" t="s">
        <v>574</v>
      </c>
      <c r="C519" s="42" t="s">
        <v>287</v>
      </c>
      <c r="D519" s="42" t="s">
        <v>266</v>
      </c>
      <c r="E519" s="84"/>
      <c r="F519" s="2"/>
      <c r="G519" s="11">
        <f>G520</f>
        <v>0</v>
      </c>
      <c r="H519" s="11">
        <f t="shared" ref="H519:M520" si="307">H520</f>
        <v>0</v>
      </c>
      <c r="I519" s="11">
        <f t="shared" si="307"/>
        <v>0</v>
      </c>
      <c r="J519" s="11">
        <f t="shared" si="307"/>
        <v>0</v>
      </c>
      <c r="K519" s="11">
        <f t="shared" si="307"/>
        <v>0</v>
      </c>
      <c r="L519" s="11">
        <f t="shared" si="307"/>
        <v>0</v>
      </c>
      <c r="M519" s="11">
        <f t="shared" si="307"/>
        <v>0</v>
      </c>
      <c r="N519" s="7" t="e">
        <f t="shared" si="267"/>
        <v>#DIV/0!</v>
      </c>
    </row>
    <row r="520" spans="1:14" ht="31.5" hidden="1">
      <c r="A520" s="31" t="s">
        <v>184</v>
      </c>
      <c r="B520" s="21" t="s">
        <v>574</v>
      </c>
      <c r="C520" s="42" t="s">
        <v>287</v>
      </c>
      <c r="D520" s="42" t="s">
        <v>266</v>
      </c>
      <c r="E520" s="42" t="s">
        <v>185</v>
      </c>
      <c r="F520" s="2"/>
      <c r="G520" s="11">
        <f>G521</f>
        <v>0</v>
      </c>
      <c r="H520" s="11">
        <f t="shared" si="307"/>
        <v>0</v>
      </c>
      <c r="I520" s="11">
        <f t="shared" si="307"/>
        <v>0</v>
      </c>
      <c r="J520" s="11">
        <f t="shared" si="307"/>
        <v>0</v>
      </c>
      <c r="K520" s="11">
        <f t="shared" si="307"/>
        <v>0</v>
      </c>
      <c r="L520" s="11">
        <f t="shared" si="307"/>
        <v>0</v>
      </c>
      <c r="M520" s="11">
        <f t="shared" si="307"/>
        <v>0</v>
      </c>
      <c r="N520" s="7" t="e">
        <f t="shared" si="267"/>
        <v>#DIV/0!</v>
      </c>
    </row>
    <row r="521" spans="1:14" ht="31.5" hidden="1">
      <c r="A521" s="31" t="s">
        <v>186</v>
      </c>
      <c r="B521" s="21" t="s">
        <v>574</v>
      </c>
      <c r="C521" s="42" t="s">
        <v>287</v>
      </c>
      <c r="D521" s="42" t="s">
        <v>266</v>
      </c>
      <c r="E521" s="42" t="s">
        <v>187</v>
      </c>
      <c r="F521" s="2"/>
      <c r="G521" s="11"/>
      <c r="H521" s="11"/>
      <c r="I521" s="11"/>
      <c r="J521" s="11"/>
      <c r="K521" s="11"/>
      <c r="L521" s="11"/>
      <c r="M521" s="11"/>
      <c r="N521" s="7" t="e">
        <f t="shared" si="267"/>
        <v>#DIV/0!</v>
      </c>
    </row>
    <row r="522" spans="1:14" ht="31.5" hidden="1">
      <c r="A522" s="47" t="s">
        <v>703</v>
      </c>
      <c r="B522" s="21" t="s">
        <v>574</v>
      </c>
      <c r="C522" s="42"/>
      <c r="D522" s="42"/>
      <c r="E522" s="42"/>
      <c r="F522" s="2">
        <v>908</v>
      </c>
      <c r="G522" s="11">
        <f>G519</f>
        <v>0</v>
      </c>
      <c r="H522" s="11">
        <f t="shared" ref="H522:L522" si="308">H519</f>
        <v>0</v>
      </c>
      <c r="I522" s="11">
        <f t="shared" si="308"/>
        <v>0</v>
      </c>
      <c r="J522" s="11">
        <f t="shared" si="308"/>
        <v>0</v>
      </c>
      <c r="K522" s="11">
        <f t="shared" si="308"/>
        <v>0</v>
      </c>
      <c r="L522" s="11">
        <f t="shared" si="308"/>
        <v>0</v>
      </c>
      <c r="M522" s="11">
        <f t="shared" ref="M522" si="309">M519</f>
        <v>0</v>
      </c>
      <c r="N522" s="7" t="e">
        <f t="shared" si="267"/>
        <v>#DIV/0!</v>
      </c>
    </row>
    <row r="523" spans="1:14" ht="15.75">
      <c r="A523" s="47" t="s">
        <v>575</v>
      </c>
      <c r="B523" s="21" t="s">
        <v>576</v>
      </c>
      <c r="C523" s="42" t="s">
        <v>287</v>
      </c>
      <c r="D523" s="42" t="s">
        <v>266</v>
      </c>
      <c r="E523" s="42"/>
      <c r="F523" s="2"/>
      <c r="G523" s="11">
        <f>G524</f>
        <v>450</v>
      </c>
      <c r="H523" s="11">
        <f t="shared" ref="H523:M524" si="310">H524</f>
        <v>450</v>
      </c>
      <c r="I523" s="11">
        <f t="shared" si="310"/>
        <v>450</v>
      </c>
      <c r="J523" s="11">
        <f t="shared" si="310"/>
        <v>450</v>
      </c>
      <c r="K523" s="11">
        <f t="shared" si="310"/>
        <v>450</v>
      </c>
      <c r="L523" s="11">
        <f t="shared" si="310"/>
        <v>1978.5</v>
      </c>
      <c r="M523" s="11">
        <f t="shared" si="310"/>
        <v>478.5</v>
      </c>
      <c r="N523" s="7">
        <f t="shared" si="267"/>
        <v>24.184988627748293</v>
      </c>
    </row>
    <row r="524" spans="1:14" ht="31.5">
      <c r="A524" s="33" t="s">
        <v>184</v>
      </c>
      <c r="B524" s="21" t="s">
        <v>576</v>
      </c>
      <c r="C524" s="42" t="s">
        <v>287</v>
      </c>
      <c r="D524" s="42" t="s">
        <v>266</v>
      </c>
      <c r="E524" s="42" t="s">
        <v>185</v>
      </c>
      <c r="F524" s="2"/>
      <c r="G524" s="11">
        <f>G525</f>
        <v>450</v>
      </c>
      <c r="H524" s="11">
        <f t="shared" si="310"/>
        <v>450</v>
      </c>
      <c r="I524" s="11">
        <f t="shared" si="310"/>
        <v>450</v>
      </c>
      <c r="J524" s="11">
        <f t="shared" si="310"/>
        <v>450</v>
      </c>
      <c r="K524" s="11">
        <f t="shared" si="310"/>
        <v>450</v>
      </c>
      <c r="L524" s="11">
        <f t="shared" si="310"/>
        <v>1978.5</v>
      </c>
      <c r="M524" s="11">
        <f t="shared" si="310"/>
        <v>478.5</v>
      </c>
      <c r="N524" s="7">
        <f t="shared" ref="N524:N587" si="311">M524/L524*100</f>
        <v>24.184988627748293</v>
      </c>
    </row>
    <row r="525" spans="1:14" ht="31.5">
      <c r="A525" s="33" t="s">
        <v>186</v>
      </c>
      <c r="B525" s="21" t="s">
        <v>576</v>
      </c>
      <c r="C525" s="42" t="s">
        <v>287</v>
      </c>
      <c r="D525" s="42" t="s">
        <v>266</v>
      </c>
      <c r="E525" s="42" t="s">
        <v>187</v>
      </c>
      <c r="F525" s="2"/>
      <c r="G525" s="11">
        <f>'Прил.№4 ведомств.'!G920</f>
        <v>450</v>
      </c>
      <c r="H525" s="11">
        <f>'Прил.№4 ведомств.'!I920</f>
        <v>450</v>
      </c>
      <c r="I525" s="11">
        <f>'Прил.№4 ведомств.'!J920</f>
        <v>450</v>
      </c>
      <c r="J525" s="11">
        <f>'Прил.№4 ведомств.'!K920</f>
        <v>450</v>
      </c>
      <c r="K525" s="11">
        <f>'Прил.№4 ведомств.'!L920</f>
        <v>450</v>
      </c>
      <c r="L525" s="11">
        <f>'Прил.№4 ведомств.'!M920</f>
        <v>1978.5</v>
      </c>
      <c r="M525" s="11">
        <f>'Прил.№4 ведомств.'!N920</f>
        <v>478.5</v>
      </c>
      <c r="N525" s="7">
        <f t="shared" si="311"/>
        <v>24.184988627748293</v>
      </c>
    </row>
    <row r="526" spans="1:14" ht="15.75" hidden="1">
      <c r="A526" s="47" t="s">
        <v>577</v>
      </c>
      <c r="B526" s="21" t="s">
        <v>578</v>
      </c>
      <c r="C526" s="42" t="s">
        <v>287</v>
      </c>
      <c r="D526" s="42" t="s">
        <v>266</v>
      </c>
      <c r="E526" s="42"/>
      <c r="F526" s="2"/>
      <c r="G526" s="11">
        <f>G527</f>
        <v>3107</v>
      </c>
      <c r="H526" s="11">
        <f t="shared" ref="H526:M527" si="312">H527</f>
        <v>3107</v>
      </c>
      <c r="I526" s="11">
        <f t="shared" si="312"/>
        <v>160</v>
      </c>
      <c r="J526" s="11">
        <f t="shared" si="312"/>
        <v>160</v>
      </c>
      <c r="K526" s="11">
        <f t="shared" si="312"/>
        <v>160</v>
      </c>
      <c r="L526" s="11">
        <f t="shared" si="312"/>
        <v>0</v>
      </c>
      <c r="M526" s="11">
        <f t="shared" si="312"/>
        <v>0</v>
      </c>
      <c r="N526" s="7" t="e">
        <f t="shared" si="311"/>
        <v>#DIV/0!</v>
      </c>
    </row>
    <row r="527" spans="1:14" ht="31.5" hidden="1">
      <c r="A527" s="33" t="s">
        <v>184</v>
      </c>
      <c r="B527" s="21" t="s">
        <v>578</v>
      </c>
      <c r="C527" s="42" t="s">
        <v>287</v>
      </c>
      <c r="D527" s="42" t="s">
        <v>266</v>
      </c>
      <c r="E527" s="42" t="s">
        <v>185</v>
      </c>
      <c r="F527" s="2"/>
      <c r="G527" s="11">
        <f>G528</f>
        <v>3107</v>
      </c>
      <c r="H527" s="11">
        <f t="shared" si="312"/>
        <v>3107</v>
      </c>
      <c r="I527" s="11">
        <f t="shared" si="312"/>
        <v>160</v>
      </c>
      <c r="J527" s="11">
        <f t="shared" si="312"/>
        <v>160</v>
      </c>
      <c r="K527" s="11">
        <f t="shared" si="312"/>
        <v>160</v>
      </c>
      <c r="L527" s="11">
        <f t="shared" si="312"/>
        <v>0</v>
      </c>
      <c r="M527" s="11">
        <f t="shared" si="312"/>
        <v>0</v>
      </c>
      <c r="N527" s="7" t="e">
        <f t="shared" si="311"/>
        <v>#DIV/0!</v>
      </c>
    </row>
    <row r="528" spans="1:14" ht="31.5" hidden="1">
      <c r="A528" s="33" t="s">
        <v>186</v>
      </c>
      <c r="B528" s="21" t="s">
        <v>578</v>
      </c>
      <c r="C528" s="42" t="s">
        <v>287</v>
      </c>
      <c r="D528" s="42" t="s">
        <v>266</v>
      </c>
      <c r="E528" s="42" t="s">
        <v>187</v>
      </c>
      <c r="F528" s="2"/>
      <c r="G528" s="11">
        <f>'Прил.№4 ведомств.'!G923</f>
        <v>3107</v>
      </c>
      <c r="H528" s="11">
        <f>'Прил.№4 ведомств.'!I923</f>
        <v>3107</v>
      </c>
      <c r="I528" s="11">
        <f>'Прил.№4 ведомств.'!J923</f>
        <v>160</v>
      </c>
      <c r="J528" s="11">
        <f>'Прил.№4 ведомств.'!K923</f>
        <v>160</v>
      </c>
      <c r="K528" s="11">
        <f>'Прил.№4 ведомств.'!L923</f>
        <v>160</v>
      </c>
      <c r="L528" s="11">
        <f>'Прил.№4 ведомств.'!M923</f>
        <v>0</v>
      </c>
      <c r="M528" s="11">
        <f>'Прил.№4 ведомств.'!N923</f>
        <v>0</v>
      </c>
      <c r="N528" s="7" t="e">
        <f t="shared" si="311"/>
        <v>#DIV/0!</v>
      </c>
    </row>
    <row r="529" spans="1:14" ht="15.75">
      <c r="A529" s="47" t="s">
        <v>579</v>
      </c>
      <c r="B529" s="21" t="s">
        <v>580</v>
      </c>
      <c r="C529" s="42" t="s">
        <v>287</v>
      </c>
      <c r="D529" s="42" t="s">
        <v>266</v>
      </c>
      <c r="E529" s="42"/>
      <c r="F529" s="2"/>
      <c r="G529" s="11">
        <f>G530</f>
        <v>1389.8999999999999</v>
      </c>
      <c r="H529" s="11">
        <f t="shared" ref="H529:M530" si="313">H530</f>
        <v>1389.8999999999999</v>
      </c>
      <c r="I529" s="11">
        <f t="shared" si="313"/>
        <v>40</v>
      </c>
      <c r="J529" s="11">
        <f t="shared" si="313"/>
        <v>40</v>
      </c>
      <c r="K529" s="11">
        <f t="shared" si="313"/>
        <v>40</v>
      </c>
      <c r="L529" s="11">
        <f>L530+L532</f>
        <v>550</v>
      </c>
      <c r="M529" s="11">
        <f t="shared" ref="M529" si="314">M530+M532</f>
        <v>70</v>
      </c>
      <c r="N529" s="7">
        <f t="shared" si="311"/>
        <v>12.727272727272727</v>
      </c>
    </row>
    <row r="530" spans="1:14" ht="31.5">
      <c r="A530" s="33" t="s">
        <v>184</v>
      </c>
      <c r="B530" s="21" t="s">
        <v>580</v>
      </c>
      <c r="C530" s="42" t="s">
        <v>287</v>
      </c>
      <c r="D530" s="42" t="s">
        <v>266</v>
      </c>
      <c r="E530" s="42" t="s">
        <v>185</v>
      </c>
      <c r="F530" s="2"/>
      <c r="G530" s="11">
        <f>G531</f>
        <v>1389.8999999999999</v>
      </c>
      <c r="H530" s="11">
        <f t="shared" si="313"/>
        <v>1389.8999999999999</v>
      </c>
      <c r="I530" s="11">
        <f t="shared" si="313"/>
        <v>40</v>
      </c>
      <c r="J530" s="11">
        <f t="shared" si="313"/>
        <v>40</v>
      </c>
      <c r="K530" s="11">
        <f t="shared" si="313"/>
        <v>40</v>
      </c>
      <c r="L530" s="11">
        <f t="shared" si="313"/>
        <v>549.20000000000005</v>
      </c>
      <c r="M530" s="11">
        <f t="shared" si="313"/>
        <v>69.3</v>
      </c>
      <c r="N530" s="7">
        <f t="shared" si="311"/>
        <v>12.618353969410048</v>
      </c>
    </row>
    <row r="531" spans="1:14" ht="31.5">
      <c r="A531" s="33" t="s">
        <v>186</v>
      </c>
      <c r="B531" s="21" t="s">
        <v>580</v>
      </c>
      <c r="C531" s="42" t="s">
        <v>287</v>
      </c>
      <c r="D531" s="42" t="s">
        <v>266</v>
      </c>
      <c r="E531" s="42" t="s">
        <v>187</v>
      </c>
      <c r="F531" s="2"/>
      <c r="G531" s="11">
        <f>'Прил.№4 ведомств.'!G926</f>
        <v>1389.8999999999999</v>
      </c>
      <c r="H531" s="11">
        <f>'Прил.№4 ведомств.'!I926</f>
        <v>1389.8999999999999</v>
      </c>
      <c r="I531" s="11">
        <f>'Прил.№4 ведомств.'!J926</f>
        <v>40</v>
      </c>
      <c r="J531" s="11">
        <f>'Прил.№4 ведомств.'!K926</f>
        <v>40</v>
      </c>
      <c r="K531" s="11">
        <f>'Прил.№4 ведомств.'!L926</f>
        <v>40</v>
      </c>
      <c r="L531" s="11">
        <f>'Прил.№4 ведомств.'!M926</f>
        <v>549.20000000000005</v>
      </c>
      <c r="M531" s="11">
        <f>'Прил.№4 ведомств.'!N926</f>
        <v>69.3</v>
      </c>
      <c r="N531" s="7">
        <f t="shared" si="311"/>
        <v>12.618353969410048</v>
      </c>
    </row>
    <row r="532" spans="1:14" ht="15.75">
      <c r="A532" s="31" t="s">
        <v>188</v>
      </c>
      <c r="B532" s="21" t="s">
        <v>580</v>
      </c>
      <c r="C532" s="42" t="s">
        <v>287</v>
      </c>
      <c r="D532" s="42" t="s">
        <v>266</v>
      </c>
      <c r="E532" s="42" t="s">
        <v>198</v>
      </c>
      <c r="F532" s="2"/>
      <c r="G532" s="11"/>
      <c r="H532" s="11"/>
      <c r="I532" s="11"/>
      <c r="J532" s="11"/>
      <c r="K532" s="11"/>
      <c r="L532" s="11">
        <f>L533</f>
        <v>0.8</v>
      </c>
      <c r="M532" s="11">
        <f t="shared" ref="M532" si="315">M533</f>
        <v>0.7</v>
      </c>
      <c r="N532" s="7">
        <f t="shared" si="311"/>
        <v>87.499999999999986</v>
      </c>
    </row>
    <row r="533" spans="1:14" ht="15.75">
      <c r="A533" s="26" t="s">
        <v>803</v>
      </c>
      <c r="B533" s="21" t="s">
        <v>580</v>
      </c>
      <c r="C533" s="42" t="s">
        <v>287</v>
      </c>
      <c r="D533" s="42" t="s">
        <v>266</v>
      </c>
      <c r="E533" s="42" t="s">
        <v>191</v>
      </c>
      <c r="F533" s="2"/>
      <c r="G533" s="11"/>
      <c r="H533" s="11"/>
      <c r="I533" s="11"/>
      <c r="J533" s="11"/>
      <c r="K533" s="11"/>
      <c r="L533" s="11">
        <f>'Прил.№4 ведомств.'!M928</f>
        <v>0.8</v>
      </c>
      <c r="M533" s="11">
        <f>'Прил.№4 ведомств.'!N928</f>
        <v>0.7</v>
      </c>
      <c r="N533" s="7">
        <f t="shared" si="311"/>
        <v>87.499999999999986</v>
      </c>
    </row>
    <row r="534" spans="1:14" ht="15.75">
      <c r="A534" s="47" t="s">
        <v>581</v>
      </c>
      <c r="B534" s="21" t="s">
        <v>582</v>
      </c>
      <c r="C534" s="42" t="s">
        <v>287</v>
      </c>
      <c r="D534" s="42" t="s">
        <v>266</v>
      </c>
      <c r="E534" s="42"/>
      <c r="F534" s="2"/>
      <c r="G534" s="11">
        <f>G535</f>
        <v>159.10000000000002</v>
      </c>
      <c r="H534" s="11">
        <f t="shared" ref="H534:M535" si="316">H535</f>
        <v>159.10000000000002</v>
      </c>
      <c r="I534" s="11">
        <f t="shared" si="316"/>
        <v>305</v>
      </c>
      <c r="J534" s="11">
        <f t="shared" si="316"/>
        <v>305</v>
      </c>
      <c r="K534" s="11">
        <f t="shared" si="316"/>
        <v>305</v>
      </c>
      <c r="L534" s="11">
        <f t="shared" si="316"/>
        <v>2556</v>
      </c>
      <c r="M534" s="11">
        <f t="shared" si="316"/>
        <v>0</v>
      </c>
      <c r="N534" s="7">
        <f t="shared" si="311"/>
        <v>0</v>
      </c>
    </row>
    <row r="535" spans="1:14" ht="31.5">
      <c r="A535" s="33" t="s">
        <v>184</v>
      </c>
      <c r="B535" s="21" t="s">
        <v>582</v>
      </c>
      <c r="C535" s="42" t="s">
        <v>287</v>
      </c>
      <c r="D535" s="42" t="s">
        <v>266</v>
      </c>
      <c r="E535" s="42" t="s">
        <v>185</v>
      </c>
      <c r="F535" s="2"/>
      <c r="G535" s="11">
        <f>G536</f>
        <v>159.10000000000002</v>
      </c>
      <c r="H535" s="11">
        <f t="shared" si="316"/>
        <v>159.10000000000002</v>
      </c>
      <c r="I535" s="11">
        <f t="shared" si="316"/>
        <v>305</v>
      </c>
      <c r="J535" s="11">
        <f t="shared" si="316"/>
        <v>305</v>
      </c>
      <c r="K535" s="11">
        <f t="shared" si="316"/>
        <v>305</v>
      </c>
      <c r="L535" s="11">
        <f t="shared" si="316"/>
        <v>2556</v>
      </c>
      <c r="M535" s="11">
        <f t="shared" si="316"/>
        <v>0</v>
      </c>
      <c r="N535" s="7">
        <f t="shared" si="311"/>
        <v>0</v>
      </c>
    </row>
    <row r="536" spans="1:14" ht="31.5">
      <c r="A536" s="33" t="s">
        <v>186</v>
      </c>
      <c r="B536" s="21" t="s">
        <v>582</v>
      </c>
      <c r="C536" s="42" t="s">
        <v>287</v>
      </c>
      <c r="D536" s="42" t="s">
        <v>266</v>
      </c>
      <c r="E536" s="42" t="s">
        <v>187</v>
      </c>
      <c r="F536" s="2"/>
      <c r="G536" s="11">
        <f>'Прил.№4 ведомств.'!G931</f>
        <v>159.10000000000002</v>
      </c>
      <c r="H536" s="11">
        <f>'Прил.№4 ведомств.'!I931</f>
        <v>159.10000000000002</v>
      </c>
      <c r="I536" s="11">
        <f>'Прил.№4 ведомств.'!J931</f>
        <v>305</v>
      </c>
      <c r="J536" s="11">
        <f>'Прил.№4 ведомств.'!K931</f>
        <v>305</v>
      </c>
      <c r="K536" s="11">
        <f>'Прил.№4 ведомств.'!L931</f>
        <v>305</v>
      </c>
      <c r="L536" s="11">
        <f>'Прил.№4 ведомств.'!M931</f>
        <v>2556</v>
      </c>
      <c r="M536" s="11">
        <f>'Прил.№4 ведомств.'!N931</f>
        <v>0</v>
      </c>
      <c r="N536" s="7">
        <f t="shared" si="311"/>
        <v>0</v>
      </c>
    </row>
    <row r="537" spans="1:14" ht="15.75" hidden="1">
      <c r="A537" s="47" t="s">
        <v>583</v>
      </c>
      <c r="B537" s="21" t="s">
        <v>584</v>
      </c>
      <c r="C537" s="42" t="s">
        <v>287</v>
      </c>
      <c r="D537" s="42" t="s">
        <v>266</v>
      </c>
      <c r="E537" s="42"/>
      <c r="F537" s="2"/>
      <c r="G537" s="11">
        <f>G538</f>
        <v>272.89999999999998</v>
      </c>
      <c r="H537" s="11">
        <f t="shared" ref="H537:M538" si="317">H538</f>
        <v>272.89999999999998</v>
      </c>
      <c r="I537" s="11">
        <f t="shared" si="317"/>
        <v>2</v>
      </c>
      <c r="J537" s="11">
        <f t="shared" si="317"/>
        <v>2</v>
      </c>
      <c r="K537" s="11">
        <f t="shared" si="317"/>
        <v>2</v>
      </c>
      <c r="L537" s="11">
        <f t="shared" si="317"/>
        <v>0</v>
      </c>
      <c r="M537" s="11">
        <f t="shared" si="317"/>
        <v>0</v>
      </c>
      <c r="N537" s="7" t="e">
        <f t="shared" si="311"/>
        <v>#DIV/0!</v>
      </c>
    </row>
    <row r="538" spans="1:14" ht="31.5" hidden="1">
      <c r="A538" s="33" t="s">
        <v>184</v>
      </c>
      <c r="B538" s="21" t="s">
        <v>584</v>
      </c>
      <c r="C538" s="42" t="s">
        <v>287</v>
      </c>
      <c r="D538" s="42" t="s">
        <v>266</v>
      </c>
      <c r="E538" s="42" t="s">
        <v>185</v>
      </c>
      <c r="F538" s="2"/>
      <c r="G538" s="11">
        <f>G539</f>
        <v>272.89999999999998</v>
      </c>
      <c r="H538" s="11">
        <f t="shared" si="317"/>
        <v>272.89999999999998</v>
      </c>
      <c r="I538" s="11">
        <f t="shared" si="317"/>
        <v>2</v>
      </c>
      <c r="J538" s="11">
        <f t="shared" si="317"/>
        <v>2</v>
      </c>
      <c r="K538" s="11">
        <f t="shared" si="317"/>
        <v>2</v>
      </c>
      <c r="L538" s="11">
        <f t="shared" si="317"/>
        <v>0</v>
      </c>
      <c r="M538" s="11">
        <f t="shared" si="317"/>
        <v>0</v>
      </c>
      <c r="N538" s="7" t="e">
        <f t="shared" si="311"/>
        <v>#DIV/0!</v>
      </c>
    </row>
    <row r="539" spans="1:14" ht="31.5" hidden="1">
      <c r="A539" s="33" t="s">
        <v>186</v>
      </c>
      <c r="B539" s="21" t="s">
        <v>584</v>
      </c>
      <c r="C539" s="42" t="s">
        <v>287</v>
      </c>
      <c r="D539" s="42" t="s">
        <v>266</v>
      </c>
      <c r="E539" s="42" t="s">
        <v>187</v>
      </c>
      <c r="F539" s="2"/>
      <c r="G539" s="11">
        <f>'Прил.№4 ведомств.'!G934</f>
        <v>272.89999999999998</v>
      </c>
      <c r="H539" s="11">
        <f>'Прил.№4 ведомств.'!I934</f>
        <v>272.89999999999998</v>
      </c>
      <c r="I539" s="11">
        <f>'Прил.№4 ведомств.'!J934</f>
        <v>2</v>
      </c>
      <c r="J539" s="11">
        <f>'Прил.№4 ведомств.'!K934</f>
        <v>2</v>
      </c>
      <c r="K539" s="11">
        <f>'Прил.№4 ведомств.'!L934</f>
        <v>2</v>
      </c>
      <c r="L539" s="11">
        <f>'Прил.№4 ведомств.'!M934</f>
        <v>0</v>
      </c>
      <c r="M539" s="11">
        <f>'Прил.№4 ведомств.'!N934</f>
        <v>0</v>
      </c>
      <c r="N539" s="7" t="e">
        <f t="shared" si="311"/>
        <v>#DIV/0!</v>
      </c>
    </row>
    <row r="540" spans="1:14" ht="31.5" hidden="1">
      <c r="A540" s="206" t="s">
        <v>585</v>
      </c>
      <c r="B540" s="21" t="s">
        <v>586</v>
      </c>
      <c r="C540" s="42" t="s">
        <v>287</v>
      </c>
      <c r="D540" s="42" t="s">
        <v>266</v>
      </c>
      <c r="E540" s="42"/>
      <c r="F540" s="2"/>
      <c r="G540" s="11">
        <f>G541</f>
        <v>0</v>
      </c>
      <c r="H540" s="11">
        <f t="shared" ref="H540:M541" si="318">H541</f>
        <v>0</v>
      </c>
      <c r="I540" s="11">
        <f t="shared" si="318"/>
        <v>0</v>
      </c>
      <c r="J540" s="11">
        <f t="shared" si="318"/>
        <v>0</v>
      </c>
      <c r="K540" s="11">
        <f t="shared" si="318"/>
        <v>0</v>
      </c>
      <c r="L540" s="11">
        <f t="shared" si="318"/>
        <v>0</v>
      </c>
      <c r="M540" s="11">
        <f t="shared" si="318"/>
        <v>0</v>
      </c>
      <c r="N540" s="7" t="e">
        <f t="shared" si="311"/>
        <v>#DIV/0!</v>
      </c>
    </row>
    <row r="541" spans="1:14" ht="31.5" hidden="1">
      <c r="A541" s="33" t="s">
        <v>184</v>
      </c>
      <c r="B541" s="21" t="s">
        <v>586</v>
      </c>
      <c r="C541" s="42" t="s">
        <v>287</v>
      </c>
      <c r="D541" s="42" t="s">
        <v>266</v>
      </c>
      <c r="E541" s="42"/>
      <c r="F541" s="2"/>
      <c r="G541" s="11">
        <f>G542</f>
        <v>0</v>
      </c>
      <c r="H541" s="11">
        <f t="shared" si="318"/>
        <v>0</v>
      </c>
      <c r="I541" s="11">
        <f t="shared" si="318"/>
        <v>0</v>
      </c>
      <c r="J541" s="11">
        <f t="shared" si="318"/>
        <v>0</v>
      </c>
      <c r="K541" s="11">
        <f t="shared" si="318"/>
        <v>0</v>
      </c>
      <c r="L541" s="11">
        <f t="shared" si="318"/>
        <v>0</v>
      </c>
      <c r="M541" s="11">
        <f t="shared" si="318"/>
        <v>0</v>
      </c>
      <c r="N541" s="7" t="e">
        <f t="shared" si="311"/>
        <v>#DIV/0!</v>
      </c>
    </row>
    <row r="542" spans="1:14" ht="31.5" hidden="1">
      <c r="A542" s="33" t="s">
        <v>186</v>
      </c>
      <c r="B542" s="21" t="s">
        <v>586</v>
      </c>
      <c r="C542" s="42" t="s">
        <v>287</v>
      </c>
      <c r="D542" s="42" t="s">
        <v>266</v>
      </c>
      <c r="E542" s="42"/>
      <c r="F542" s="2"/>
      <c r="G542" s="11"/>
      <c r="H542" s="11"/>
      <c r="I542" s="11"/>
      <c r="J542" s="11"/>
      <c r="K542" s="11"/>
      <c r="L542" s="11"/>
      <c r="M542" s="11"/>
      <c r="N542" s="7" t="e">
        <f t="shared" si="311"/>
        <v>#DIV/0!</v>
      </c>
    </row>
    <row r="543" spans="1:14" ht="15.75" hidden="1">
      <c r="A543" s="206" t="s">
        <v>587</v>
      </c>
      <c r="B543" s="21" t="s">
        <v>588</v>
      </c>
      <c r="C543" s="42" t="s">
        <v>287</v>
      </c>
      <c r="D543" s="42" t="s">
        <v>266</v>
      </c>
      <c r="E543" s="42"/>
      <c r="F543" s="2"/>
      <c r="G543" s="11">
        <f>G544</f>
        <v>49</v>
      </c>
      <c r="H543" s="11">
        <f t="shared" ref="H543:M544" si="319">H544</f>
        <v>49</v>
      </c>
      <c r="I543" s="11">
        <f t="shared" si="319"/>
        <v>10</v>
      </c>
      <c r="J543" s="11">
        <f t="shared" si="319"/>
        <v>10</v>
      </c>
      <c r="K543" s="11">
        <f t="shared" si="319"/>
        <v>10</v>
      </c>
      <c r="L543" s="11">
        <f t="shared" si="319"/>
        <v>0</v>
      </c>
      <c r="M543" s="11">
        <f t="shared" si="319"/>
        <v>0</v>
      </c>
      <c r="N543" s="7" t="e">
        <f t="shared" si="311"/>
        <v>#DIV/0!</v>
      </c>
    </row>
    <row r="544" spans="1:14" ht="31.5" hidden="1">
      <c r="A544" s="26" t="s">
        <v>184</v>
      </c>
      <c r="B544" s="21" t="s">
        <v>588</v>
      </c>
      <c r="C544" s="42" t="s">
        <v>287</v>
      </c>
      <c r="D544" s="42" t="s">
        <v>266</v>
      </c>
      <c r="E544" s="2">
        <v>200</v>
      </c>
      <c r="F544" s="88"/>
      <c r="G544" s="7">
        <f>G545</f>
        <v>49</v>
      </c>
      <c r="H544" s="7">
        <f t="shared" si="319"/>
        <v>49</v>
      </c>
      <c r="I544" s="7">
        <f t="shared" si="319"/>
        <v>10</v>
      </c>
      <c r="J544" s="7">
        <f t="shared" si="319"/>
        <v>10</v>
      </c>
      <c r="K544" s="7">
        <f t="shared" si="319"/>
        <v>10</v>
      </c>
      <c r="L544" s="7">
        <f t="shared" si="319"/>
        <v>0</v>
      </c>
      <c r="M544" s="7">
        <f t="shared" si="319"/>
        <v>0</v>
      </c>
      <c r="N544" s="7" t="e">
        <f t="shared" si="311"/>
        <v>#DIV/0!</v>
      </c>
    </row>
    <row r="545" spans="1:14" ht="31.5" hidden="1">
      <c r="A545" s="26" t="s">
        <v>186</v>
      </c>
      <c r="B545" s="21" t="s">
        <v>588</v>
      </c>
      <c r="C545" s="42" t="s">
        <v>287</v>
      </c>
      <c r="D545" s="42" t="s">
        <v>266</v>
      </c>
      <c r="E545" s="2">
        <v>240</v>
      </c>
      <c r="F545" s="88"/>
      <c r="G545" s="7">
        <f>'Прил.№4 ведомств.'!G940</f>
        <v>49</v>
      </c>
      <c r="H545" s="7">
        <f>'Прил.№4 ведомств.'!I940</f>
        <v>49</v>
      </c>
      <c r="I545" s="7">
        <f>'Прил.№4 ведомств.'!J940</f>
        <v>10</v>
      </c>
      <c r="J545" s="7">
        <f>'Прил.№4 ведомств.'!K940</f>
        <v>10</v>
      </c>
      <c r="K545" s="7">
        <f>'Прил.№4 ведомств.'!L940</f>
        <v>10</v>
      </c>
      <c r="L545" s="7">
        <f>'Прил.№4 ведомств.'!M940</f>
        <v>0</v>
      </c>
      <c r="M545" s="7">
        <f>'Прил.№4 ведомств.'!N940</f>
        <v>0</v>
      </c>
      <c r="N545" s="7" t="e">
        <f t="shared" si="311"/>
        <v>#DIV/0!</v>
      </c>
    </row>
    <row r="546" spans="1:14" ht="31.5">
      <c r="A546" s="47" t="s">
        <v>703</v>
      </c>
      <c r="B546" s="21" t="s">
        <v>572</v>
      </c>
      <c r="C546" s="42"/>
      <c r="D546" s="42"/>
      <c r="E546" s="2"/>
      <c r="F546" s="2">
        <v>908</v>
      </c>
      <c r="G546" s="7">
        <f>G516</f>
        <v>5427.9</v>
      </c>
      <c r="H546" s="7">
        <f t="shared" ref="H546:L546" si="320">H516</f>
        <v>5427.9</v>
      </c>
      <c r="I546" s="7">
        <f t="shared" si="320"/>
        <v>967</v>
      </c>
      <c r="J546" s="7">
        <f t="shared" si="320"/>
        <v>967</v>
      </c>
      <c r="K546" s="7">
        <f t="shared" si="320"/>
        <v>967</v>
      </c>
      <c r="L546" s="7">
        <f t="shared" si="320"/>
        <v>5084.5</v>
      </c>
      <c r="M546" s="7">
        <f t="shared" ref="M546" si="321">M516</f>
        <v>548.5</v>
      </c>
      <c r="N546" s="7">
        <f t="shared" si="311"/>
        <v>10.787688071590127</v>
      </c>
    </row>
    <row r="547" spans="1:14" ht="47.25">
      <c r="A547" s="24" t="s">
        <v>387</v>
      </c>
      <c r="B547" s="25" t="s">
        <v>388</v>
      </c>
      <c r="C547" s="8"/>
      <c r="D547" s="8"/>
      <c r="E547" s="3"/>
      <c r="F547" s="3"/>
      <c r="G547" s="4">
        <f>G548</f>
        <v>145</v>
      </c>
      <c r="H547" s="4">
        <f t="shared" ref="H547:M547" si="322">H548</f>
        <v>145</v>
      </c>
      <c r="I547" s="4">
        <f t="shared" si="322"/>
        <v>155</v>
      </c>
      <c r="J547" s="4">
        <f t="shared" si="322"/>
        <v>155</v>
      </c>
      <c r="K547" s="4">
        <f t="shared" si="322"/>
        <v>155</v>
      </c>
      <c r="L547" s="4">
        <f t="shared" si="322"/>
        <v>155</v>
      </c>
      <c r="M547" s="4">
        <f t="shared" si="322"/>
        <v>0</v>
      </c>
      <c r="N547" s="4">
        <f t="shared" si="311"/>
        <v>0</v>
      </c>
    </row>
    <row r="548" spans="1:14" ht="15.75">
      <c r="A548" s="31" t="s">
        <v>170</v>
      </c>
      <c r="B548" s="21" t="s">
        <v>388</v>
      </c>
      <c r="C548" s="42" t="s">
        <v>171</v>
      </c>
      <c r="D548" s="42"/>
      <c r="E548" s="2"/>
      <c r="F548" s="2"/>
      <c r="G548" s="7">
        <f>G549+G589</f>
        <v>145</v>
      </c>
      <c r="H548" s="7">
        <f t="shared" ref="H548:L548" si="323">H549+H589</f>
        <v>145</v>
      </c>
      <c r="I548" s="7">
        <f t="shared" si="323"/>
        <v>155</v>
      </c>
      <c r="J548" s="7">
        <f t="shared" si="323"/>
        <v>155</v>
      </c>
      <c r="K548" s="7">
        <f t="shared" si="323"/>
        <v>155</v>
      </c>
      <c r="L548" s="7">
        <f t="shared" si="323"/>
        <v>155</v>
      </c>
      <c r="M548" s="7">
        <f t="shared" ref="M548" si="324">M549+M589</f>
        <v>0</v>
      </c>
      <c r="N548" s="7">
        <f t="shared" si="311"/>
        <v>0</v>
      </c>
    </row>
    <row r="549" spans="1:14" ht="15.75">
      <c r="A549" s="31" t="s">
        <v>192</v>
      </c>
      <c r="B549" s="21" t="s">
        <v>388</v>
      </c>
      <c r="C549" s="42" t="s">
        <v>171</v>
      </c>
      <c r="D549" s="42" t="s">
        <v>193</v>
      </c>
      <c r="E549" s="2"/>
      <c r="F549" s="2"/>
      <c r="G549" s="7">
        <f>G550+G553+G558+G561+G564+G567</f>
        <v>125</v>
      </c>
      <c r="H549" s="7">
        <f t="shared" ref="H549:K549" si="325">H550+H553+H558+H561+H564+H567</f>
        <v>125</v>
      </c>
      <c r="I549" s="7">
        <f t="shared" si="325"/>
        <v>95</v>
      </c>
      <c r="J549" s="7">
        <f t="shared" si="325"/>
        <v>95</v>
      </c>
      <c r="K549" s="7">
        <f t="shared" si="325"/>
        <v>95</v>
      </c>
      <c r="L549" s="7">
        <f>L550+L553+L558+L561+L564+L567</f>
        <v>95</v>
      </c>
      <c r="M549" s="7">
        <f t="shared" ref="M549" si="326">M550+M553+M558+M561+M564+M567</f>
        <v>0</v>
      </c>
      <c r="N549" s="7">
        <f t="shared" si="311"/>
        <v>0</v>
      </c>
    </row>
    <row r="550" spans="1:14" ht="31.5">
      <c r="A550" s="26" t="s">
        <v>389</v>
      </c>
      <c r="B550" s="21" t="s">
        <v>390</v>
      </c>
      <c r="C550" s="42" t="s">
        <v>171</v>
      </c>
      <c r="D550" s="42" t="s">
        <v>193</v>
      </c>
      <c r="E550" s="2"/>
      <c r="F550" s="2"/>
      <c r="G550" s="7">
        <f>G551</f>
        <v>0</v>
      </c>
      <c r="H550" s="7">
        <f t="shared" ref="H550:M551" si="327">H551</f>
        <v>0</v>
      </c>
      <c r="I550" s="7">
        <f t="shared" si="327"/>
        <v>50</v>
      </c>
      <c r="J550" s="7">
        <f t="shared" si="327"/>
        <v>50</v>
      </c>
      <c r="K550" s="7">
        <f t="shared" si="327"/>
        <v>50</v>
      </c>
      <c r="L550" s="7">
        <f t="shared" si="327"/>
        <v>50</v>
      </c>
      <c r="M550" s="7">
        <f t="shared" si="327"/>
        <v>0</v>
      </c>
      <c r="N550" s="7">
        <f t="shared" si="311"/>
        <v>0</v>
      </c>
    </row>
    <row r="551" spans="1:14" ht="31.5">
      <c r="A551" s="26" t="s">
        <v>184</v>
      </c>
      <c r="B551" s="21" t="s">
        <v>390</v>
      </c>
      <c r="C551" s="42" t="s">
        <v>171</v>
      </c>
      <c r="D551" s="42" t="s">
        <v>193</v>
      </c>
      <c r="E551" s="2">
        <v>200</v>
      </c>
      <c r="F551" s="2"/>
      <c r="G551" s="7">
        <f>G552</f>
        <v>0</v>
      </c>
      <c r="H551" s="7">
        <f t="shared" si="327"/>
        <v>0</v>
      </c>
      <c r="I551" s="7">
        <f t="shared" si="327"/>
        <v>50</v>
      </c>
      <c r="J551" s="7">
        <f t="shared" si="327"/>
        <v>50</v>
      </c>
      <c r="K551" s="7">
        <f t="shared" si="327"/>
        <v>50</v>
      </c>
      <c r="L551" s="7">
        <f t="shared" si="327"/>
        <v>50</v>
      </c>
      <c r="M551" s="7">
        <f t="shared" si="327"/>
        <v>0</v>
      </c>
      <c r="N551" s="7">
        <f t="shared" si="311"/>
        <v>0</v>
      </c>
    </row>
    <row r="552" spans="1:14" ht="31.5">
      <c r="A552" s="26" t="s">
        <v>186</v>
      </c>
      <c r="B552" s="21" t="s">
        <v>390</v>
      </c>
      <c r="C552" s="42" t="s">
        <v>171</v>
      </c>
      <c r="D552" s="42" t="s">
        <v>193</v>
      </c>
      <c r="E552" s="2">
        <v>240</v>
      </c>
      <c r="F552" s="2"/>
      <c r="G552" s="7">
        <f>'Прил.№4 ведомств.'!G745</f>
        <v>0</v>
      </c>
      <c r="H552" s="7">
        <f>'Прил.№4 ведомств.'!I745</f>
        <v>0</v>
      </c>
      <c r="I552" s="7">
        <f>'Прил.№4 ведомств.'!J254</f>
        <v>50</v>
      </c>
      <c r="J552" s="7">
        <f>'Прил.№4 ведомств.'!K254</f>
        <v>50</v>
      </c>
      <c r="K552" s="7">
        <f>'Прил.№4 ведомств.'!L254</f>
        <v>50</v>
      </c>
      <c r="L552" s="7">
        <f>'Прил.№4 ведомств.'!M254</f>
        <v>50</v>
      </c>
      <c r="M552" s="7">
        <f>'Прил.№4 ведомств.'!N254</f>
        <v>0</v>
      </c>
      <c r="N552" s="7">
        <f t="shared" si="311"/>
        <v>0</v>
      </c>
    </row>
    <row r="553" spans="1:14" ht="47.25" hidden="1">
      <c r="A553" s="26" t="s">
        <v>530</v>
      </c>
      <c r="B553" s="21" t="s">
        <v>531</v>
      </c>
      <c r="C553" s="42" t="s">
        <v>171</v>
      </c>
      <c r="D553" s="42" t="s">
        <v>193</v>
      </c>
      <c r="E553" s="2"/>
      <c r="F553" s="2"/>
      <c r="G553" s="7">
        <f>G554+G556</f>
        <v>0</v>
      </c>
      <c r="H553" s="7">
        <f t="shared" ref="H553:L553" si="328">H554+H556</f>
        <v>0</v>
      </c>
      <c r="I553" s="7">
        <f t="shared" si="328"/>
        <v>0</v>
      </c>
      <c r="J553" s="7">
        <f t="shared" si="328"/>
        <v>0</v>
      </c>
      <c r="K553" s="7">
        <f t="shared" si="328"/>
        <v>0</v>
      </c>
      <c r="L553" s="7">
        <f t="shared" si="328"/>
        <v>0</v>
      </c>
      <c r="M553" s="7">
        <f t="shared" ref="M553" si="329">M554+M556</f>
        <v>0</v>
      </c>
      <c r="N553" s="7" t="e">
        <f t="shared" si="311"/>
        <v>#DIV/0!</v>
      </c>
    </row>
    <row r="554" spans="1:14" ht="78.75" hidden="1">
      <c r="A554" s="26" t="s">
        <v>180</v>
      </c>
      <c r="B554" s="21" t="s">
        <v>531</v>
      </c>
      <c r="C554" s="42" t="s">
        <v>171</v>
      </c>
      <c r="D554" s="42" t="s">
        <v>193</v>
      </c>
      <c r="E554" s="2">
        <v>100</v>
      </c>
      <c r="F554" s="2"/>
      <c r="G554" s="7">
        <f>G555</f>
        <v>0</v>
      </c>
      <c r="H554" s="7">
        <f t="shared" ref="H554:M554" si="330">H555</f>
        <v>0</v>
      </c>
      <c r="I554" s="7">
        <f t="shared" si="330"/>
        <v>0</v>
      </c>
      <c r="J554" s="7">
        <f t="shared" si="330"/>
        <v>0</v>
      </c>
      <c r="K554" s="7">
        <f t="shared" si="330"/>
        <v>0</v>
      </c>
      <c r="L554" s="7">
        <f t="shared" si="330"/>
        <v>0</v>
      </c>
      <c r="M554" s="7">
        <f t="shared" si="330"/>
        <v>0</v>
      </c>
      <c r="N554" s="7" t="e">
        <f t="shared" si="311"/>
        <v>#DIV/0!</v>
      </c>
    </row>
    <row r="555" spans="1:14" ht="15.75" hidden="1">
      <c r="A555" s="26" t="s">
        <v>395</v>
      </c>
      <c r="B555" s="21" t="s">
        <v>531</v>
      </c>
      <c r="C555" s="42" t="s">
        <v>171</v>
      </c>
      <c r="D555" s="42" t="s">
        <v>193</v>
      </c>
      <c r="E555" s="2">
        <v>110</v>
      </c>
      <c r="F555" s="2"/>
      <c r="G555" s="7">
        <v>0</v>
      </c>
      <c r="H555" s="7">
        <v>0</v>
      </c>
      <c r="I555" s="7">
        <v>0</v>
      </c>
      <c r="J555" s="7">
        <f>'Прил.№4 ведомств.'!K748</f>
        <v>0</v>
      </c>
      <c r="K555" s="7">
        <f>'Прил.№4 ведомств.'!L748</f>
        <v>0</v>
      </c>
      <c r="L555" s="7">
        <f>'Прил.№4 ведомств.'!M748</f>
        <v>0</v>
      </c>
      <c r="M555" s="7">
        <f>'Прил.№4 ведомств.'!N748</f>
        <v>0</v>
      </c>
      <c r="N555" s="7" t="e">
        <f t="shared" si="311"/>
        <v>#DIV/0!</v>
      </c>
    </row>
    <row r="556" spans="1:14" ht="31.5" hidden="1">
      <c r="A556" s="26" t="s">
        <v>184</v>
      </c>
      <c r="B556" s="21" t="s">
        <v>531</v>
      </c>
      <c r="C556" s="42" t="s">
        <v>171</v>
      </c>
      <c r="D556" s="42" t="s">
        <v>193</v>
      </c>
      <c r="E556" s="2">
        <v>200</v>
      </c>
      <c r="F556" s="2"/>
      <c r="G556" s="7">
        <f>G557</f>
        <v>0</v>
      </c>
      <c r="H556" s="7">
        <f t="shared" ref="H556:M556" si="331">H557</f>
        <v>0</v>
      </c>
      <c r="I556" s="7">
        <f t="shared" si="331"/>
        <v>0</v>
      </c>
      <c r="J556" s="7">
        <f t="shared" si="331"/>
        <v>0</v>
      </c>
      <c r="K556" s="7">
        <f t="shared" si="331"/>
        <v>0</v>
      </c>
      <c r="L556" s="7">
        <f t="shared" si="331"/>
        <v>0</v>
      </c>
      <c r="M556" s="7">
        <f t="shared" si="331"/>
        <v>0</v>
      </c>
      <c r="N556" s="7" t="e">
        <f t="shared" si="311"/>
        <v>#DIV/0!</v>
      </c>
    </row>
    <row r="557" spans="1:14" ht="31.5" hidden="1">
      <c r="A557" s="26" t="s">
        <v>186</v>
      </c>
      <c r="B557" s="21" t="s">
        <v>531</v>
      </c>
      <c r="C557" s="42" t="s">
        <v>171</v>
      </c>
      <c r="D557" s="42" t="s">
        <v>193</v>
      </c>
      <c r="E557" s="2">
        <v>240</v>
      </c>
      <c r="F557" s="2"/>
      <c r="G557" s="7">
        <v>0</v>
      </c>
      <c r="H557" s="7">
        <v>0</v>
      </c>
      <c r="I557" s="7">
        <f>'Прил.№4 ведомств.'!J750</f>
        <v>0</v>
      </c>
      <c r="J557" s="7">
        <f>'Прил.№4 ведомств.'!K750</f>
        <v>0</v>
      </c>
      <c r="K557" s="7">
        <f>'Прил.№4 ведомств.'!L750</f>
        <v>0</v>
      </c>
      <c r="L557" s="7">
        <f>'Прил.№4 ведомств.'!M750</f>
        <v>0</v>
      </c>
      <c r="M557" s="7">
        <f>'Прил.№4 ведомств.'!N750</f>
        <v>0</v>
      </c>
      <c r="N557" s="7" t="e">
        <f t="shared" si="311"/>
        <v>#DIV/0!</v>
      </c>
    </row>
    <row r="558" spans="1:14" ht="31.5">
      <c r="A558" s="26" t="s">
        <v>391</v>
      </c>
      <c r="B558" s="21" t="s">
        <v>392</v>
      </c>
      <c r="C558" s="42" t="s">
        <v>171</v>
      </c>
      <c r="D558" s="42" t="s">
        <v>193</v>
      </c>
      <c r="E558" s="2"/>
      <c r="F558" s="2"/>
      <c r="G558" s="7">
        <f>G559</f>
        <v>20</v>
      </c>
      <c r="H558" s="7">
        <f t="shared" ref="H558:M559" si="332">H559</f>
        <v>20</v>
      </c>
      <c r="I558" s="7">
        <f t="shared" si="332"/>
        <v>20</v>
      </c>
      <c r="J558" s="7">
        <f t="shared" si="332"/>
        <v>20</v>
      </c>
      <c r="K558" s="7">
        <f t="shared" si="332"/>
        <v>20</v>
      </c>
      <c r="L558" s="7">
        <f t="shared" si="332"/>
        <v>20</v>
      </c>
      <c r="M558" s="7">
        <f t="shared" si="332"/>
        <v>0</v>
      </c>
      <c r="N558" s="7">
        <f t="shared" si="311"/>
        <v>0</v>
      </c>
    </row>
    <row r="559" spans="1:14" ht="31.5">
      <c r="A559" s="26" t="s">
        <v>184</v>
      </c>
      <c r="B559" s="21" t="s">
        <v>392</v>
      </c>
      <c r="C559" s="42" t="s">
        <v>171</v>
      </c>
      <c r="D559" s="42" t="s">
        <v>193</v>
      </c>
      <c r="E559" s="2">
        <v>200</v>
      </c>
      <c r="F559" s="2"/>
      <c r="G559" s="7">
        <f>G560</f>
        <v>20</v>
      </c>
      <c r="H559" s="7">
        <f t="shared" si="332"/>
        <v>20</v>
      </c>
      <c r="I559" s="7">
        <f t="shared" si="332"/>
        <v>20</v>
      </c>
      <c r="J559" s="7">
        <f t="shared" si="332"/>
        <v>20</v>
      </c>
      <c r="K559" s="7">
        <f t="shared" si="332"/>
        <v>20</v>
      </c>
      <c r="L559" s="7">
        <f t="shared" si="332"/>
        <v>20</v>
      </c>
      <c r="M559" s="7">
        <f t="shared" si="332"/>
        <v>0</v>
      </c>
      <c r="N559" s="7">
        <f t="shared" si="311"/>
        <v>0</v>
      </c>
    </row>
    <row r="560" spans="1:14" ht="31.5">
      <c r="A560" s="26" t="s">
        <v>186</v>
      </c>
      <c r="B560" s="21" t="s">
        <v>392</v>
      </c>
      <c r="C560" s="42" t="s">
        <v>171</v>
      </c>
      <c r="D560" s="42" t="s">
        <v>193</v>
      </c>
      <c r="E560" s="2">
        <v>240</v>
      </c>
      <c r="F560" s="2"/>
      <c r="G560" s="7">
        <v>20</v>
      </c>
      <c r="H560" s="7">
        <v>20</v>
      </c>
      <c r="I560" s="7">
        <f>'Прил.№4 ведомств.'!J257</f>
        <v>20</v>
      </c>
      <c r="J560" s="7">
        <f>'Прил.№4 ведомств.'!K257</f>
        <v>20</v>
      </c>
      <c r="K560" s="7">
        <f>'Прил.№4 ведомств.'!L257</f>
        <v>20</v>
      </c>
      <c r="L560" s="7">
        <f>'Прил.№4 ведомств.'!M257</f>
        <v>20</v>
      </c>
      <c r="M560" s="7">
        <f>'Прил.№4 ведомств.'!N257</f>
        <v>0</v>
      </c>
      <c r="N560" s="7">
        <f t="shared" si="311"/>
        <v>0</v>
      </c>
    </row>
    <row r="561" spans="1:14" ht="47.25">
      <c r="A561" s="33" t="s">
        <v>932</v>
      </c>
      <c r="B561" s="21" t="s">
        <v>929</v>
      </c>
      <c r="C561" s="42" t="s">
        <v>171</v>
      </c>
      <c r="D561" s="42" t="s">
        <v>193</v>
      </c>
      <c r="E561" s="2"/>
      <c r="F561" s="2"/>
      <c r="G561" s="7">
        <f>G562</f>
        <v>0</v>
      </c>
      <c r="H561" s="7">
        <f t="shared" ref="H561:M562" si="333">H562</f>
        <v>0</v>
      </c>
      <c r="I561" s="7">
        <f t="shared" si="333"/>
        <v>5</v>
      </c>
      <c r="J561" s="7">
        <f t="shared" si="333"/>
        <v>5</v>
      </c>
      <c r="K561" s="7">
        <f t="shared" si="333"/>
        <v>5</v>
      </c>
      <c r="L561" s="7">
        <f t="shared" si="333"/>
        <v>5</v>
      </c>
      <c r="M561" s="7">
        <f t="shared" si="333"/>
        <v>0</v>
      </c>
      <c r="N561" s="7">
        <f t="shared" si="311"/>
        <v>0</v>
      </c>
    </row>
    <row r="562" spans="1:14" ht="31.5">
      <c r="A562" s="26" t="s">
        <v>184</v>
      </c>
      <c r="B562" s="21" t="s">
        <v>929</v>
      </c>
      <c r="C562" s="21" t="s">
        <v>171</v>
      </c>
      <c r="D562" s="21" t="s">
        <v>193</v>
      </c>
      <c r="E562" s="21" t="s">
        <v>185</v>
      </c>
      <c r="F562" s="214"/>
      <c r="G562" s="7">
        <f>G563</f>
        <v>0</v>
      </c>
      <c r="H562" s="7">
        <f t="shared" si="333"/>
        <v>0</v>
      </c>
      <c r="I562" s="7">
        <f t="shared" si="333"/>
        <v>5</v>
      </c>
      <c r="J562" s="7">
        <f t="shared" si="333"/>
        <v>5</v>
      </c>
      <c r="K562" s="7">
        <f t="shared" si="333"/>
        <v>5</v>
      </c>
      <c r="L562" s="7">
        <f t="shared" si="333"/>
        <v>5</v>
      </c>
      <c r="M562" s="7">
        <f t="shared" si="333"/>
        <v>0</v>
      </c>
      <c r="N562" s="7">
        <f t="shared" si="311"/>
        <v>0</v>
      </c>
    </row>
    <row r="563" spans="1:14" ht="31.5">
      <c r="A563" s="26" t="s">
        <v>186</v>
      </c>
      <c r="B563" s="21" t="s">
        <v>929</v>
      </c>
      <c r="C563" s="21" t="s">
        <v>171</v>
      </c>
      <c r="D563" s="21" t="s">
        <v>193</v>
      </c>
      <c r="E563" s="21" t="s">
        <v>187</v>
      </c>
      <c r="F563" s="214"/>
      <c r="G563" s="7">
        <v>0</v>
      </c>
      <c r="H563" s="7">
        <v>0</v>
      </c>
      <c r="I563" s="7">
        <f>'Прил.№4 ведомств.'!J260</f>
        <v>5</v>
      </c>
      <c r="J563" s="7">
        <f>'Прил.№4 ведомств.'!K260</f>
        <v>5</v>
      </c>
      <c r="K563" s="7">
        <f>'Прил.№4 ведомств.'!L260</f>
        <v>5</v>
      </c>
      <c r="L563" s="7">
        <f>'Прил.№4 ведомств.'!M260</f>
        <v>5</v>
      </c>
      <c r="M563" s="7">
        <f>'Прил.№4 ведомств.'!N260</f>
        <v>0</v>
      </c>
      <c r="N563" s="7">
        <f t="shared" si="311"/>
        <v>0</v>
      </c>
    </row>
    <row r="564" spans="1:14" ht="31.5" hidden="1">
      <c r="A564" s="26" t="s">
        <v>763</v>
      </c>
      <c r="B564" s="21" t="s">
        <v>934</v>
      </c>
      <c r="C564" s="42" t="s">
        <v>171</v>
      </c>
      <c r="D564" s="42" t="s">
        <v>193</v>
      </c>
      <c r="E564" s="2"/>
      <c r="F564" s="214"/>
      <c r="G564" s="7">
        <f>G565</f>
        <v>105</v>
      </c>
      <c r="H564" s="7">
        <f t="shared" ref="H564:M565" si="334">H565</f>
        <v>105</v>
      </c>
      <c r="I564" s="7">
        <f t="shared" si="334"/>
        <v>0</v>
      </c>
      <c r="J564" s="7">
        <f t="shared" si="334"/>
        <v>0</v>
      </c>
      <c r="K564" s="7">
        <f t="shared" si="334"/>
        <v>0</v>
      </c>
      <c r="L564" s="7">
        <f t="shared" si="334"/>
        <v>0</v>
      </c>
      <c r="M564" s="7">
        <f t="shared" si="334"/>
        <v>0</v>
      </c>
      <c r="N564" s="7" t="e">
        <f t="shared" si="311"/>
        <v>#DIV/0!</v>
      </c>
    </row>
    <row r="565" spans="1:14" ht="31.5" hidden="1">
      <c r="A565" s="26" t="s">
        <v>184</v>
      </c>
      <c r="B565" s="21" t="s">
        <v>934</v>
      </c>
      <c r="C565" s="42" t="s">
        <v>171</v>
      </c>
      <c r="D565" s="42" t="s">
        <v>193</v>
      </c>
      <c r="E565" s="2">
        <v>200</v>
      </c>
      <c r="F565" s="214"/>
      <c r="G565" s="7">
        <f>G566</f>
        <v>105</v>
      </c>
      <c r="H565" s="7">
        <f t="shared" si="334"/>
        <v>105</v>
      </c>
      <c r="I565" s="7">
        <f t="shared" si="334"/>
        <v>0</v>
      </c>
      <c r="J565" s="7">
        <f t="shared" si="334"/>
        <v>0</v>
      </c>
      <c r="K565" s="7">
        <f t="shared" si="334"/>
        <v>0</v>
      </c>
      <c r="L565" s="7">
        <f t="shared" si="334"/>
        <v>0</v>
      </c>
      <c r="M565" s="7">
        <f t="shared" si="334"/>
        <v>0</v>
      </c>
      <c r="N565" s="7" t="e">
        <f t="shared" si="311"/>
        <v>#DIV/0!</v>
      </c>
    </row>
    <row r="566" spans="1:14" ht="31.5" hidden="1">
      <c r="A566" s="26" t="s">
        <v>186</v>
      </c>
      <c r="B566" s="21" t="s">
        <v>934</v>
      </c>
      <c r="C566" s="42" t="s">
        <v>171</v>
      </c>
      <c r="D566" s="42" t="s">
        <v>193</v>
      </c>
      <c r="E566" s="2">
        <v>240</v>
      </c>
      <c r="F566" s="214"/>
      <c r="G566" s="7">
        <v>105</v>
      </c>
      <c r="H566" s="7">
        <v>105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 t="e">
        <f t="shared" si="311"/>
        <v>#DIV/0!</v>
      </c>
    </row>
    <row r="567" spans="1:14" ht="31.5">
      <c r="A567" s="33" t="s">
        <v>933</v>
      </c>
      <c r="B567" s="21" t="s">
        <v>930</v>
      </c>
      <c r="C567" s="21" t="s">
        <v>171</v>
      </c>
      <c r="D567" s="21" t="s">
        <v>193</v>
      </c>
      <c r="E567" s="21"/>
      <c r="F567" s="214"/>
      <c r="G567" s="7">
        <f>G568</f>
        <v>0</v>
      </c>
      <c r="H567" s="7">
        <f t="shared" ref="H567:M568" si="335">H568</f>
        <v>0</v>
      </c>
      <c r="I567" s="7">
        <f t="shared" si="335"/>
        <v>20</v>
      </c>
      <c r="J567" s="7">
        <f t="shared" si="335"/>
        <v>20</v>
      </c>
      <c r="K567" s="7">
        <f t="shared" si="335"/>
        <v>20</v>
      </c>
      <c r="L567" s="7">
        <f t="shared" si="335"/>
        <v>20</v>
      </c>
      <c r="M567" s="7">
        <f t="shared" si="335"/>
        <v>0</v>
      </c>
      <c r="N567" s="7">
        <f t="shared" si="311"/>
        <v>0</v>
      </c>
    </row>
    <row r="568" spans="1:14" ht="31.5">
      <c r="A568" s="26" t="s">
        <v>184</v>
      </c>
      <c r="B568" s="21" t="s">
        <v>930</v>
      </c>
      <c r="C568" s="21" t="s">
        <v>171</v>
      </c>
      <c r="D568" s="21" t="s">
        <v>193</v>
      </c>
      <c r="E568" s="21" t="s">
        <v>185</v>
      </c>
      <c r="F568" s="214"/>
      <c r="G568" s="7">
        <f>G569</f>
        <v>0</v>
      </c>
      <c r="H568" s="7">
        <f t="shared" si="335"/>
        <v>0</v>
      </c>
      <c r="I568" s="7">
        <f t="shared" si="335"/>
        <v>20</v>
      </c>
      <c r="J568" s="7">
        <f t="shared" si="335"/>
        <v>20</v>
      </c>
      <c r="K568" s="7">
        <f t="shared" si="335"/>
        <v>20</v>
      </c>
      <c r="L568" s="7">
        <f t="shared" si="335"/>
        <v>20</v>
      </c>
      <c r="M568" s="7">
        <f t="shared" si="335"/>
        <v>0</v>
      </c>
      <c r="N568" s="7">
        <f t="shared" si="311"/>
        <v>0</v>
      </c>
    </row>
    <row r="569" spans="1:14" ht="31.5">
      <c r="A569" s="26" t="s">
        <v>186</v>
      </c>
      <c r="B569" s="21" t="s">
        <v>930</v>
      </c>
      <c r="C569" s="21" t="s">
        <v>171</v>
      </c>
      <c r="D569" s="21" t="s">
        <v>193</v>
      </c>
      <c r="E569" s="21" t="s">
        <v>187</v>
      </c>
      <c r="F569" s="214"/>
      <c r="G569" s="7">
        <v>0</v>
      </c>
      <c r="H569" s="7">
        <v>0</v>
      </c>
      <c r="I569" s="7">
        <f>'Прил.№4 ведомств.'!J266</f>
        <v>20</v>
      </c>
      <c r="J569" s="7">
        <f>'Прил.№4 ведомств.'!K266</f>
        <v>20</v>
      </c>
      <c r="K569" s="7">
        <f>'Прил.№4 ведомств.'!L266</f>
        <v>20</v>
      </c>
      <c r="L569" s="7">
        <f>'Прил.№4 ведомств.'!M266</f>
        <v>20</v>
      </c>
      <c r="M569" s="7">
        <f>'Прил.№4 ведомств.'!N266</f>
        <v>0</v>
      </c>
      <c r="N569" s="7">
        <f t="shared" si="311"/>
        <v>0</v>
      </c>
    </row>
    <row r="570" spans="1:14" ht="47.25">
      <c r="A570" s="47" t="s">
        <v>314</v>
      </c>
      <c r="B570" s="21" t="s">
        <v>388</v>
      </c>
      <c r="C570" s="42" t="s">
        <v>171</v>
      </c>
      <c r="D570" s="42" t="s">
        <v>193</v>
      </c>
      <c r="E570" s="2"/>
      <c r="F570" s="2">
        <v>903</v>
      </c>
      <c r="G570" s="7">
        <f>G550+G558+G561+G564+G567</f>
        <v>125</v>
      </c>
      <c r="H570" s="7">
        <f t="shared" ref="H570:L570" si="336">H550+H558+H561+H564+H567</f>
        <v>125</v>
      </c>
      <c r="I570" s="7">
        <f t="shared" si="336"/>
        <v>95</v>
      </c>
      <c r="J570" s="7">
        <f t="shared" si="336"/>
        <v>95</v>
      </c>
      <c r="K570" s="7">
        <f t="shared" si="336"/>
        <v>95</v>
      </c>
      <c r="L570" s="7">
        <f t="shared" si="336"/>
        <v>95</v>
      </c>
      <c r="M570" s="7">
        <f t="shared" ref="M570" si="337">M550+M558+M561+M564+M567</f>
        <v>0</v>
      </c>
      <c r="N570" s="7">
        <f t="shared" si="311"/>
        <v>0</v>
      </c>
    </row>
    <row r="571" spans="1:14" ht="15.75">
      <c r="A571" s="31" t="s">
        <v>192</v>
      </c>
      <c r="B571" s="21" t="s">
        <v>388</v>
      </c>
      <c r="C571" s="42" t="s">
        <v>171</v>
      </c>
      <c r="D571" s="42" t="s">
        <v>193</v>
      </c>
      <c r="E571" s="2"/>
      <c r="F571" s="2"/>
      <c r="G571" s="7">
        <f>G575+G580+G583</f>
        <v>20</v>
      </c>
      <c r="H571" s="7">
        <f t="shared" ref="H571:K571" si="338">H575+H580+H583</f>
        <v>20</v>
      </c>
      <c r="I571" s="7">
        <f t="shared" si="338"/>
        <v>0</v>
      </c>
      <c r="J571" s="7">
        <f t="shared" si="338"/>
        <v>0</v>
      </c>
      <c r="K571" s="7">
        <f t="shared" si="338"/>
        <v>0</v>
      </c>
      <c r="L571" s="7">
        <f>L575+L580+L583+L572+L586</f>
        <v>60</v>
      </c>
      <c r="M571" s="7">
        <f t="shared" ref="M571" si="339">M575+M580+M583+M572+M586</f>
        <v>0</v>
      </c>
      <c r="N571" s="7">
        <f t="shared" si="311"/>
        <v>0</v>
      </c>
    </row>
    <row r="572" spans="1:14" ht="31.5">
      <c r="A572" s="26" t="s">
        <v>389</v>
      </c>
      <c r="B572" s="21" t="s">
        <v>390</v>
      </c>
      <c r="C572" s="42" t="s">
        <v>171</v>
      </c>
      <c r="D572" s="42" t="s">
        <v>193</v>
      </c>
      <c r="E572" s="2"/>
      <c r="F572" s="2"/>
      <c r="G572" s="7">
        <f>G573</f>
        <v>0</v>
      </c>
      <c r="H572" s="7">
        <f t="shared" ref="H572:M573" si="340">H573</f>
        <v>0</v>
      </c>
      <c r="I572" s="7">
        <f t="shared" si="340"/>
        <v>50</v>
      </c>
      <c r="J572" s="7">
        <f t="shared" si="340"/>
        <v>50</v>
      </c>
      <c r="K572" s="7">
        <f t="shared" si="340"/>
        <v>50</v>
      </c>
      <c r="L572" s="7">
        <f t="shared" si="340"/>
        <v>50</v>
      </c>
      <c r="M572" s="7">
        <f t="shared" si="340"/>
        <v>0</v>
      </c>
      <c r="N572" s="7">
        <f t="shared" si="311"/>
        <v>0</v>
      </c>
    </row>
    <row r="573" spans="1:14" ht="31.5">
      <c r="A573" s="26" t="s">
        <v>184</v>
      </c>
      <c r="B573" s="21" t="s">
        <v>390</v>
      </c>
      <c r="C573" s="42" t="s">
        <v>171</v>
      </c>
      <c r="D573" s="42" t="s">
        <v>193</v>
      </c>
      <c r="E573" s="2">
        <v>200</v>
      </c>
      <c r="F573" s="2"/>
      <c r="G573" s="7">
        <f>G574</f>
        <v>0</v>
      </c>
      <c r="H573" s="7">
        <f t="shared" si="340"/>
        <v>0</v>
      </c>
      <c r="I573" s="7">
        <f t="shared" si="340"/>
        <v>50</v>
      </c>
      <c r="J573" s="7">
        <f t="shared" si="340"/>
        <v>50</v>
      </c>
      <c r="K573" s="7">
        <f t="shared" si="340"/>
        <v>50</v>
      </c>
      <c r="L573" s="7">
        <f t="shared" si="340"/>
        <v>50</v>
      </c>
      <c r="M573" s="7">
        <f t="shared" si="340"/>
        <v>0</v>
      </c>
      <c r="N573" s="7">
        <f t="shared" si="311"/>
        <v>0</v>
      </c>
    </row>
    <row r="574" spans="1:14" ht="31.5">
      <c r="A574" s="26" t="s">
        <v>186</v>
      </c>
      <c r="B574" s="21" t="s">
        <v>390</v>
      </c>
      <c r="C574" s="42" t="s">
        <v>171</v>
      </c>
      <c r="D574" s="42" t="s">
        <v>193</v>
      </c>
      <c r="E574" s="2">
        <v>240</v>
      </c>
      <c r="F574" s="2"/>
      <c r="G574" s="7">
        <v>0</v>
      </c>
      <c r="H574" s="7">
        <v>0</v>
      </c>
      <c r="I574" s="7">
        <f>'Прил.№4 ведомств.'!J577</f>
        <v>50</v>
      </c>
      <c r="J574" s="7">
        <f>'Прил.№4 ведомств.'!K577</f>
        <v>50</v>
      </c>
      <c r="K574" s="7">
        <f>'Прил.№4 ведомств.'!L577</f>
        <v>50</v>
      </c>
      <c r="L574" s="7">
        <f>'Прил.№4 ведомств.'!M577</f>
        <v>50</v>
      </c>
      <c r="M574" s="7">
        <f>'Прил.№4 ведомств.'!N577</f>
        <v>0</v>
      </c>
      <c r="N574" s="7">
        <f t="shared" si="311"/>
        <v>0</v>
      </c>
    </row>
    <row r="575" spans="1:14" ht="31.5" hidden="1">
      <c r="A575" s="26" t="s">
        <v>389</v>
      </c>
      <c r="B575" s="21" t="s">
        <v>531</v>
      </c>
      <c r="C575" s="42" t="s">
        <v>171</v>
      </c>
      <c r="D575" s="42" t="s">
        <v>193</v>
      </c>
      <c r="E575" s="2"/>
      <c r="F575" s="2"/>
      <c r="G575" s="7">
        <f>G578+G576</f>
        <v>20</v>
      </c>
      <c r="H575" s="7">
        <f t="shared" ref="H575:L575" si="341">H578+H576</f>
        <v>20</v>
      </c>
      <c r="I575" s="7">
        <f t="shared" si="341"/>
        <v>0</v>
      </c>
      <c r="J575" s="7">
        <f t="shared" si="341"/>
        <v>0</v>
      </c>
      <c r="K575" s="7">
        <f t="shared" si="341"/>
        <v>0</v>
      </c>
      <c r="L575" s="7">
        <f t="shared" si="341"/>
        <v>0</v>
      </c>
      <c r="M575" s="7">
        <f t="shared" ref="M575" si="342">M578+M576</f>
        <v>0</v>
      </c>
      <c r="N575" s="7" t="e">
        <f t="shared" si="311"/>
        <v>#DIV/0!</v>
      </c>
    </row>
    <row r="576" spans="1:14" ht="78.75" hidden="1">
      <c r="A576" s="26" t="s">
        <v>180</v>
      </c>
      <c r="B576" s="21" t="s">
        <v>531</v>
      </c>
      <c r="C576" s="42" t="s">
        <v>171</v>
      </c>
      <c r="D576" s="42" t="s">
        <v>193</v>
      </c>
      <c r="E576" s="2">
        <v>100</v>
      </c>
      <c r="F576" s="2"/>
      <c r="G576" s="7">
        <f>G577</f>
        <v>5</v>
      </c>
      <c r="H576" s="7">
        <f t="shared" ref="H576:M576" si="343">H577</f>
        <v>5</v>
      </c>
      <c r="I576" s="7">
        <f t="shared" si="343"/>
        <v>0</v>
      </c>
      <c r="J576" s="7">
        <f t="shared" si="343"/>
        <v>0</v>
      </c>
      <c r="K576" s="7">
        <f t="shared" si="343"/>
        <v>0</v>
      </c>
      <c r="L576" s="7">
        <f t="shared" si="343"/>
        <v>0</v>
      </c>
      <c r="M576" s="7">
        <f t="shared" si="343"/>
        <v>0</v>
      </c>
      <c r="N576" s="7" t="e">
        <f t="shared" si="311"/>
        <v>#DIV/0!</v>
      </c>
    </row>
    <row r="577" spans="1:14" ht="15.75" hidden="1">
      <c r="A577" s="26" t="s">
        <v>395</v>
      </c>
      <c r="B577" s="21" t="s">
        <v>531</v>
      </c>
      <c r="C577" s="42" t="s">
        <v>171</v>
      </c>
      <c r="D577" s="42" t="s">
        <v>193</v>
      </c>
      <c r="E577" s="2">
        <v>110</v>
      </c>
      <c r="F577" s="2"/>
      <c r="G577" s="7">
        <v>5</v>
      </c>
      <c r="H577" s="7">
        <v>5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 t="e">
        <f t="shared" si="311"/>
        <v>#DIV/0!</v>
      </c>
    </row>
    <row r="578" spans="1:14" ht="31.5" hidden="1">
      <c r="A578" s="26" t="s">
        <v>184</v>
      </c>
      <c r="B578" s="21" t="s">
        <v>531</v>
      </c>
      <c r="C578" s="42" t="s">
        <v>171</v>
      </c>
      <c r="D578" s="42" t="s">
        <v>193</v>
      </c>
      <c r="E578" s="2">
        <v>200</v>
      </c>
      <c r="F578" s="2"/>
      <c r="G578" s="7">
        <f>G579</f>
        <v>15</v>
      </c>
      <c r="H578" s="7">
        <f t="shared" ref="H578:M578" si="344">H579</f>
        <v>15</v>
      </c>
      <c r="I578" s="7">
        <f t="shared" si="344"/>
        <v>0</v>
      </c>
      <c r="J578" s="7">
        <f t="shared" si="344"/>
        <v>0</v>
      </c>
      <c r="K578" s="7">
        <f t="shared" si="344"/>
        <v>0</v>
      </c>
      <c r="L578" s="7">
        <f t="shared" si="344"/>
        <v>0</v>
      </c>
      <c r="M578" s="7">
        <f t="shared" si="344"/>
        <v>0</v>
      </c>
      <c r="N578" s="7" t="e">
        <f t="shared" si="311"/>
        <v>#DIV/0!</v>
      </c>
    </row>
    <row r="579" spans="1:14" ht="31.5" hidden="1">
      <c r="A579" s="26" t="s">
        <v>186</v>
      </c>
      <c r="B579" s="21" t="s">
        <v>531</v>
      </c>
      <c r="C579" s="42" t="s">
        <v>171</v>
      </c>
      <c r="D579" s="42" t="s">
        <v>193</v>
      </c>
      <c r="E579" s="2">
        <v>240</v>
      </c>
      <c r="F579" s="2"/>
      <c r="G579" s="7">
        <v>15</v>
      </c>
      <c r="H579" s="7">
        <v>15</v>
      </c>
      <c r="I579" s="7">
        <f>'Прил.№4 ведомств.'!J419</f>
        <v>0</v>
      </c>
      <c r="J579" s="7">
        <f>'Прил.№4 ведомств.'!K419</f>
        <v>0</v>
      </c>
      <c r="K579" s="7">
        <f>'Прил.№4 ведомств.'!L419</f>
        <v>0</v>
      </c>
      <c r="L579" s="7">
        <f>'Прил.№4 ведомств.'!M419</f>
        <v>0</v>
      </c>
      <c r="M579" s="7">
        <f>'Прил.№4 ведомств.'!N419</f>
        <v>0</v>
      </c>
      <c r="N579" s="7" t="e">
        <f t="shared" si="311"/>
        <v>#DIV/0!</v>
      </c>
    </row>
    <row r="580" spans="1:14" ht="31.5" hidden="1">
      <c r="A580" s="26" t="s">
        <v>391</v>
      </c>
      <c r="B580" s="21" t="s">
        <v>392</v>
      </c>
      <c r="C580" s="42" t="s">
        <v>171</v>
      </c>
      <c r="D580" s="42" t="s">
        <v>193</v>
      </c>
      <c r="E580" s="2"/>
      <c r="F580" s="2"/>
      <c r="G580" s="7">
        <f>G581</f>
        <v>0</v>
      </c>
      <c r="H580" s="7">
        <f t="shared" ref="H580:M581" si="345">H581</f>
        <v>0</v>
      </c>
      <c r="I580" s="7">
        <f t="shared" si="345"/>
        <v>0</v>
      </c>
      <c r="J580" s="7">
        <f t="shared" si="345"/>
        <v>0</v>
      </c>
      <c r="K580" s="7">
        <f t="shared" si="345"/>
        <v>0</v>
      </c>
      <c r="L580" s="7">
        <f t="shared" si="345"/>
        <v>0</v>
      </c>
      <c r="M580" s="7">
        <f t="shared" si="345"/>
        <v>0</v>
      </c>
      <c r="N580" s="7" t="e">
        <f t="shared" si="311"/>
        <v>#DIV/0!</v>
      </c>
    </row>
    <row r="581" spans="1:14" ht="31.5" hidden="1">
      <c r="A581" s="26" t="s">
        <v>184</v>
      </c>
      <c r="B581" s="21" t="s">
        <v>392</v>
      </c>
      <c r="C581" s="42" t="s">
        <v>171</v>
      </c>
      <c r="D581" s="42" t="s">
        <v>193</v>
      </c>
      <c r="E581" s="2">
        <v>200</v>
      </c>
      <c r="F581" s="2"/>
      <c r="G581" s="7">
        <f>G582</f>
        <v>0</v>
      </c>
      <c r="H581" s="7">
        <f t="shared" si="345"/>
        <v>0</v>
      </c>
      <c r="I581" s="7">
        <f t="shared" si="345"/>
        <v>0</v>
      </c>
      <c r="J581" s="7">
        <f t="shared" si="345"/>
        <v>0</v>
      </c>
      <c r="K581" s="7">
        <f t="shared" si="345"/>
        <v>0</v>
      </c>
      <c r="L581" s="7">
        <f t="shared" si="345"/>
        <v>0</v>
      </c>
      <c r="M581" s="7">
        <f t="shared" si="345"/>
        <v>0</v>
      </c>
      <c r="N581" s="7" t="e">
        <f t="shared" si="311"/>
        <v>#DIV/0!</v>
      </c>
    </row>
    <row r="582" spans="1:14" ht="31.5" hidden="1">
      <c r="A582" s="26" t="s">
        <v>186</v>
      </c>
      <c r="B582" s="21" t="s">
        <v>392</v>
      </c>
      <c r="C582" s="42" t="s">
        <v>171</v>
      </c>
      <c r="D582" s="42" t="s">
        <v>193</v>
      </c>
      <c r="E582" s="2">
        <v>240</v>
      </c>
      <c r="F582" s="2"/>
      <c r="G582" s="7">
        <v>0</v>
      </c>
      <c r="H582" s="7">
        <v>0</v>
      </c>
      <c r="I582" s="7">
        <f>'Прил.№4 ведомств.'!J425</f>
        <v>0</v>
      </c>
      <c r="J582" s="7">
        <f>'Прил.№4 ведомств.'!K425</f>
        <v>0</v>
      </c>
      <c r="K582" s="7">
        <f>'Прил.№4 ведомств.'!L425</f>
        <v>0</v>
      </c>
      <c r="L582" s="7">
        <f>'Прил.№4 ведомств.'!M425</f>
        <v>0</v>
      </c>
      <c r="M582" s="7">
        <f>'Прил.№4 ведомств.'!N425</f>
        <v>0</v>
      </c>
      <c r="N582" s="7" t="e">
        <f t="shared" si="311"/>
        <v>#DIV/0!</v>
      </c>
    </row>
    <row r="583" spans="1:14" ht="31.5" hidden="1">
      <c r="A583" s="26" t="s">
        <v>763</v>
      </c>
      <c r="B583" s="21" t="s">
        <v>764</v>
      </c>
      <c r="C583" s="42" t="s">
        <v>171</v>
      </c>
      <c r="D583" s="42" t="s">
        <v>193</v>
      </c>
      <c r="E583" s="2"/>
      <c r="F583" s="2"/>
      <c r="G583" s="7">
        <f>G584</f>
        <v>0</v>
      </c>
      <c r="H583" s="7">
        <f t="shared" ref="H583:M584" si="346">H584</f>
        <v>0</v>
      </c>
      <c r="I583" s="7">
        <f t="shared" si="346"/>
        <v>0</v>
      </c>
      <c r="J583" s="7">
        <f t="shared" si="346"/>
        <v>0</v>
      </c>
      <c r="K583" s="7">
        <f t="shared" si="346"/>
        <v>0</v>
      </c>
      <c r="L583" s="7">
        <f t="shared" si="346"/>
        <v>0</v>
      </c>
      <c r="M583" s="7">
        <f t="shared" si="346"/>
        <v>0</v>
      </c>
      <c r="N583" s="7" t="e">
        <f t="shared" si="311"/>
        <v>#DIV/0!</v>
      </c>
    </row>
    <row r="584" spans="1:14" ht="31.5" hidden="1">
      <c r="A584" s="26" t="s">
        <v>184</v>
      </c>
      <c r="B584" s="21" t="s">
        <v>764</v>
      </c>
      <c r="C584" s="42" t="s">
        <v>171</v>
      </c>
      <c r="D584" s="42" t="s">
        <v>193</v>
      </c>
      <c r="E584" s="2">
        <v>200</v>
      </c>
      <c r="F584" s="2"/>
      <c r="G584" s="7">
        <f>G585</f>
        <v>0</v>
      </c>
      <c r="H584" s="7">
        <f t="shared" si="346"/>
        <v>0</v>
      </c>
      <c r="I584" s="7">
        <f t="shared" si="346"/>
        <v>0</v>
      </c>
      <c r="J584" s="7">
        <f t="shared" si="346"/>
        <v>0</v>
      </c>
      <c r="K584" s="7">
        <f t="shared" si="346"/>
        <v>0</v>
      </c>
      <c r="L584" s="7">
        <f t="shared" si="346"/>
        <v>0</v>
      </c>
      <c r="M584" s="7">
        <f t="shared" si="346"/>
        <v>0</v>
      </c>
      <c r="N584" s="7" t="e">
        <f t="shared" si="311"/>
        <v>#DIV/0!</v>
      </c>
    </row>
    <row r="585" spans="1:14" ht="31.5" hidden="1">
      <c r="A585" s="26" t="s">
        <v>186</v>
      </c>
      <c r="B585" s="21" t="s">
        <v>764</v>
      </c>
      <c r="C585" s="42" t="s">
        <v>171</v>
      </c>
      <c r="D585" s="42" t="s">
        <v>193</v>
      </c>
      <c r="E585" s="2">
        <v>240</v>
      </c>
      <c r="F585" s="2"/>
      <c r="G585" s="7">
        <v>0</v>
      </c>
      <c r="H585" s="7">
        <v>0</v>
      </c>
      <c r="I585" s="7">
        <f>'Прил.№4 ведомств.'!J431</f>
        <v>0</v>
      </c>
      <c r="J585" s="7">
        <f>'Прил.№4 ведомств.'!K431</f>
        <v>0</v>
      </c>
      <c r="K585" s="7">
        <f>'Прил.№4 ведомств.'!L431</f>
        <v>0</v>
      </c>
      <c r="L585" s="7">
        <f>'Прил.№4 ведомств.'!M431</f>
        <v>0</v>
      </c>
      <c r="M585" s="7">
        <f>'Прил.№4 ведомств.'!N431</f>
        <v>0</v>
      </c>
      <c r="N585" s="7" t="e">
        <f t="shared" si="311"/>
        <v>#DIV/0!</v>
      </c>
    </row>
    <row r="586" spans="1:14" ht="15.75">
      <c r="A586" s="33" t="s">
        <v>936</v>
      </c>
      <c r="B586" s="21" t="s">
        <v>935</v>
      </c>
      <c r="C586" s="42" t="s">
        <v>171</v>
      </c>
      <c r="D586" s="42" t="s">
        <v>193</v>
      </c>
      <c r="E586" s="2"/>
      <c r="F586" s="2"/>
      <c r="G586" s="7">
        <f>G587</f>
        <v>0</v>
      </c>
      <c r="H586" s="7">
        <f t="shared" ref="H586:M587" si="347">H587</f>
        <v>0</v>
      </c>
      <c r="I586" s="7">
        <f t="shared" si="347"/>
        <v>10</v>
      </c>
      <c r="J586" s="7">
        <f t="shared" si="347"/>
        <v>10</v>
      </c>
      <c r="K586" s="7">
        <f t="shared" si="347"/>
        <v>10</v>
      </c>
      <c r="L586" s="7">
        <f t="shared" si="347"/>
        <v>10</v>
      </c>
      <c r="M586" s="7">
        <f t="shared" si="347"/>
        <v>0</v>
      </c>
      <c r="N586" s="7">
        <f t="shared" si="311"/>
        <v>0</v>
      </c>
    </row>
    <row r="587" spans="1:14" ht="31.5">
      <c r="A587" s="26" t="s">
        <v>184</v>
      </c>
      <c r="B587" s="21" t="s">
        <v>935</v>
      </c>
      <c r="C587" s="42" t="s">
        <v>171</v>
      </c>
      <c r="D587" s="42" t="s">
        <v>193</v>
      </c>
      <c r="E587" s="2">
        <v>200</v>
      </c>
      <c r="F587" s="2"/>
      <c r="G587" s="7">
        <f>G588</f>
        <v>0</v>
      </c>
      <c r="H587" s="7">
        <f t="shared" si="347"/>
        <v>0</v>
      </c>
      <c r="I587" s="7">
        <f t="shared" si="347"/>
        <v>10</v>
      </c>
      <c r="J587" s="7">
        <f t="shared" si="347"/>
        <v>10</v>
      </c>
      <c r="K587" s="7">
        <f t="shared" si="347"/>
        <v>10</v>
      </c>
      <c r="L587" s="7">
        <f t="shared" si="347"/>
        <v>10</v>
      </c>
      <c r="M587" s="7">
        <f t="shared" si="347"/>
        <v>0</v>
      </c>
      <c r="N587" s="7">
        <f t="shared" si="311"/>
        <v>0</v>
      </c>
    </row>
    <row r="588" spans="1:14" ht="31.5">
      <c r="A588" s="26" t="s">
        <v>186</v>
      </c>
      <c r="B588" s="21" t="s">
        <v>935</v>
      </c>
      <c r="C588" s="42" t="s">
        <v>171</v>
      </c>
      <c r="D588" s="42" t="s">
        <v>193</v>
      </c>
      <c r="E588" s="2">
        <v>240</v>
      </c>
      <c r="F588" s="2"/>
      <c r="G588" s="7">
        <v>0</v>
      </c>
      <c r="H588" s="7">
        <v>0</v>
      </c>
      <c r="I588" s="7">
        <f>'Прил.№4 ведомств.'!J580</f>
        <v>10</v>
      </c>
      <c r="J588" s="7">
        <f>'Прил.№4 ведомств.'!K580</f>
        <v>10</v>
      </c>
      <c r="K588" s="7">
        <f>'Прил.№4 ведомств.'!L580</f>
        <v>10</v>
      </c>
      <c r="L588" s="7">
        <f>'Прил.№4 ведомств.'!M580</f>
        <v>10</v>
      </c>
      <c r="M588" s="7">
        <f>'Прил.№4 ведомств.'!N580</f>
        <v>0</v>
      </c>
      <c r="N588" s="7">
        <f t="shared" ref="N588:N629" si="348">M588/L588*100</f>
        <v>0</v>
      </c>
    </row>
    <row r="589" spans="1:14" ht="31.5">
      <c r="A589" s="47" t="s">
        <v>457</v>
      </c>
      <c r="B589" s="21" t="s">
        <v>388</v>
      </c>
      <c r="C589" s="42" t="s">
        <v>171</v>
      </c>
      <c r="D589" s="42" t="s">
        <v>193</v>
      </c>
      <c r="E589" s="2"/>
      <c r="F589" s="2">
        <v>906</v>
      </c>
      <c r="G589" s="7">
        <f>G575+G580+G583+G572+G586</f>
        <v>20</v>
      </c>
      <c r="H589" s="7">
        <f t="shared" ref="H589:K589" si="349">H575+H580+H583+H572+H586</f>
        <v>20</v>
      </c>
      <c r="I589" s="7">
        <f t="shared" si="349"/>
        <v>60</v>
      </c>
      <c r="J589" s="7">
        <f t="shared" si="349"/>
        <v>60</v>
      </c>
      <c r="K589" s="7">
        <f t="shared" si="349"/>
        <v>60</v>
      </c>
      <c r="L589" s="7">
        <f>L571</f>
        <v>60</v>
      </c>
      <c r="M589" s="7">
        <f t="shared" ref="M589" si="350">M571</f>
        <v>0</v>
      </c>
      <c r="N589" s="7">
        <f t="shared" si="348"/>
        <v>0</v>
      </c>
    </row>
    <row r="590" spans="1:14" ht="63">
      <c r="A590" s="43" t="s">
        <v>807</v>
      </c>
      <c r="B590" s="25" t="s">
        <v>805</v>
      </c>
      <c r="C590" s="8"/>
      <c r="D590" s="8"/>
      <c r="E590" s="3"/>
      <c r="F590" s="3"/>
      <c r="G590" s="4" t="e">
        <f>G591+#REF!</f>
        <v>#REF!</v>
      </c>
      <c r="H590" s="4" t="e">
        <f>H591+#REF!</f>
        <v>#REF!</v>
      </c>
      <c r="I590" s="4" t="e">
        <f>I591+#REF!</f>
        <v>#REF!</v>
      </c>
      <c r="J590" s="4" t="e">
        <f>J591+#REF!</f>
        <v>#REF!</v>
      </c>
      <c r="K590" s="4" t="e">
        <f>K591+#REF!</f>
        <v>#REF!</v>
      </c>
      <c r="L590" s="4">
        <f>L591</f>
        <v>3957.2</v>
      </c>
      <c r="M590" s="4">
        <f t="shared" ref="M590:M591" si="351">M591</f>
        <v>913.5</v>
      </c>
      <c r="N590" s="4">
        <f t="shared" si="348"/>
        <v>23.084504194885273</v>
      </c>
    </row>
    <row r="591" spans="1:14" s="136" customFormat="1" ht="15.75">
      <c r="A591" s="31" t="s">
        <v>170</v>
      </c>
      <c r="B591" s="21" t="s">
        <v>805</v>
      </c>
      <c r="C591" s="42" t="s">
        <v>171</v>
      </c>
      <c r="D591" s="42"/>
      <c r="E591" s="2"/>
      <c r="F591" s="2"/>
      <c r="G591" s="7" t="e">
        <f>G592</f>
        <v>#REF!</v>
      </c>
      <c r="H591" s="7" t="e">
        <f t="shared" ref="H591:K591" si="352">H592</f>
        <v>#REF!</v>
      </c>
      <c r="I591" s="7" t="e">
        <f t="shared" si="352"/>
        <v>#REF!</v>
      </c>
      <c r="J591" s="7" t="e">
        <f t="shared" si="352"/>
        <v>#REF!</v>
      </c>
      <c r="K591" s="7" t="e">
        <f t="shared" si="352"/>
        <v>#REF!</v>
      </c>
      <c r="L591" s="7">
        <f>L592</f>
        <v>3957.2</v>
      </c>
      <c r="M591" s="7">
        <f t="shared" si="351"/>
        <v>913.5</v>
      </c>
      <c r="N591" s="7">
        <f t="shared" si="348"/>
        <v>23.084504194885273</v>
      </c>
    </row>
    <row r="592" spans="1:14" s="136" customFormat="1" ht="15.75">
      <c r="A592" s="31" t="s">
        <v>192</v>
      </c>
      <c r="B592" s="21" t="s">
        <v>805</v>
      </c>
      <c r="C592" s="42" t="s">
        <v>171</v>
      </c>
      <c r="D592" s="42" t="s">
        <v>193</v>
      </c>
      <c r="E592" s="2"/>
      <c r="F592" s="2"/>
      <c r="G592" s="7" t="e">
        <f>G593+#REF!</f>
        <v>#REF!</v>
      </c>
      <c r="H592" s="7" t="e">
        <f>H593+#REF!</f>
        <v>#REF!</v>
      </c>
      <c r="I592" s="7" t="e">
        <f>I593+#REF!</f>
        <v>#REF!</v>
      </c>
      <c r="J592" s="7" t="e">
        <f>J593+#REF!</f>
        <v>#REF!</v>
      </c>
      <c r="K592" s="7" t="e">
        <f>K593+#REF!</f>
        <v>#REF!</v>
      </c>
      <c r="L592" s="7">
        <f>L599+L603+L608+L612+L613+L614</f>
        <v>3957.2</v>
      </c>
      <c r="M592" s="7">
        <f t="shared" ref="M592" si="353">M599+M603+M608+M612+M613+M614</f>
        <v>913.5</v>
      </c>
      <c r="N592" s="7">
        <f t="shared" si="348"/>
        <v>23.084504194885273</v>
      </c>
    </row>
    <row r="593" spans="1:14" ht="31.5">
      <c r="A593" s="33" t="s">
        <v>210</v>
      </c>
      <c r="B593" s="21" t="s">
        <v>939</v>
      </c>
      <c r="C593" s="42" t="s">
        <v>171</v>
      </c>
      <c r="D593" s="42" t="s">
        <v>193</v>
      </c>
      <c r="E593" s="2"/>
      <c r="F593" s="2"/>
      <c r="G593" s="7">
        <f>G594</f>
        <v>29</v>
      </c>
      <c r="H593" s="7">
        <f t="shared" ref="H593:M594" si="354">H594</f>
        <v>29</v>
      </c>
      <c r="I593" s="7">
        <f t="shared" si="354"/>
        <v>0</v>
      </c>
      <c r="J593" s="7">
        <f t="shared" si="354"/>
        <v>0</v>
      </c>
      <c r="K593" s="7">
        <f t="shared" si="354"/>
        <v>0</v>
      </c>
      <c r="L593" s="7">
        <f t="shared" si="354"/>
        <v>23</v>
      </c>
      <c r="M593" s="7">
        <f t="shared" si="354"/>
        <v>0</v>
      </c>
      <c r="N593" s="7">
        <f t="shared" si="348"/>
        <v>0</v>
      </c>
    </row>
    <row r="594" spans="1:14" ht="31.5">
      <c r="A594" s="26" t="s">
        <v>184</v>
      </c>
      <c r="B594" s="21" t="s">
        <v>939</v>
      </c>
      <c r="C594" s="42" t="s">
        <v>171</v>
      </c>
      <c r="D594" s="42" t="s">
        <v>193</v>
      </c>
      <c r="E594" s="2">
        <v>200</v>
      </c>
      <c r="F594" s="2"/>
      <c r="G594" s="7">
        <f>G595</f>
        <v>29</v>
      </c>
      <c r="H594" s="7">
        <f t="shared" si="354"/>
        <v>29</v>
      </c>
      <c r="I594" s="7">
        <f t="shared" si="354"/>
        <v>0</v>
      </c>
      <c r="J594" s="7">
        <f t="shared" si="354"/>
        <v>0</v>
      </c>
      <c r="K594" s="7">
        <f t="shared" si="354"/>
        <v>0</v>
      </c>
      <c r="L594" s="7">
        <f t="shared" si="354"/>
        <v>23</v>
      </c>
      <c r="M594" s="7">
        <f t="shared" si="354"/>
        <v>0</v>
      </c>
      <c r="N594" s="7">
        <f t="shared" si="348"/>
        <v>0</v>
      </c>
    </row>
    <row r="595" spans="1:14" ht="31.5">
      <c r="A595" s="26" t="s">
        <v>186</v>
      </c>
      <c r="B595" s="21" t="s">
        <v>939</v>
      </c>
      <c r="C595" s="42" t="s">
        <v>171</v>
      </c>
      <c r="D595" s="42" t="s">
        <v>193</v>
      </c>
      <c r="E595" s="2">
        <v>240</v>
      </c>
      <c r="F595" s="2"/>
      <c r="G595" s="7">
        <f>'Прил.№4 ведомств.'!G100</f>
        <v>29</v>
      </c>
      <c r="H595" s="7">
        <f>'Прил.№4 ведомств.'!I100</f>
        <v>29</v>
      </c>
      <c r="I595" s="7">
        <f>'Прил.№4 ведомств.'!J100</f>
        <v>0</v>
      </c>
      <c r="J595" s="7">
        <f>'Прил.№4 ведомств.'!K100</f>
        <v>0</v>
      </c>
      <c r="K595" s="7">
        <f>'Прил.№4 ведомств.'!L100</f>
        <v>0</v>
      </c>
      <c r="L595" s="7">
        <f>'Прил.№4 ведомств.'!M100</f>
        <v>23</v>
      </c>
      <c r="M595" s="7">
        <f>'Прил.№4 ведомств.'!N100</f>
        <v>0</v>
      </c>
      <c r="N595" s="7">
        <f t="shared" si="348"/>
        <v>0</v>
      </c>
    </row>
    <row r="596" spans="1:14" ht="31.5">
      <c r="A596" s="283" t="s">
        <v>942</v>
      </c>
      <c r="B596" s="21" t="s">
        <v>941</v>
      </c>
      <c r="C596" s="42" t="s">
        <v>171</v>
      </c>
      <c r="D596" s="42" t="s">
        <v>193</v>
      </c>
      <c r="E596" s="2"/>
      <c r="F596" s="2"/>
      <c r="G596" s="7">
        <f>G597</f>
        <v>29</v>
      </c>
      <c r="H596" s="7">
        <f t="shared" ref="H596:M597" si="355">H597</f>
        <v>29</v>
      </c>
      <c r="I596" s="7">
        <f t="shared" si="355"/>
        <v>0</v>
      </c>
      <c r="J596" s="7">
        <f t="shared" si="355"/>
        <v>0</v>
      </c>
      <c r="K596" s="7">
        <f t="shared" si="355"/>
        <v>0</v>
      </c>
      <c r="L596" s="7">
        <f t="shared" si="355"/>
        <v>15</v>
      </c>
      <c r="M596" s="7">
        <f t="shared" si="355"/>
        <v>0</v>
      </c>
      <c r="N596" s="7">
        <f t="shared" si="348"/>
        <v>0</v>
      </c>
    </row>
    <row r="597" spans="1:14" ht="31.5">
      <c r="A597" s="26" t="s">
        <v>184</v>
      </c>
      <c r="B597" s="21" t="s">
        <v>941</v>
      </c>
      <c r="C597" s="42" t="s">
        <v>171</v>
      </c>
      <c r="D597" s="42" t="s">
        <v>193</v>
      </c>
      <c r="E597" s="2">
        <v>200</v>
      </c>
      <c r="F597" s="2"/>
      <c r="G597" s="7">
        <f>G598</f>
        <v>29</v>
      </c>
      <c r="H597" s="7">
        <f t="shared" si="355"/>
        <v>29</v>
      </c>
      <c r="I597" s="7">
        <f t="shared" si="355"/>
        <v>0</v>
      </c>
      <c r="J597" s="7">
        <f t="shared" si="355"/>
        <v>0</v>
      </c>
      <c r="K597" s="7">
        <f t="shared" si="355"/>
        <v>0</v>
      </c>
      <c r="L597" s="7">
        <f t="shared" si="355"/>
        <v>15</v>
      </c>
      <c r="M597" s="7">
        <f t="shared" si="355"/>
        <v>0</v>
      </c>
      <c r="N597" s="7">
        <f t="shared" si="348"/>
        <v>0</v>
      </c>
    </row>
    <row r="598" spans="1:14" ht="31.5">
      <c r="A598" s="26" t="s">
        <v>186</v>
      </c>
      <c r="B598" s="21" t="s">
        <v>941</v>
      </c>
      <c r="C598" s="42" t="s">
        <v>171</v>
      </c>
      <c r="D598" s="42" t="s">
        <v>193</v>
      </c>
      <c r="E598" s="2">
        <v>240</v>
      </c>
      <c r="F598" s="2"/>
      <c r="G598" s="7">
        <f>'Прил.№4 ведомств.'!G106</f>
        <v>29</v>
      </c>
      <c r="H598" s="7">
        <f>'Прил.№4 ведомств.'!I106</f>
        <v>29</v>
      </c>
      <c r="I598" s="7">
        <f>'Прил.№4 ведомств.'!J106</f>
        <v>0</v>
      </c>
      <c r="J598" s="7">
        <f>'Прил.№4 ведомств.'!K106</f>
        <v>0</v>
      </c>
      <c r="K598" s="7">
        <f>'Прил.№4 ведомств.'!L106</f>
        <v>0</v>
      </c>
      <c r="L598" s="7">
        <f>'Прил.№4 ведомств.'!M106</f>
        <v>15</v>
      </c>
      <c r="M598" s="7">
        <f>'Прил.№4 ведомств.'!N106</f>
        <v>0</v>
      </c>
      <c r="N598" s="7">
        <f t="shared" si="348"/>
        <v>0</v>
      </c>
    </row>
    <row r="599" spans="1:14" ht="15.75">
      <c r="A599" s="31" t="s">
        <v>201</v>
      </c>
      <c r="B599" s="21" t="s">
        <v>805</v>
      </c>
      <c r="C599" s="42" t="s">
        <v>171</v>
      </c>
      <c r="D599" s="42" t="s">
        <v>193</v>
      </c>
      <c r="E599" s="2"/>
      <c r="F599" s="2">
        <v>902</v>
      </c>
      <c r="G599" s="7" t="e">
        <f t="shared" ref="G599:K599" si="356">G591</f>
        <v>#REF!</v>
      </c>
      <c r="H599" s="7" t="e">
        <f t="shared" si="356"/>
        <v>#REF!</v>
      </c>
      <c r="I599" s="7" t="e">
        <f t="shared" si="356"/>
        <v>#REF!</v>
      </c>
      <c r="J599" s="7" t="e">
        <f t="shared" si="356"/>
        <v>#REF!</v>
      </c>
      <c r="K599" s="7" t="e">
        <f t="shared" si="356"/>
        <v>#REF!</v>
      </c>
      <c r="L599" s="7">
        <f>L593+L596</f>
        <v>38</v>
      </c>
      <c r="M599" s="7">
        <f t="shared" ref="M599" si="357">M593+M596</f>
        <v>0</v>
      </c>
      <c r="N599" s="7">
        <f t="shared" si="348"/>
        <v>0</v>
      </c>
    </row>
    <row r="600" spans="1:14" ht="31.5">
      <c r="A600" s="33" t="s">
        <v>210</v>
      </c>
      <c r="B600" s="21" t="s">
        <v>939</v>
      </c>
      <c r="C600" s="42" t="s">
        <v>171</v>
      </c>
      <c r="D600" s="42" t="s">
        <v>193</v>
      </c>
      <c r="E600" s="2"/>
      <c r="F600" s="2"/>
      <c r="G600" s="7"/>
      <c r="H600" s="7"/>
      <c r="I600" s="7"/>
      <c r="J600" s="7"/>
      <c r="K600" s="7"/>
      <c r="L600" s="7">
        <f>L601</f>
        <v>5</v>
      </c>
      <c r="M600" s="7">
        <f t="shared" ref="M600:M601" si="358">M601</f>
        <v>0</v>
      </c>
      <c r="N600" s="7">
        <f t="shared" si="348"/>
        <v>0</v>
      </c>
    </row>
    <row r="601" spans="1:14" ht="31.5">
      <c r="A601" s="26" t="s">
        <v>184</v>
      </c>
      <c r="B601" s="21" t="s">
        <v>939</v>
      </c>
      <c r="C601" s="42" t="s">
        <v>171</v>
      </c>
      <c r="D601" s="42" t="s">
        <v>193</v>
      </c>
      <c r="E601" s="2">
        <v>200</v>
      </c>
      <c r="F601" s="2"/>
      <c r="G601" s="7"/>
      <c r="H601" s="7"/>
      <c r="I601" s="7"/>
      <c r="J601" s="7"/>
      <c r="K601" s="7"/>
      <c r="L601" s="7">
        <f>L602</f>
        <v>5</v>
      </c>
      <c r="M601" s="7">
        <f t="shared" si="358"/>
        <v>0</v>
      </c>
      <c r="N601" s="7">
        <f t="shared" si="348"/>
        <v>0</v>
      </c>
    </row>
    <row r="602" spans="1:14" ht="31.5">
      <c r="A602" s="26" t="s">
        <v>186</v>
      </c>
      <c r="B602" s="21" t="s">
        <v>939</v>
      </c>
      <c r="C602" s="42" t="s">
        <v>171</v>
      </c>
      <c r="D602" s="42" t="s">
        <v>193</v>
      </c>
      <c r="E602" s="2">
        <v>240</v>
      </c>
      <c r="F602" s="2"/>
      <c r="G602" s="7"/>
      <c r="H602" s="7"/>
      <c r="I602" s="7"/>
      <c r="J602" s="7"/>
      <c r="K602" s="7"/>
      <c r="L602" s="7">
        <f>'Прил.№4 ведомств.'!M260</f>
        <v>5</v>
      </c>
      <c r="M602" s="7">
        <f>'Прил.№4 ведомств.'!N260</f>
        <v>0</v>
      </c>
      <c r="N602" s="7">
        <f t="shared" si="348"/>
        <v>0</v>
      </c>
    </row>
    <row r="603" spans="1:14" ht="47.25">
      <c r="A603" s="26" t="s">
        <v>314</v>
      </c>
      <c r="B603" s="21" t="s">
        <v>805</v>
      </c>
      <c r="C603" s="42" t="s">
        <v>171</v>
      </c>
      <c r="D603" s="42" t="s">
        <v>193</v>
      </c>
      <c r="E603" s="2"/>
      <c r="F603" s="2">
        <v>903</v>
      </c>
      <c r="G603" s="7"/>
      <c r="H603" s="7"/>
      <c r="I603" s="7"/>
      <c r="J603" s="7"/>
      <c r="K603" s="7"/>
      <c r="L603" s="7">
        <f>L600</f>
        <v>5</v>
      </c>
      <c r="M603" s="7">
        <f t="shared" ref="M603" si="359">M600</f>
        <v>0</v>
      </c>
      <c r="N603" s="7">
        <f t="shared" si="348"/>
        <v>0</v>
      </c>
    </row>
    <row r="604" spans="1:14" ht="31.5">
      <c r="A604" s="47" t="s">
        <v>943</v>
      </c>
      <c r="B604" s="21" t="s">
        <v>944</v>
      </c>
      <c r="C604" s="42" t="s">
        <v>171</v>
      </c>
      <c r="D604" s="42" t="s">
        <v>193</v>
      </c>
      <c r="E604" s="2"/>
      <c r="F604" s="2"/>
      <c r="G604" s="7"/>
      <c r="H604" s="7"/>
      <c r="I604" s="7"/>
      <c r="J604" s="7"/>
      <c r="K604" s="7"/>
      <c r="L604" s="7">
        <f>L605</f>
        <v>63.6</v>
      </c>
      <c r="M604" s="7">
        <f t="shared" ref="M604:M606" si="360">M605</f>
        <v>0</v>
      </c>
      <c r="N604" s="7">
        <f t="shared" si="348"/>
        <v>0</v>
      </c>
    </row>
    <row r="605" spans="1:14" ht="31.5">
      <c r="A605" s="47" t="s">
        <v>943</v>
      </c>
      <c r="B605" s="21" t="s">
        <v>944</v>
      </c>
      <c r="C605" s="42" t="s">
        <v>171</v>
      </c>
      <c r="D605" s="42" t="s">
        <v>193</v>
      </c>
      <c r="E605" s="2"/>
      <c r="F605" s="2"/>
      <c r="G605" s="7"/>
      <c r="H605" s="7"/>
      <c r="I605" s="7"/>
      <c r="J605" s="7"/>
      <c r="K605" s="7"/>
      <c r="L605" s="7">
        <f>L606</f>
        <v>63.6</v>
      </c>
      <c r="M605" s="7">
        <f t="shared" si="360"/>
        <v>0</v>
      </c>
      <c r="N605" s="7">
        <f t="shared" si="348"/>
        <v>0</v>
      </c>
    </row>
    <row r="606" spans="1:14" ht="31.5">
      <c r="A606" s="26" t="s">
        <v>184</v>
      </c>
      <c r="B606" s="21" t="s">
        <v>944</v>
      </c>
      <c r="C606" s="42" t="s">
        <v>171</v>
      </c>
      <c r="D606" s="42" t="s">
        <v>193</v>
      </c>
      <c r="E606" s="2">
        <v>200</v>
      </c>
      <c r="F606" s="2"/>
      <c r="G606" s="7"/>
      <c r="H606" s="7"/>
      <c r="I606" s="7"/>
      <c r="J606" s="7"/>
      <c r="K606" s="7"/>
      <c r="L606" s="7">
        <f>L607</f>
        <v>63.6</v>
      </c>
      <c r="M606" s="7">
        <f t="shared" si="360"/>
        <v>0</v>
      </c>
      <c r="N606" s="7">
        <f t="shared" si="348"/>
        <v>0</v>
      </c>
    </row>
    <row r="607" spans="1:14" ht="31.5">
      <c r="A607" s="26" t="s">
        <v>186</v>
      </c>
      <c r="B607" s="21" t="s">
        <v>944</v>
      </c>
      <c r="C607" s="42" t="s">
        <v>171</v>
      </c>
      <c r="D607" s="42" t="s">
        <v>193</v>
      </c>
      <c r="E607" s="2">
        <v>240</v>
      </c>
      <c r="F607" s="2"/>
      <c r="G607" s="7"/>
      <c r="H607" s="7"/>
      <c r="I607" s="7"/>
      <c r="J607" s="7"/>
      <c r="K607" s="7"/>
      <c r="L607" s="7">
        <f>'Прил.№4 ведомств.'!M1092</f>
        <v>63.6</v>
      </c>
      <c r="M607" s="7">
        <f>'Прил.№4 ведомств.'!N1092</f>
        <v>0</v>
      </c>
      <c r="N607" s="7">
        <f t="shared" si="348"/>
        <v>0</v>
      </c>
    </row>
    <row r="608" spans="1:14" ht="15.75">
      <c r="A608" s="47" t="s">
        <v>635</v>
      </c>
      <c r="B608" s="21" t="s">
        <v>805</v>
      </c>
      <c r="C608" s="42" t="s">
        <v>171</v>
      </c>
      <c r="D608" s="42" t="s">
        <v>193</v>
      </c>
      <c r="E608" s="2"/>
      <c r="F608" s="2">
        <v>913</v>
      </c>
      <c r="G608" s="7"/>
      <c r="H608" s="7"/>
      <c r="I608" s="7"/>
      <c r="J608" s="7"/>
      <c r="K608" s="7"/>
      <c r="L608" s="7">
        <f>L605</f>
        <v>63.6</v>
      </c>
      <c r="M608" s="7">
        <f t="shared" ref="M608" si="361">M605</f>
        <v>0</v>
      </c>
      <c r="N608" s="7">
        <f t="shared" si="348"/>
        <v>0</v>
      </c>
    </row>
    <row r="609" spans="1:14" ht="47.25">
      <c r="A609" s="47" t="s">
        <v>957</v>
      </c>
      <c r="B609" s="21" t="s">
        <v>958</v>
      </c>
      <c r="C609" s="42" t="s">
        <v>171</v>
      </c>
      <c r="D609" s="42" t="s">
        <v>193</v>
      </c>
      <c r="E609" s="2"/>
      <c r="F609" s="2"/>
      <c r="G609" s="7"/>
      <c r="H609" s="7"/>
      <c r="I609" s="7"/>
      <c r="J609" s="7"/>
      <c r="K609" s="7"/>
      <c r="L609" s="7">
        <f>L610</f>
        <v>3850.6</v>
      </c>
      <c r="M609" s="7">
        <f t="shared" ref="M609:M610" si="362">M610</f>
        <v>913.5</v>
      </c>
      <c r="N609" s="7">
        <f t="shared" si="348"/>
        <v>23.723575546668052</v>
      </c>
    </row>
    <row r="610" spans="1:14" ht="31.5">
      <c r="A610" s="31" t="s">
        <v>325</v>
      </c>
      <c r="B610" s="21" t="s">
        <v>958</v>
      </c>
      <c r="C610" s="42" t="s">
        <v>171</v>
      </c>
      <c r="D610" s="42" t="s">
        <v>193</v>
      </c>
      <c r="E610" s="2">
        <v>600</v>
      </c>
      <c r="F610" s="2"/>
      <c r="G610" s="7"/>
      <c r="H610" s="7"/>
      <c r="I610" s="7"/>
      <c r="J610" s="7"/>
      <c r="K610" s="7"/>
      <c r="L610" s="7">
        <f>L611</f>
        <v>3850.6</v>
      </c>
      <c r="M610" s="7">
        <f t="shared" si="362"/>
        <v>913.5</v>
      </c>
      <c r="N610" s="7">
        <f t="shared" si="348"/>
        <v>23.723575546668052</v>
      </c>
    </row>
    <row r="611" spans="1:14" ht="15.75">
      <c r="A611" s="258" t="s">
        <v>327</v>
      </c>
      <c r="B611" s="21" t="s">
        <v>958</v>
      </c>
      <c r="C611" s="42" t="s">
        <v>171</v>
      </c>
      <c r="D611" s="42" t="s">
        <v>193</v>
      </c>
      <c r="E611" s="2">
        <v>610</v>
      </c>
      <c r="F611" s="2"/>
      <c r="G611" s="7"/>
      <c r="H611" s="7"/>
      <c r="I611" s="7"/>
      <c r="J611" s="7"/>
      <c r="K611" s="7"/>
      <c r="L611" s="7">
        <f>L612+L613+L614</f>
        <v>3850.6</v>
      </c>
      <c r="M611" s="7">
        <f t="shared" ref="M611" si="363">M612+M613+M614</f>
        <v>913.5</v>
      </c>
      <c r="N611" s="7">
        <f t="shared" si="348"/>
        <v>23.723575546668052</v>
      </c>
    </row>
    <row r="612" spans="1:14" ht="47.25">
      <c r="A612" s="26" t="s">
        <v>314</v>
      </c>
      <c r="B612" s="21" t="s">
        <v>958</v>
      </c>
      <c r="C612" s="42" t="s">
        <v>171</v>
      </c>
      <c r="D612" s="42" t="s">
        <v>193</v>
      </c>
      <c r="E612" s="2"/>
      <c r="F612" s="2">
        <v>903</v>
      </c>
      <c r="G612" s="7"/>
      <c r="H612" s="7"/>
      <c r="I612" s="7"/>
      <c r="J612" s="7"/>
      <c r="K612" s="7"/>
      <c r="L612" s="7">
        <f>'Прил.№4 ведомств.'!M282</f>
        <v>1343.7</v>
      </c>
      <c r="M612" s="7">
        <f>'Прил.№4 ведомств.'!N282</f>
        <v>0</v>
      </c>
      <c r="N612" s="7">
        <f t="shared" si="348"/>
        <v>0</v>
      </c>
    </row>
    <row r="613" spans="1:14" ht="31.5">
      <c r="A613" s="47" t="s">
        <v>457</v>
      </c>
      <c r="B613" s="21" t="s">
        <v>958</v>
      </c>
      <c r="C613" s="42" t="s">
        <v>171</v>
      </c>
      <c r="D613" s="42" t="s">
        <v>193</v>
      </c>
      <c r="E613" s="2"/>
      <c r="F613" s="2">
        <v>906</v>
      </c>
      <c r="G613" s="7"/>
      <c r="H613" s="7"/>
      <c r="I613" s="7"/>
      <c r="J613" s="7"/>
      <c r="K613" s="7"/>
      <c r="L613" s="7">
        <f>'Прил.№4 ведомств.'!M589</f>
        <v>1638.3</v>
      </c>
      <c r="M613" s="7">
        <f>'Прил.№4 ведомств.'!N589</f>
        <v>624</v>
      </c>
      <c r="N613" s="7">
        <f t="shared" si="348"/>
        <v>38.088262223036075</v>
      </c>
    </row>
    <row r="614" spans="1:14" ht="31.5">
      <c r="A614" s="47" t="s">
        <v>534</v>
      </c>
      <c r="B614" s="21" t="s">
        <v>958</v>
      </c>
      <c r="C614" s="42" t="s">
        <v>171</v>
      </c>
      <c r="D614" s="42" t="s">
        <v>193</v>
      </c>
      <c r="E614" s="2"/>
      <c r="F614" s="2">
        <v>907</v>
      </c>
      <c r="G614" s="7"/>
      <c r="H614" s="7"/>
      <c r="I614" s="7"/>
      <c r="J614" s="7"/>
      <c r="K614" s="7"/>
      <c r="L614" s="7">
        <f>'Прил.№4 ведомств.'!M775</f>
        <v>868.6</v>
      </c>
      <c r="M614" s="7">
        <f>'Прил.№4 ведомств.'!N775</f>
        <v>289.5</v>
      </c>
      <c r="N614" s="7">
        <f t="shared" si="348"/>
        <v>33.329495740271703</v>
      </c>
    </row>
    <row r="615" spans="1:14" ht="63">
      <c r="A615" s="24" t="s">
        <v>809</v>
      </c>
      <c r="B615" s="25" t="s">
        <v>811</v>
      </c>
      <c r="C615" s="8"/>
      <c r="D615" s="8"/>
      <c r="E615" s="3"/>
      <c r="F615" s="3"/>
      <c r="G615" s="4">
        <f>G616</f>
        <v>600</v>
      </c>
      <c r="H615" s="4">
        <f t="shared" ref="H615:M619" si="364">H616</f>
        <v>600</v>
      </c>
      <c r="I615" s="4">
        <f t="shared" si="364"/>
        <v>0</v>
      </c>
      <c r="J615" s="4">
        <f t="shared" si="364"/>
        <v>0</v>
      </c>
      <c r="K615" s="4">
        <f t="shared" si="364"/>
        <v>0</v>
      </c>
      <c r="L615" s="4">
        <f t="shared" si="364"/>
        <v>500</v>
      </c>
      <c r="M615" s="4">
        <f t="shared" si="364"/>
        <v>0</v>
      </c>
      <c r="N615" s="4">
        <f t="shared" si="348"/>
        <v>0</v>
      </c>
    </row>
    <row r="616" spans="1:14" ht="15.75">
      <c r="A616" s="26" t="s">
        <v>444</v>
      </c>
      <c r="B616" s="21" t="s">
        <v>811</v>
      </c>
      <c r="C616" s="42" t="s">
        <v>287</v>
      </c>
      <c r="D616" s="42"/>
      <c r="E616" s="2"/>
      <c r="F616" s="2"/>
      <c r="G616" s="7">
        <f>G617</f>
        <v>600</v>
      </c>
      <c r="H616" s="7">
        <f t="shared" si="364"/>
        <v>600</v>
      </c>
      <c r="I616" s="7">
        <f t="shared" si="364"/>
        <v>0</v>
      </c>
      <c r="J616" s="7">
        <f t="shared" si="364"/>
        <v>0</v>
      </c>
      <c r="K616" s="7">
        <f t="shared" si="364"/>
        <v>0</v>
      </c>
      <c r="L616" s="7">
        <f t="shared" si="364"/>
        <v>500</v>
      </c>
      <c r="M616" s="7">
        <f t="shared" si="364"/>
        <v>0</v>
      </c>
      <c r="N616" s="7">
        <f t="shared" si="348"/>
        <v>0</v>
      </c>
    </row>
    <row r="617" spans="1:14" ht="15.75">
      <c r="A617" s="26" t="s">
        <v>595</v>
      </c>
      <c r="B617" s="21" t="s">
        <v>811</v>
      </c>
      <c r="C617" s="42" t="s">
        <v>287</v>
      </c>
      <c r="D617" s="42" t="s">
        <v>268</v>
      </c>
      <c r="E617" s="2"/>
      <c r="F617" s="2"/>
      <c r="G617" s="7">
        <f>G618</f>
        <v>600</v>
      </c>
      <c r="H617" s="7">
        <f t="shared" si="364"/>
        <v>600</v>
      </c>
      <c r="I617" s="7">
        <f t="shared" si="364"/>
        <v>0</v>
      </c>
      <c r="J617" s="7">
        <f t="shared" si="364"/>
        <v>0</v>
      </c>
      <c r="K617" s="7">
        <f t="shared" si="364"/>
        <v>0</v>
      </c>
      <c r="L617" s="7">
        <f t="shared" si="364"/>
        <v>500</v>
      </c>
      <c r="M617" s="7">
        <f t="shared" si="364"/>
        <v>0</v>
      </c>
      <c r="N617" s="7">
        <f t="shared" si="348"/>
        <v>0</v>
      </c>
    </row>
    <row r="618" spans="1:14" ht="31.5">
      <c r="A618" s="94" t="s">
        <v>810</v>
      </c>
      <c r="B618" s="21" t="s">
        <v>812</v>
      </c>
      <c r="C618" s="42" t="s">
        <v>287</v>
      </c>
      <c r="D618" s="42" t="s">
        <v>268</v>
      </c>
      <c r="E618" s="2"/>
      <c r="F618" s="2"/>
      <c r="G618" s="7">
        <f>G619</f>
        <v>600</v>
      </c>
      <c r="H618" s="7">
        <f t="shared" si="364"/>
        <v>600</v>
      </c>
      <c r="I618" s="7">
        <f t="shared" si="364"/>
        <v>0</v>
      </c>
      <c r="J618" s="7">
        <f t="shared" si="364"/>
        <v>0</v>
      </c>
      <c r="K618" s="7">
        <f t="shared" si="364"/>
        <v>0</v>
      </c>
      <c r="L618" s="7">
        <f t="shared" si="364"/>
        <v>500</v>
      </c>
      <c r="M618" s="7">
        <f t="shared" si="364"/>
        <v>0</v>
      </c>
      <c r="N618" s="7">
        <f t="shared" si="348"/>
        <v>0</v>
      </c>
    </row>
    <row r="619" spans="1:14" ht="31.5">
      <c r="A619" s="26" t="s">
        <v>184</v>
      </c>
      <c r="B619" s="21" t="s">
        <v>812</v>
      </c>
      <c r="C619" s="42" t="s">
        <v>287</v>
      </c>
      <c r="D619" s="42" t="s">
        <v>268</v>
      </c>
      <c r="E619" s="2">
        <v>200</v>
      </c>
      <c r="F619" s="2"/>
      <c r="G619" s="7">
        <f>G620</f>
        <v>600</v>
      </c>
      <c r="H619" s="7">
        <f t="shared" si="364"/>
        <v>600</v>
      </c>
      <c r="I619" s="7">
        <f t="shared" si="364"/>
        <v>0</v>
      </c>
      <c r="J619" s="7">
        <f t="shared" si="364"/>
        <v>0</v>
      </c>
      <c r="K619" s="7">
        <f t="shared" si="364"/>
        <v>0</v>
      </c>
      <c r="L619" s="7">
        <f t="shared" si="364"/>
        <v>500</v>
      </c>
      <c r="M619" s="7">
        <f t="shared" si="364"/>
        <v>0</v>
      </c>
      <c r="N619" s="7">
        <f t="shared" si="348"/>
        <v>0</v>
      </c>
    </row>
    <row r="620" spans="1:14" ht="31.5">
      <c r="A620" s="26" t="s">
        <v>186</v>
      </c>
      <c r="B620" s="21" t="s">
        <v>812</v>
      </c>
      <c r="C620" s="42" t="s">
        <v>287</v>
      </c>
      <c r="D620" s="42" t="s">
        <v>268</v>
      </c>
      <c r="E620" s="2">
        <v>240</v>
      </c>
      <c r="F620" s="2"/>
      <c r="G620" s="7">
        <f>'Прил.№4 ведомств.'!G1000</f>
        <v>600</v>
      </c>
      <c r="H620" s="7">
        <f>'Прил.№4 ведомств.'!I1000</f>
        <v>600</v>
      </c>
      <c r="I620" s="7">
        <f>'Прил.№4 ведомств.'!J1000</f>
        <v>0</v>
      </c>
      <c r="J620" s="7">
        <f>'Прил.№4 ведомств.'!K1000</f>
        <v>0</v>
      </c>
      <c r="K620" s="7">
        <f>'Прил.№4 ведомств.'!L1000</f>
        <v>0</v>
      </c>
      <c r="L620" s="7">
        <f>'Прил.№4 ведомств.'!M1000</f>
        <v>500</v>
      </c>
      <c r="M620" s="7">
        <f>'Прил.№4 ведомств.'!N1000</f>
        <v>0</v>
      </c>
      <c r="N620" s="7">
        <f t="shared" si="348"/>
        <v>0</v>
      </c>
    </row>
    <row r="621" spans="1:14" ht="31.5">
      <c r="A621" s="47" t="s">
        <v>703</v>
      </c>
      <c r="B621" s="21" t="s">
        <v>811</v>
      </c>
      <c r="C621" s="42" t="s">
        <v>287</v>
      </c>
      <c r="D621" s="42" t="s">
        <v>268</v>
      </c>
      <c r="E621" s="2"/>
      <c r="F621" s="2">
        <v>908</v>
      </c>
      <c r="G621" s="7">
        <f>G615</f>
        <v>600</v>
      </c>
      <c r="H621" s="7">
        <f t="shared" ref="H621:L621" si="365">H615</f>
        <v>600</v>
      </c>
      <c r="I621" s="7">
        <f t="shared" si="365"/>
        <v>0</v>
      </c>
      <c r="J621" s="7">
        <f t="shared" si="365"/>
        <v>0</v>
      </c>
      <c r="K621" s="7">
        <f t="shared" si="365"/>
        <v>0</v>
      </c>
      <c r="L621" s="7">
        <f t="shared" si="365"/>
        <v>500</v>
      </c>
      <c r="M621" s="7">
        <f t="shared" ref="M621" si="366">M615</f>
        <v>0</v>
      </c>
      <c r="N621" s="7">
        <f t="shared" si="348"/>
        <v>0</v>
      </c>
    </row>
    <row r="622" spans="1:14" s="284" customFormat="1" ht="63">
      <c r="A622" s="64" t="s">
        <v>961</v>
      </c>
      <c r="B622" s="25" t="s">
        <v>966</v>
      </c>
      <c r="C622" s="8"/>
      <c r="D622" s="8"/>
      <c r="E622" s="3"/>
      <c r="F622" s="3"/>
      <c r="G622" s="4"/>
      <c r="H622" s="4"/>
      <c r="I622" s="4"/>
      <c r="J622" s="4"/>
      <c r="K622" s="4"/>
      <c r="L622" s="4">
        <f>L623</f>
        <v>200</v>
      </c>
      <c r="M622" s="4">
        <f t="shared" ref="M622:M626" si="367">M623</f>
        <v>0</v>
      </c>
      <c r="N622" s="4">
        <f t="shared" si="348"/>
        <v>0</v>
      </c>
    </row>
    <row r="623" spans="1:14" ht="15.75">
      <c r="A623" s="47" t="s">
        <v>170</v>
      </c>
      <c r="B623" s="21" t="s">
        <v>966</v>
      </c>
      <c r="C623" s="42" t="s">
        <v>171</v>
      </c>
      <c r="D623" s="42"/>
      <c r="E623" s="2"/>
      <c r="F623" s="2"/>
      <c r="G623" s="7"/>
      <c r="H623" s="7"/>
      <c r="I623" s="7"/>
      <c r="J623" s="7"/>
      <c r="K623" s="7"/>
      <c r="L623" s="7">
        <f>L624</f>
        <v>200</v>
      </c>
      <c r="M623" s="7">
        <f t="shared" si="367"/>
        <v>0</v>
      </c>
      <c r="N623" s="7">
        <f t="shared" si="348"/>
        <v>0</v>
      </c>
    </row>
    <row r="624" spans="1:14" ht="15.75">
      <c r="A624" s="47" t="s">
        <v>192</v>
      </c>
      <c r="B624" s="21" t="s">
        <v>966</v>
      </c>
      <c r="C624" s="42" t="s">
        <v>171</v>
      </c>
      <c r="D624" s="42" t="s">
        <v>193</v>
      </c>
      <c r="E624" s="2"/>
      <c r="F624" s="2"/>
      <c r="G624" s="7"/>
      <c r="H624" s="7"/>
      <c r="I624" s="7"/>
      <c r="J624" s="7"/>
      <c r="K624" s="7"/>
      <c r="L624" s="7">
        <f>L625</f>
        <v>200</v>
      </c>
      <c r="M624" s="7">
        <f t="shared" si="367"/>
        <v>0</v>
      </c>
      <c r="N624" s="7">
        <f t="shared" si="348"/>
        <v>0</v>
      </c>
    </row>
    <row r="625" spans="1:14" ht="31.5">
      <c r="A625" s="47" t="s">
        <v>810</v>
      </c>
      <c r="B625" s="21" t="s">
        <v>962</v>
      </c>
      <c r="C625" s="42" t="s">
        <v>171</v>
      </c>
      <c r="D625" s="42" t="s">
        <v>193</v>
      </c>
      <c r="E625" s="2"/>
      <c r="F625" s="2"/>
      <c r="G625" s="7"/>
      <c r="H625" s="7"/>
      <c r="I625" s="7"/>
      <c r="J625" s="7"/>
      <c r="K625" s="7"/>
      <c r="L625" s="7">
        <f>L626</f>
        <v>200</v>
      </c>
      <c r="M625" s="7">
        <f t="shared" si="367"/>
        <v>0</v>
      </c>
      <c r="N625" s="7">
        <f t="shared" si="348"/>
        <v>0</v>
      </c>
    </row>
    <row r="626" spans="1:14" ht="31.5">
      <c r="A626" s="47" t="s">
        <v>184</v>
      </c>
      <c r="B626" s="21" t="s">
        <v>962</v>
      </c>
      <c r="C626" s="42" t="s">
        <v>171</v>
      </c>
      <c r="D626" s="42" t="s">
        <v>193</v>
      </c>
      <c r="E626" s="2">
        <v>200</v>
      </c>
      <c r="F626" s="2"/>
      <c r="G626" s="7"/>
      <c r="H626" s="7"/>
      <c r="I626" s="7"/>
      <c r="J626" s="7"/>
      <c r="K626" s="7"/>
      <c r="L626" s="7">
        <f>L627</f>
        <v>200</v>
      </c>
      <c r="M626" s="7">
        <f t="shared" si="367"/>
        <v>0</v>
      </c>
      <c r="N626" s="7">
        <f t="shared" si="348"/>
        <v>0</v>
      </c>
    </row>
    <row r="627" spans="1:14" ht="31.5">
      <c r="A627" s="47" t="s">
        <v>186</v>
      </c>
      <c r="B627" s="21" t="s">
        <v>962</v>
      </c>
      <c r="C627" s="42" t="s">
        <v>171</v>
      </c>
      <c r="D627" s="42" t="s">
        <v>193</v>
      </c>
      <c r="E627" s="2">
        <v>240</v>
      </c>
      <c r="F627" s="2"/>
      <c r="G627" s="7"/>
      <c r="H627" s="7"/>
      <c r="I627" s="7"/>
      <c r="J627" s="7"/>
      <c r="K627" s="7"/>
      <c r="L627" s="7">
        <f>'Прил.№4 ведомств.'!M544</f>
        <v>200</v>
      </c>
      <c r="M627" s="7">
        <f>'Прил.№4 ведомств.'!N544</f>
        <v>0</v>
      </c>
      <c r="N627" s="7">
        <f t="shared" si="348"/>
        <v>0</v>
      </c>
    </row>
    <row r="628" spans="1:14" ht="31.5">
      <c r="A628" s="47" t="s">
        <v>441</v>
      </c>
      <c r="B628" s="21" t="s">
        <v>966</v>
      </c>
      <c r="C628" s="42" t="s">
        <v>171</v>
      </c>
      <c r="D628" s="42" t="s">
        <v>193</v>
      </c>
      <c r="E628" s="2"/>
      <c r="F628" s="2">
        <v>905</v>
      </c>
      <c r="G628" s="7"/>
      <c r="H628" s="7"/>
      <c r="I628" s="7"/>
      <c r="J628" s="7"/>
      <c r="K628" s="7"/>
      <c r="L628" s="7">
        <f>L622</f>
        <v>200</v>
      </c>
      <c r="M628" s="7">
        <f t="shared" ref="M628" si="368">M622</f>
        <v>0</v>
      </c>
      <c r="N628" s="7">
        <f t="shared" si="348"/>
        <v>0</v>
      </c>
    </row>
    <row r="629" spans="1:14" ht="15.75">
      <c r="A629" s="83" t="s">
        <v>737</v>
      </c>
      <c r="B629" s="83"/>
      <c r="C629" s="83"/>
      <c r="D629" s="83"/>
      <c r="E629" s="83"/>
      <c r="F629" s="83"/>
      <c r="G629" s="145" t="e">
        <f>G11+G20+G106+G235+G248+G267+G274+G296+G358+G456+G463+G500+G516+G547+G590+G615</f>
        <v>#REF!</v>
      </c>
      <c r="H629" s="145" t="e">
        <f>H11+H20+H106+H235+H248+H267+H274+H296+H358+H456+H463+H500+H516+H547+H590+H615</f>
        <v>#REF!</v>
      </c>
      <c r="I629" s="145" t="e">
        <f>I11+I20+I106+I235+I248+I267+I274+I296+I358+I456+I463+I500+I516+I547+I590+I615</f>
        <v>#REF!</v>
      </c>
      <c r="J629" s="145" t="e">
        <f>J11+J20+J106+J235+J248+J267+J274+J296+J358+J456+J463+J500+J516+J547+J590+J615</f>
        <v>#REF!</v>
      </c>
      <c r="K629" s="145" t="e">
        <f>K11+K20+K106+K235+K248+K267+K274+K296+K358+K456+K463+K500+K516+K547+K590+K615</f>
        <v>#REF!</v>
      </c>
      <c r="L629" s="145">
        <f>L11+L20+L106+L235+L248+L267+L274+L296+L358+L456+L463+L500+L516+L547+L590+L615+L622</f>
        <v>242856.6</v>
      </c>
      <c r="M629" s="145">
        <f t="shared" ref="M629" si="369">M11+M20+M106+M235+M248+M267+M274+M296+M358+M456+M463+M500+M516+M547+M590+M615+M622</f>
        <v>79572.900000000009</v>
      </c>
      <c r="N629" s="4">
        <f t="shared" si="348"/>
        <v>32.765385004978249</v>
      </c>
    </row>
  </sheetData>
  <mergeCells count="1">
    <mergeCell ref="A7:N7"/>
  </mergeCells>
  <pageMargins left="0.39370078740157483" right="0.39370078740157483" top="1.1811023622047245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31"/>
  </cols>
  <sheetData>
    <row r="1" spans="1:8" ht="15.75">
      <c r="D1" s="1"/>
      <c r="F1" s="59" t="s">
        <v>696</v>
      </c>
    </row>
    <row r="2" spans="1:8" ht="15.75">
      <c r="D2" s="1"/>
      <c r="F2" s="59" t="s">
        <v>646</v>
      </c>
    </row>
    <row r="3" spans="1:8" ht="15.75">
      <c r="D3" s="1"/>
      <c r="F3" s="59" t="s">
        <v>842</v>
      </c>
    </row>
    <row r="4" spans="1:8" ht="15.75">
      <c r="D4" s="1"/>
      <c r="E4" s="1"/>
      <c r="F4" s="73"/>
      <c r="G4" s="74"/>
    </row>
    <row r="5" spans="1:8" ht="38.25" customHeight="1">
      <c r="A5" s="312" t="s">
        <v>817</v>
      </c>
      <c r="B5" s="312"/>
      <c r="C5" s="312"/>
      <c r="D5" s="312"/>
      <c r="E5" s="312"/>
      <c r="F5" s="312"/>
      <c r="G5" s="312"/>
    </row>
    <row r="6" spans="1:8" ht="16.5">
      <c r="A6" s="203"/>
      <c r="B6" s="203"/>
      <c r="C6" s="203"/>
      <c r="D6" s="203"/>
      <c r="E6" s="203"/>
      <c r="F6" s="203"/>
      <c r="G6" s="203"/>
    </row>
    <row r="7" spans="1:8" ht="15.75">
      <c r="A7" s="73"/>
      <c r="B7" s="73"/>
      <c r="C7" s="73"/>
      <c r="D7" s="73"/>
      <c r="E7" s="75"/>
      <c r="F7" s="75"/>
      <c r="G7" s="76" t="s">
        <v>1</v>
      </c>
    </row>
    <row r="8" spans="1:8" ht="31.5">
      <c r="A8" s="77" t="s">
        <v>647</v>
      </c>
      <c r="B8" s="77" t="s">
        <v>697</v>
      </c>
      <c r="C8" s="77" t="s">
        <v>698</v>
      </c>
      <c r="D8" s="77" t="s">
        <v>699</v>
      </c>
      <c r="E8" s="77" t="s">
        <v>700</v>
      </c>
      <c r="F8" s="77" t="s">
        <v>701</v>
      </c>
      <c r="G8" s="6" t="s">
        <v>4</v>
      </c>
    </row>
    <row r="9" spans="1:8" ht="15.75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6">
        <v>7</v>
      </c>
    </row>
    <row r="10" spans="1:8" ht="78.75">
      <c r="A10" s="64" t="s">
        <v>702</v>
      </c>
      <c r="B10" s="8" t="s">
        <v>564</v>
      </c>
      <c r="C10" s="8"/>
      <c r="D10" s="8"/>
      <c r="E10" s="8"/>
      <c r="F10" s="8"/>
      <c r="G10" s="4">
        <f>G13</f>
        <v>15124.1</v>
      </c>
    </row>
    <row r="11" spans="1:8" ht="15.75">
      <c r="A11" s="31" t="s">
        <v>285</v>
      </c>
      <c r="B11" s="42" t="s">
        <v>564</v>
      </c>
      <c r="C11" s="42" t="s">
        <v>203</v>
      </c>
      <c r="D11" s="42"/>
      <c r="E11" s="42"/>
      <c r="F11" s="42"/>
      <c r="G11" s="7">
        <f>G12</f>
        <v>15124.1</v>
      </c>
    </row>
    <row r="12" spans="1:8" ht="31.5">
      <c r="A12" s="31" t="s">
        <v>562</v>
      </c>
      <c r="B12" s="42" t="s">
        <v>564</v>
      </c>
      <c r="C12" s="42" t="s">
        <v>203</v>
      </c>
      <c r="D12" s="42" t="s">
        <v>272</v>
      </c>
      <c r="E12" s="42"/>
      <c r="F12" s="42"/>
      <c r="G12" s="7">
        <f>G13</f>
        <v>15124.1</v>
      </c>
    </row>
    <row r="13" spans="1:8" ht="15.75">
      <c r="A13" s="31" t="s">
        <v>565</v>
      </c>
      <c r="B13" s="42" t="s">
        <v>566</v>
      </c>
      <c r="C13" s="42" t="s">
        <v>203</v>
      </c>
      <c r="D13" s="42" t="s">
        <v>272</v>
      </c>
      <c r="E13" s="42"/>
      <c r="F13" s="42"/>
      <c r="G13" s="7">
        <f>G14+G16</f>
        <v>15124.1</v>
      </c>
    </row>
    <row r="14" spans="1:8" ht="47.25">
      <c r="A14" s="31" t="s">
        <v>184</v>
      </c>
      <c r="B14" s="42" t="s">
        <v>566</v>
      </c>
      <c r="C14" s="42" t="s">
        <v>203</v>
      </c>
      <c r="D14" s="42" t="s">
        <v>272</v>
      </c>
      <c r="E14" s="42" t="s">
        <v>185</v>
      </c>
      <c r="F14" s="42"/>
      <c r="G14" s="7">
        <f>G15</f>
        <v>15108.1</v>
      </c>
    </row>
    <row r="15" spans="1:8" ht="47.25">
      <c r="A15" s="31" t="s">
        <v>186</v>
      </c>
      <c r="B15" s="42" t="s">
        <v>566</v>
      </c>
      <c r="C15" s="42" t="s">
        <v>203</v>
      </c>
      <c r="D15" s="42" t="s">
        <v>272</v>
      </c>
      <c r="E15" s="42" t="s">
        <v>187</v>
      </c>
      <c r="F15" s="42"/>
      <c r="G15" s="7">
        <f>'Прил.№4 ведомств.'!G893</f>
        <v>15108.1</v>
      </c>
      <c r="H15" s="137"/>
    </row>
    <row r="16" spans="1:8" ht="15.75">
      <c r="A16" s="26" t="s">
        <v>188</v>
      </c>
      <c r="B16" s="42" t="s">
        <v>566</v>
      </c>
      <c r="C16" s="42" t="s">
        <v>203</v>
      </c>
      <c r="D16" s="42" t="s">
        <v>272</v>
      </c>
      <c r="E16" s="42" t="s">
        <v>198</v>
      </c>
      <c r="F16" s="42"/>
      <c r="G16" s="7">
        <f>G17</f>
        <v>16</v>
      </c>
    </row>
    <row r="17" spans="1:8" ht="31.5">
      <c r="A17" s="26" t="s">
        <v>190</v>
      </c>
      <c r="B17" s="42" t="s">
        <v>566</v>
      </c>
      <c r="C17" s="42" t="s">
        <v>203</v>
      </c>
      <c r="D17" s="42" t="s">
        <v>272</v>
      </c>
      <c r="E17" s="42" t="s">
        <v>191</v>
      </c>
      <c r="F17" s="42"/>
      <c r="G17" s="7">
        <f>'Прил.№4 ведомств.'!G895</f>
        <v>16</v>
      </c>
      <c r="H17" s="137"/>
    </row>
    <row r="18" spans="1:8" ht="47.25">
      <c r="A18" s="47" t="s">
        <v>703</v>
      </c>
      <c r="B18" s="42" t="s">
        <v>564</v>
      </c>
      <c r="C18" s="42" t="s">
        <v>203</v>
      </c>
      <c r="D18" s="42" t="s">
        <v>272</v>
      </c>
      <c r="E18" s="42"/>
      <c r="F18" s="42" t="s">
        <v>704</v>
      </c>
      <c r="G18" s="7">
        <f>G13</f>
        <v>15124.1</v>
      </c>
    </row>
    <row r="19" spans="1:8" ht="78.75">
      <c r="A19" s="64" t="s">
        <v>396</v>
      </c>
      <c r="B19" s="8" t="s">
        <v>397</v>
      </c>
      <c r="C19" s="8"/>
      <c r="D19" s="8"/>
      <c r="E19" s="8"/>
      <c r="F19" s="8"/>
      <c r="G19" s="68">
        <f>G20+G32+G39+G46+G55+G62+G69+G95</f>
        <v>3668</v>
      </c>
    </row>
    <row r="20" spans="1:8" ht="47.25">
      <c r="A20" s="64" t="s">
        <v>705</v>
      </c>
      <c r="B20" s="8" t="s">
        <v>399</v>
      </c>
      <c r="C20" s="8"/>
      <c r="D20" s="8"/>
      <c r="E20" s="8"/>
      <c r="F20" s="8"/>
      <c r="G20" s="68">
        <f>G21</f>
        <v>910</v>
      </c>
    </row>
    <row r="21" spans="1:8" ht="15.75">
      <c r="A21" s="47" t="s">
        <v>296</v>
      </c>
      <c r="B21" s="42" t="s">
        <v>399</v>
      </c>
      <c r="C21" s="42" t="s">
        <v>297</v>
      </c>
      <c r="D21" s="42"/>
      <c r="E21" s="42"/>
      <c r="F21" s="42"/>
      <c r="G21" s="11">
        <f>G22</f>
        <v>910</v>
      </c>
    </row>
    <row r="22" spans="1:8" ht="15.75">
      <c r="A22" s="47" t="s">
        <v>305</v>
      </c>
      <c r="B22" s="42" t="s">
        <v>399</v>
      </c>
      <c r="C22" s="42" t="s">
        <v>297</v>
      </c>
      <c r="D22" s="42" t="s">
        <v>268</v>
      </c>
      <c r="E22" s="42"/>
      <c r="F22" s="42"/>
      <c r="G22" s="11">
        <f>G23+G28</f>
        <v>910</v>
      </c>
    </row>
    <row r="23" spans="1:8" ht="47.25">
      <c r="A23" s="31" t="s">
        <v>210</v>
      </c>
      <c r="B23" s="42" t="s">
        <v>706</v>
      </c>
      <c r="C23" s="42" t="s">
        <v>297</v>
      </c>
      <c r="D23" s="42" t="s">
        <v>268</v>
      </c>
      <c r="E23" s="42"/>
      <c r="F23" s="42"/>
      <c r="G23" s="11">
        <f>G26</f>
        <v>641.4</v>
      </c>
    </row>
    <row r="24" spans="1:8" ht="110.25" hidden="1">
      <c r="A24" s="26" t="s">
        <v>180</v>
      </c>
      <c r="B24" s="42" t="s">
        <v>706</v>
      </c>
      <c r="C24" s="42" t="s">
        <v>297</v>
      </c>
      <c r="D24" s="42" t="s">
        <v>268</v>
      </c>
      <c r="E24" s="42" t="s">
        <v>181</v>
      </c>
      <c r="F24" s="42"/>
      <c r="G24" s="11">
        <f>G25</f>
        <v>0</v>
      </c>
    </row>
    <row r="25" spans="1:8" ht="47.25" hidden="1">
      <c r="A25" s="26" t="s">
        <v>182</v>
      </c>
      <c r="B25" s="42" t="s">
        <v>706</v>
      </c>
      <c r="C25" s="42" t="s">
        <v>297</v>
      </c>
      <c r="D25" s="42" t="s">
        <v>268</v>
      </c>
      <c r="E25" s="42" t="s">
        <v>183</v>
      </c>
      <c r="F25" s="42"/>
      <c r="G25" s="11"/>
    </row>
    <row r="26" spans="1:8" ht="47.25">
      <c r="A26" s="31" t="s">
        <v>184</v>
      </c>
      <c r="B26" s="42" t="s">
        <v>706</v>
      </c>
      <c r="C26" s="42" t="s">
        <v>297</v>
      </c>
      <c r="D26" s="42" t="s">
        <v>268</v>
      </c>
      <c r="E26" s="42" t="s">
        <v>185</v>
      </c>
      <c r="F26" s="42"/>
      <c r="G26" s="11">
        <f>G27</f>
        <v>641.4</v>
      </c>
    </row>
    <row r="27" spans="1:8" ht="47.25">
      <c r="A27" s="31" t="s">
        <v>186</v>
      </c>
      <c r="B27" s="42" t="s">
        <v>706</v>
      </c>
      <c r="C27" s="42" t="s">
        <v>297</v>
      </c>
      <c r="D27" s="42" t="s">
        <v>268</v>
      </c>
      <c r="E27" s="42" t="s">
        <v>187</v>
      </c>
      <c r="F27" s="42"/>
      <c r="G27" s="7">
        <f>'Прил.№4 ведомств.'!G462</f>
        <v>641.4</v>
      </c>
    </row>
    <row r="28" spans="1:8" ht="47.25">
      <c r="A28" s="26" t="s">
        <v>403</v>
      </c>
      <c r="B28" s="21" t="s">
        <v>404</v>
      </c>
      <c r="C28" s="42" t="s">
        <v>297</v>
      </c>
      <c r="D28" s="42" t="s">
        <v>268</v>
      </c>
      <c r="E28" s="42"/>
      <c r="F28" s="42"/>
      <c r="G28" s="11">
        <f>G29</f>
        <v>268.60000000000002</v>
      </c>
    </row>
    <row r="29" spans="1:8" ht="63">
      <c r="A29" s="26" t="s">
        <v>325</v>
      </c>
      <c r="B29" s="21" t="s">
        <v>404</v>
      </c>
      <c r="C29" s="42" t="s">
        <v>297</v>
      </c>
      <c r="D29" s="42" t="s">
        <v>268</v>
      </c>
      <c r="E29" s="42" t="s">
        <v>326</v>
      </c>
      <c r="F29" s="42"/>
      <c r="G29" s="11">
        <f>G30</f>
        <v>268.60000000000002</v>
      </c>
    </row>
    <row r="30" spans="1:8" ht="15.75">
      <c r="A30" s="26" t="s">
        <v>327</v>
      </c>
      <c r="B30" s="21" t="s">
        <v>404</v>
      </c>
      <c r="C30" s="42" t="s">
        <v>297</v>
      </c>
      <c r="D30" s="42" t="s">
        <v>268</v>
      </c>
      <c r="E30" s="42" t="s">
        <v>328</v>
      </c>
      <c r="F30" s="42"/>
      <c r="G30" s="11">
        <f>'Прил.№4 ведомств.'!G467</f>
        <v>268.60000000000002</v>
      </c>
      <c r="H30" s="137"/>
    </row>
    <row r="31" spans="1:8" ht="63">
      <c r="A31" s="47" t="s">
        <v>314</v>
      </c>
      <c r="B31" s="21" t="s">
        <v>399</v>
      </c>
      <c r="C31" s="42" t="s">
        <v>297</v>
      </c>
      <c r="D31" s="42" t="s">
        <v>268</v>
      </c>
      <c r="E31" s="42"/>
      <c r="F31" s="42" t="s">
        <v>707</v>
      </c>
      <c r="G31" s="7">
        <f>G20</f>
        <v>910</v>
      </c>
    </row>
    <row r="32" spans="1:8" ht="47.25">
      <c r="A32" s="64" t="s">
        <v>708</v>
      </c>
      <c r="B32" s="8" t="s">
        <v>406</v>
      </c>
      <c r="C32" s="8"/>
      <c r="D32" s="8"/>
      <c r="E32" s="8"/>
      <c r="F32" s="8"/>
      <c r="G32" s="68">
        <f>G33</f>
        <v>63</v>
      </c>
    </row>
    <row r="33" spans="1:7" ht="15.75">
      <c r="A33" s="47" t="s">
        <v>296</v>
      </c>
      <c r="B33" s="42" t="s">
        <v>406</v>
      </c>
      <c r="C33" s="42" t="s">
        <v>297</v>
      </c>
      <c r="D33" s="42"/>
      <c r="E33" s="42"/>
      <c r="F33" s="42"/>
      <c r="G33" s="11">
        <f>G34</f>
        <v>63</v>
      </c>
    </row>
    <row r="34" spans="1:7" ht="15.75">
      <c r="A34" s="47" t="s">
        <v>305</v>
      </c>
      <c r="B34" s="42" t="s">
        <v>406</v>
      </c>
      <c r="C34" s="42" t="s">
        <v>297</v>
      </c>
      <c r="D34" s="42" t="s">
        <v>268</v>
      </c>
      <c r="E34" s="42"/>
      <c r="F34" s="42"/>
      <c r="G34" s="11">
        <f>G35</f>
        <v>63</v>
      </c>
    </row>
    <row r="35" spans="1:7" ht="31.5">
      <c r="A35" s="26" t="s">
        <v>689</v>
      </c>
      <c r="B35" s="21" t="s">
        <v>690</v>
      </c>
      <c r="C35" s="42" t="s">
        <v>297</v>
      </c>
      <c r="D35" s="42" t="s">
        <v>268</v>
      </c>
      <c r="E35" s="42"/>
      <c r="F35" s="42"/>
      <c r="G35" s="11">
        <f>G36</f>
        <v>63</v>
      </c>
    </row>
    <row r="36" spans="1:7" ht="31.5">
      <c r="A36" s="31" t="s">
        <v>301</v>
      </c>
      <c r="B36" s="21" t="s">
        <v>690</v>
      </c>
      <c r="C36" s="42" t="s">
        <v>297</v>
      </c>
      <c r="D36" s="42" t="s">
        <v>268</v>
      </c>
      <c r="E36" s="42" t="s">
        <v>302</v>
      </c>
      <c r="F36" s="42"/>
      <c r="G36" s="11">
        <f>G37</f>
        <v>63</v>
      </c>
    </row>
    <row r="37" spans="1:7" ht="47.25">
      <c r="A37" s="31" t="s">
        <v>303</v>
      </c>
      <c r="B37" s="21" t="s">
        <v>690</v>
      </c>
      <c r="C37" s="42" t="s">
        <v>297</v>
      </c>
      <c r="D37" s="42" t="s">
        <v>268</v>
      </c>
      <c r="E37" s="42" t="s">
        <v>304</v>
      </c>
      <c r="F37" s="42"/>
      <c r="G37" s="11">
        <f>'Прил.№4 ведомств.'!G471</f>
        <v>63</v>
      </c>
    </row>
    <row r="38" spans="1:7" ht="63">
      <c r="A38" s="47" t="s">
        <v>314</v>
      </c>
      <c r="B38" s="21" t="s">
        <v>406</v>
      </c>
      <c r="C38" s="42" t="s">
        <v>297</v>
      </c>
      <c r="D38" s="42" t="s">
        <v>268</v>
      </c>
      <c r="E38" s="42"/>
      <c r="F38" s="42" t="s">
        <v>707</v>
      </c>
      <c r="G38" s="11">
        <f>G32</f>
        <v>63</v>
      </c>
    </row>
    <row r="39" spans="1:7" ht="47.25">
      <c r="A39" s="64" t="s">
        <v>709</v>
      </c>
      <c r="B39" s="8" t="s">
        <v>409</v>
      </c>
      <c r="C39" s="8"/>
      <c r="D39" s="8"/>
      <c r="E39" s="8"/>
      <c r="F39" s="8"/>
      <c r="G39" s="68">
        <f>G40</f>
        <v>420</v>
      </c>
    </row>
    <row r="40" spans="1:7" ht="15.75">
      <c r="A40" s="47" t="s">
        <v>296</v>
      </c>
      <c r="B40" s="42" t="s">
        <v>409</v>
      </c>
      <c r="C40" s="42" t="s">
        <v>297</v>
      </c>
      <c r="D40" s="42"/>
      <c r="E40" s="42"/>
      <c r="F40" s="42"/>
      <c r="G40" s="11">
        <f>G41</f>
        <v>420</v>
      </c>
    </row>
    <row r="41" spans="1:7" ht="15.75">
      <c r="A41" s="47" t="s">
        <v>305</v>
      </c>
      <c r="B41" s="42" t="s">
        <v>409</v>
      </c>
      <c r="C41" s="42" t="s">
        <v>297</v>
      </c>
      <c r="D41" s="42" t="s">
        <v>268</v>
      </c>
      <c r="E41" s="42"/>
      <c r="F41" s="42"/>
      <c r="G41" s="11">
        <f>G42</f>
        <v>420</v>
      </c>
    </row>
    <row r="42" spans="1:7" ht="47.25">
      <c r="A42" s="31" t="s">
        <v>210</v>
      </c>
      <c r="B42" s="42" t="s">
        <v>710</v>
      </c>
      <c r="C42" s="42" t="s">
        <v>297</v>
      </c>
      <c r="D42" s="42" t="s">
        <v>268</v>
      </c>
      <c r="E42" s="42"/>
      <c r="F42" s="42"/>
      <c r="G42" s="11">
        <f>G43</f>
        <v>420</v>
      </c>
    </row>
    <row r="43" spans="1:7" ht="31.5">
      <c r="A43" s="31" t="s">
        <v>301</v>
      </c>
      <c r="B43" s="42" t="s">
        <v>710</v>
      </c>
      <c r="C43" s="42" t="s">
        <v>297</v>
      </c>
      <c r="D43" s="42" t="s">
        <v>268</v>
      </c>
      <c r="E43" s="42" t="s">
        <v>302</v>
      </c>
      <c r="F43" s="42"/>
      <c r="G43" s="11">
        <f>G44</f>
        <v>420</v>
      </c>
    </row>
    <row r="44" spans="1:7" ht="31.5">
      <c r="A44" s="31" t="s">
        <v>401</v>
      </c>
      <c r="B44" s="42" t="s">
        <v>710</v>
      </c>
      <c r="C44" s="42" t="s">
        <v>297</v>
      </c>
      <c r="D44" s="42" t="s">
        <v>268</v>
      </c>
      <c r="E44" s="42" t="s">
        <v>402</v>
      </c>
      <c r="F44" s="42"/>
      <c r="G44" s="11">
        <f>'Прил.№4 ведомств.'!G475</f>
        <v>420</v>
      </c>
    </row>
    <row r="45" spans="1:7" ht="63">
      <c r="A45" s="47" t="s">
        <v>314</v>
      </c>
      <c r="B45" s="42" t="s">
        <v>409</v>
      </c>
      <c r="C45" s="42" t="s">
        <v>297</v>
      </c>
      <c r="D45" s="42" t="s">
        <v>268</v>
      </c>
      <c r="E45" s="42"/>
      <c r="F45" s="42" t="s">
        <v>707</v>
      </c>
      <c r="G45" s="11">
        <f>G39</f>
        <v>420</v>
      </c>
    </row>
    <row r="46" spans="1:7" ht="31.5">
      <c r="A46" s="64" t="s">
        <v>711</v>
      </c>
      <c r="B46" s="8" t="s">
        <v>412</v>
      </c>
      <c r="C46" s="8"/>
      <c r="D46" s="8"/>
      <c r="E46" s="8"/>
      <c r="F46" s="8"/>
      <c r="G46" s="68">
        <f>G47</f>
        <v>1595</v>
      </c>
    </row>
    <row r="47" spans="1:7" ht="15.75">
      <c r="A47" s="47" t="s">
        <v>296</v>
      </c>
      <c r="B47" s="42" t="s">
        <v>412</v>
      </c>
      <c r="C47" s="42" t="s">
        <v>297</v>
      </c>
      <c r="D47" s="42"/>
      <c r="E47" s="42"/>
      <c r="F47" s="42"/>
      <c r="G47" s="11">
        <f>G48</f>
        <v>1595</v>
      </c>
    </row>
    <row r="48" spans="1:7" ht="15.75">
      <c r="A48" s="47" t="s">
        <v>305</v>
      </c>
      <c r="B48" s="42" t="s">
        <v>412</v>
      </c>
      <c r="C48" s="42" t="s">
        <v>297</v>
      </c>
      <c r="D48" s="42" t="s">
        <v>268</v>
      </c>
      <c r="E48" s="42"/>
      <c r="F48" s="42"/>
      <c r="G48" s="11">
        <f>G49</f>
        <v>1595</v>
      </c>
    </row>
    <row r="49" spans="1:7" ht="47.25">
      <c r="A49" s="31" t="s">
        <v>210</v>
      </c>
      <c r="B49" s="42" t="s">
        <v>712</v>
      </c>
      <c r="C49" s="42" t="s">
        <v>297</v>
      </c>
      <c r="D49" s="42" t="s">
        <v>268</v>
      </c>
      <c r="E49" s="42"/>
      <c r="F49" s="42"/>
      <c r="G49" s="11">
        <f>G50+G52</f>
        <v>1595</v>
      </c>
    </row>
    <row r="50" spans="1:7" ht="47.25">
      <c r="A50" s="31" t="s">
        <v>184</v>
      </c>
      <c r="B50" s="42" t="s">
        <v>712</v>
      </c>
      <c r="C50" s="42" t="s">
        <v>297</v>
      </c>
      <c r="D50" s="42" t="s">
        <v>268</v>
      </c>
      <c r="E50" s="42" t="s">
        <v>185</v>
      </c>
      <c r="F50" s="42"/>
      <c r="G50" s="11">
        <f>G51</f>
        <v>547</v>
      </c>
    </row>
    <row r="51" spans="1:7" ht="47.25">
      <c r="A51" s="31" t="s">
        <v>186</v>
      </c>
      <c r="B51" s="42" t="s">
        <v>712</v>
      </c>
      <c r="C51" s="42" t="s">
        <v>297</v>
      </c>
      <c r="D51" s="42" t="s">
        <v>268</v>
      </c>
      <c r="E51" s="42" t="s">
        <v>187</v>
      </c>
      <c r="F51" s="42"/>
      <c r="G51" s="11">
        <f>'Прил.№4 ведомств.'!G479</f>
        <v>547</v>
      </c>
    </row>
    <row r="52" spans="1:7" ht="31.5">
      <c r="A52" s="31" t="s">
        <v>301</v>
      </c>
      <c r="B52" s="42" t="s">
        <v>712</v>
      </c>
      <c r="C52" s="42" t="s">
        <v>297</v>
      </c>
      <c r="D52" s="42" t="s">
        <v>268</v>
      </c>
      <c r="E52" s="42" t="s">
        <v>302</v>
      </c>
      <c r="F52" s="42"/>
      <c r="G52" s="11">
        <f>G53</f>
        <v>1048</v>
      </c>
    </row>
    <row r="53" spans="1:7" ht="31.5">
      <c r="A53" s="31" t="s">
        <v>401</v>
      </c>
      <c r="B53" s="42" t="s">
        <v>712</v>
      </c>
      <c r="C53" s="42" t="s">
        <v>297</v>
      </c>
      <c r="D53" s="42" t="s">
        <v>268</v>
      </c>
      <c r="E53" s="42" t="s">
        <v>402</v>
      </c>
      <c r="F53" s="42"/>
      <c r="G53" s="11">
        <f>'Прил.№4 ведомств.'!G481</f>
        <v>1048</v>
      </c>
    </row>
    <row r="54" spans="1:7" ht="63">
      <c r="A54" s="47" t="s">
        <v>314</v>
      </c>
      <c r="B54" s="42" t="s">
        <v>412</v>
      </c>
      <c r="C54" s="42" t="s">
        <v>297</v>
      </c>
      <c r="D54" s="42" t="s">
        <v>268</v>
      </c>
      <c r="E54" s="42"/>
      <c r="F54" s="42" t="s">
        <v>707</v>
      </c>
      <c r="G54" s="11">
        <f>G46</f>
        <v>1595</v>
      </c>
    </row>
    <row r="55" spans="1:7" ht="47.25">
      <c r="A55" s="64" t="s">
        <v>713</v>
      </c>
      <c r="B55" s="8" t="s">
        <v>415</v>
      </c>
      <c r="C55" s="8"/>
      <c r="D55" s="8"/>
      <c r="E55" s="8"/>
      <c r="F55" s="8"/>
      <c r="G55" s="68">
        <f>G56</f>
        <v>335</v>
      </c>
    </row>
    <row r="56" spans="1:7" ht="15.75">
      <c r="A56" s="47" t="s">
        <v>296</v>
      </c>
      <c r="B56" s="42" t="s">
        <v>415</v>
      </c>
      <c r="C56" s="42" t="s">
        <v>297</v>
      </c>
      <c r="D56" s="42"/>
      <c r="E56" s="42"/>
      <c r="F56" s="42"/>
      <c r="G56" s="11">
        <f>G57</f>
        <v>335</v>
      </c>
    </row>
    <row r="57" spans="1:7" ht="21.75" customHeight="1">
      <c r="A57" s="47" t="s">
        <v>305</v>
      </c>
      <c r="B57" s="42" t="s">
        <v>415</v>
      </c>
      <c r="C57" s="42" t="s">
        <v>297</v>
      </c>
      <c r="D57" s="42" t="s">
        <v>268</v>
      </c>
      <c r="E57" s="42"/>
      <c r="F57" s="42"/>
      <c r="G57" s="11">
        <f>G58</f>
        <v>335</v>
      </c>
    </row>
    <row r="58" spans="1:7" ht="47.25">
      <c r="A58" s="31" t="s">
        <v>210</v>
      </c>
      <c r="B58" s="42" t="s">
        <v>714</v>
      </c>
      <c r="C58" s="42" t="s">
        <v>297</v>
      </c>
      <c r="D58" s="42" t="s">
        <v>268</v>
      </c>
      <c r="E58" s="42"/>
      <c r="F58" s="42"/>
      <c r="G58" s="11">
        <f>G59</f>
        <v>335</v>
      </c>
    </row>
    <row r="59" spans="1:7" ht="31.5">
      <c r="A59" s="31" t="s">
        <v>301</v>
      </c>
      <c r="B59" s="42" t="s">
        <v>714</v>
      </c>
      <c r="C59" s="42" t="s">
        <v>297</v>
      </c>
      <c r="D59" s="42" t="s">
        <v>268</v>
      </c>
      <c r="E59" s="42" t="s">
        <v>302</v>
      </c>
      <c r="F59" s="42"/>
      <c r="G59" s="11">
        <f>G60</f>
        <v>335</v>
      </c>
    </row>
    <row r="60" spans="1:7" ht="31.5">
      <c r="A60" s="31" t="s">
        <v>401</v>
      </c>
      <c r="B60" s="42" t="s">
        <v>714</v>
      </c>
      <c r="C60" s="42" t="s">
        <v>297</v>
      </c>
      <c r="D60" s="42" t="s">
        <v>268</v>
      </c>
      <c r="E60" s="42" t="s">
        <v>402</v>
      </c>
      <c r="F60" s="42"/>
      <c r="G60" s="11">
        <f>'Прил.№4 ведомств.'!G485</f>
        <v>335</v>
      </c>
    </row>
    <row r="61" spans="1:7" ht="63">
      <c r="A61" s="47" t="s">
        <v>314</v>
      </c>
      <c r="B61" s="42" t="s">
        <v>415</v>
      </c>
      <c r="C61" s="42" t="s">
        <v>297</v>
      </c>
      <c r="D61" s="42" t="s">
        <v>268</v>
      </c>
      <c r="E61" s="42"/>
      <c r="F61" s="42" t="s">
        <v>707</v>
      </c>
      <c r="G61" s="11">
        <f>G55</f>
        <v>335</v>
      </c>
    </row>
    <row r="62" spans="1:7" ht="78.75">
      <c r="A62" s="64" t="s">
        <v>417</v>
      </c>
      <c r="B62" s="8" t="s">
        <v>418</v>
      </c>
      <c r="C62" s="8"/>
      <c r="D62" s="8"/>
      <c r="E62" s="8"/>
      <c r="F62" s="8"/>
      <c r="G62" s="68">
        <f>G63</f>
        <v>210</v>
      </c>
    </row>
    <row r="63" spans="1:7" ht="15.75">
      <c r="A63" s="47" t="s">
        <v>296</v>
      </c>
      <c r="B63" s="42" t="s">
        <v>418</v>
      </c>
      <c r="C63" s="42" t="s">
        <v>297</v>
      </c>
      <c r="D63" s="42"/>
      <c r="E63" s="42"/>
      <c r="F63" s="42"/>
      <c r="G63" s="11">
        <f>G64</f>
        <v>210</v>
      </c>
    </row>
    <row r="64" spans="1:7" ht="15.75">
      <c r="A64" s="47" t="s">
        <v>305</v>
      </c>
      <c r="B64" s="42" t="s">
        <v>418</v>
      </c>
      <c r="C64" s="42" t="s">
        <v>297</v>
      </c>
      <c r="D64" s="42" t="s">
        <v>268</v>
      </c>
      <c r="E64" s="42"/>
      <c r="F64" s="42"/>
      <c r="G64" s="11">
        <f>G65</f>
        <v>210</v>
      </c>
    </row>
    <row r="65" spans="1:7" ht="42.75" customHeight="1">
      <c r="A65" s="31" t="s">
        <v>210</v>
      </c>
      <c r="B65" s="42" t="s">
        <v>715</v>
      </c>
      <c r="C65" s="42" t="s">
        <v>297</v>
      </c>
      <c r="D65" s="42" t="s">
        <v>268</v>
      </c>
      <c r="E65" s="42"/>
      <c r="F65" s="42"/>
      <c r="G65" s="11">
        <f>G66</f>
        <v>210</v>
      </c>
    </row>
    <row r="66" spans="1:7" ht="47.25">
      <c r="A66" s="31" t="s">
        <v>184</v>
      </c>
      <c r="B66" s="42" t="s">
        <v>715</v>
      </c>
      <c r="C66" s="42" t="s">
        <v>297</v>
      </c>
      <c r="D66" s="42" t="s">
        <v>268</v>
      </c>
      <c r="E66" s="42" t="s">
        <v>185</v>
      </c>
      <c r="F66" s="42"/>
      <c r="G66" s="11">
        <f>G67</f>
        <v>210</v>
      </c>
    </row>
    <row r="67" spans="1:7" ht="47.25">
      <c r="A67" s="31" t="s">
        <v>186</v>
      </c>
      <c r="B67" s="42" t="s">
        <v>715</v>
      </c>
      <c r="C67" s="42" t="s">
        <v>297</v>
      </c>
      <c r="D67" s="42" t="s">
        <v>268</v>
      </c>
      <c r="E67" s="42" t="s">
        <v>187</v>
      </c>
      <c r="F67" s="42"/>
      <c r="G67" s="11">
        <f>'Прил.№4 ведомств.'!G489</f>
        <v>210</v>
      </c>
    </row>
    <row r="68" spans="1:7" ht="63">
      <c r="A68" s="47" t="s">
        <v>314</v>
      </c>
      <c r="B68" s="42" t="s">
        <v>418</v>
      </c>
      <c r="C68" s="42" t="s">
        <v>297</v>
      </c>
      <c r="D68" s="42" t="s">
        <v>268</v>
      </c>
      <c r="E68" s="42"/>
      <c r="F68" s="42" t="s">
        <v>707</v>
      </c>
      <c r="G68" s="11">
        <f>G62</f>
        <v>210</v>
      </c>
    </row>
    <row r="69" spans="1:7" ht="94.5">
      <c r="A69" s="43" t="s">
        <v>420</v>
      </c>
      <c r="B69" s="8" t="s">
        <v>421</v>
      </c>
      <c r="C69" s="8"/>
      <c r="D69" s="8"/>
      <c r="E69" s="8"/>
      <c r="F69" s="8"/>
      <c r="G69" s="68">
        <f>G70</f>
        <v>30</v>
      </c>
    </row>
    <row r="70" spans="1:7" ht="15.75">
      <c r="A70" s="47" t="s">
        <v>296</v>
      </c>
      <c r="B70" s="42" t="s">
        <v>421</v>
      </c>
      <c r="C70" s="42" t="s">
        <v>297</v>
      </c>
      <c r="D70" s="42"/>
      <c r="E70" s="42"/>
      <c r="F70" s="42"/>
      <c r="G70" s="11">
        <f>G71</f>
        <v>30</v>
      </c>
    </row>
    <row r="71" spans="1:7" ht="15.75">
      <c r="A71" s="47" t="s">
        <v>305</v>
      </c>
      <c r="B71" s="42" t="s">
        <v>421</v>
      </c>
      <c r="C71" s="42" t="s">
        <v>297</v>
      </c>
      <c r="D71" s="42" t="s">
        <v>268</v>
      </c>
      <c r="E71" s="42"/>
      <c r="F71" s="42"/>
      <c r="G71" s="11">
        <f>G72+G90+G81+G85+G77</f>
        <v>30</v>
      </c>
    </row>
    <row r="72" spans="1:7" ht="45" customHeight="1">
      <c r="A72" s="31" t="s">
        <v>210</v>
      </c>
      <c r="B72" s="42" t="s">
        <v>423</v>
      </c>
      <c r="C72" s="42" t="s">
        <v>297</v>
      </c>
      <c r="D72" s="42" t="s">
        <v>268</v>
      </c>
      <c r="E72" s="42"/>
      <c r="F72" s="42"/>
      <c r="G72" s="11">
        <f>G75+G73</f>
        <v>20</v>
      </c>
    </row>
    <row r="73" spans="1:7" ht="47.25" hidden="1">
      <c r="A73" s="31" t="s">
        <v>184</v>
      </c>
      <c r="B73" s="42" t="s">
        <v>421</v>
      </c>
      <c r="C73" s="42" t="s">
        <v>297</v>
      </c>
      <c r="D73" s="42" t="s">
        <v>268</v>
      </c>
      <c r="E73" s="42" t="s">
        <v>185</v>
      </c>
      <c r="F73" s="42"/>
      <c r="G73" s="11">
        <f>G74</f>
        <v>0</v>
      </c>
    </row>
    <row r="74" spans="1:7" ht="47.25" hidden="1">
      <c r="A74" s="31" t="s">
        <v>186</v>
      </c>
      <c r="B74" s="42" t="s">
        <v>421</v>
      </c>
      <c r="C74" s="42" t="s">
        <v>297</v>
      </c>
      <c r="D74" s="42" t="s">
        <v>268</v>
      </c>
      <c r="E74" s="42" t="s">
        <v>187</v>
      </c>
      <c r="F74" s="42"/>
      <c r="G74" s="11"/>
    </row>
    <row r="75" spans="1:7" ht="63">
      <c r="A75" s="26" t="s">
        <v>325</v>
      </c>
      <c r="B75" s="42" t="s">
        <v>423</v>
      </c>
      <c r="C75" s="42" t="s">
        <v>297</v>
      </c>
      <c r="D75" s="42" t="s">
        <v>268</v>
      </c>
      <c r="E75" s="42" t="s">
        <v>326</v>
      </c>
      <c r="F75" s="42"/>
      <c r="G75" s="11">
        <f>G76</f>
        <v>20</v>
      </c>
    </row>
    <row r="76" spans="1:7" ht="72.75" customHeight="1">
      <c r="A76" s="26" t="s">
        <v>424</v>
      </c>
      <c r="B76" s="42" t="s">
        <v>423</v>
      </c>
      <c r="C76" s="42" t="s">
        <v>297</v>
      </c>
      <c r="D76" s="42" t="s">
        <v>268</v>
      </c>
      <c r="E76" s="42" t="s">
        <v>425</v>
      </c>
      <c r="F76" s="42"/>
      <c r="G76" s="11">
        <f>'Прил.№4 ведомств.'!G493</f>
        <v>20</v>
      </c>
    </row>
    <row r="77" spans="1:7" ht="63">
      <c r="A77" s="26" t="s">
        <v>428</v>
      </c>
      <c r="B77" s="21" t="s">
        <v>429</v>
      </c>
      <c r="C77" s="42" t="s">
        <v>297</v>
      </c>
      <c r="D77" s="42" t="s">
        <v>268</v>
      </c>
      <c r="E77" s="42"/>
      <c r="F77" s="42"/>
      <c r="G77" s="11">
        <f>G78</f>
        <v>10</v>
      </c>
    </row>
    <row r="78" spans="1:7" ht="31.5">
      <c r="A78" s="26" t="s">
        <v>301</v>
      </c>
      <c r="B78" s="21" t="s">
        <v>429</v>
      </c>
      <c r="C78" s="42" t="s">
        <v>297</v>
      </c>
      <c r="D78" s="42" t="s">
        <v>268</v>
      </c>
      <c r="E78" s="42" t="s">
        <v>302</v>
      </c>
      <c r="F78" s="42"/>
      <c r="G78" s="11">
        <f>G79</f>
        <v>10</v>
      </c>
    </row>
    <row r="79" spans="1:7" ht="47.25">
      <c r="A79" s="26" t="s">
        <v>303</v>
      </c>
      <c r="B79" s="21" t="s">
        <v>429</v>
      </c>
      <c r="C79" s="42" t="s">
        <v>297</v>
      </c>
      <c r="D79" s="42" t="s">
        <v>268</v>
      </c>
      <c r="E79" s="42" t="s">
        <v>304</v>
      </c>
      <c r="F79" s="42"/>
      <c r="G79" s="11">
        <f>'Прил.№4 ведомств.'!G502</f>
        <v>10</v>
      </c>
    </row>
    <row r="80" spans="1:7" ht="63">
      <c r="A80" s="47" t="s">
        <v>314</v>
      </c>
      <c r="B80" s="21" t="s">
        <v>421</v>
      </c>
      <c r="C80" s="42" t="s">
        <v>297</v>
      </c>
      <c r="D80" s="42" t="s">
        <v>268</v>
      </c>
      <c r="E80" s="42"/>
      <c r="F80" s="10" t="s">
        <v>707</v>
      </c>
      <c r="G80" s="11">
        <f>G69</f>
        <v>30</v>
      </c>
    </row>
    <row r="81" spans="1:7" ht="173.25" hidden="1">
      <c r="A81" s="26" t="s">
        <v>426</v>
      </c>
      <c r="B81" s="21" t="s">
        <v>427</v>
      </c>
      <c r="C81" s="42" t="s">
        <v>297</v>
      </c>
      <c r="D81" s="42" t="s">
        <v>268</v>
      </c>
      <c r="E81" s="42"/>
      <c r="F81" s="10"/>
      <c r="G81" s="11">
        <f>G82</f>
        <v>0</v>
      </c>
    </row>
    <row r="82" spans="1:7" ht="15.75" hidden="1">
      <c r="A82" s="26" t="s">
        <v>188</v>
      </c>
      <c r="B82" s="21" t="s">
        <v>427</v>
      </c>
      <c r="C82" s="42" t="s">
        <v>297</v>
      </c>
      <c r="D82" s="42" t="s">
        <v>268</v>
      </c>
      <c r="E82" s="42" t="s">
        <v>198</v>
      </c>
      <c r="F82" s="10"/>
      <c r="G82" s="11">
        <f>G83</f>
        <v>0</v>
      </c>
    </row>
    <row r="83" spans="1:7" ht="78.75" hidden="1">
      <c r="A83" s="26" t="s">
        <v>237</v>
      </c>
      <c r="B83" s="21" t="s">
        <v>427</v>
      </c>
      <c r="C83" s="42" t="s">
        <v>297</v>
      </c>
      <c r="D83" s="42" t="s">
        <v>268</v>
      </c>
      <c r="E83" s="42" t="s">
        <v>213</v>
      </c>
      <c r="F83" s="10"/>
      <c r="G83" s="11"/>
    </row>
    <row r="84" spans="1:7" ht="63" hidden="1">
      <c r="A84" s="47" t="s">
        <v>314</v>
      </c>
      <c r="B84" s="21" t="s">
        <v>427</v>
      </c>
      <c r="C84" s="42" t="s">
        <v>297</v>
      </c>
      <c r="D84" s="42" t="s">
        <v>268</v>
      </c>
      <c r="E84" s="42"/>
      <c r="F84" s="10" t="s">
        <v>707</v>
      </c>
      <c r="G84" s="11">
        <f>G83</f>
        <v>0</v>
      </c>
    </row>
    <row r="85" spans="1:7" ht="63" hidden="1">
      <c r="A85" s="26" t="s">
        <v>428</v>
      </c>
      <c r="B85" s="21" t="s">
        <v>429</v>
      </c>
      <c r="C85" s="42" t="s">
        <v>297</v>
      </c>
      <c r="D85" s="42" t="s">
        <v>268</v>
      </c>
      <c r="E85" s="42"/>
      <c r="F85" s="10"/>
      <c r="G85" s="11">
        <f>G86</f>
        <v>0</v>
      </c>
    </row>
    <row r="86" spans="1:7" ht="31.5" hidden="1">
      <c r="A86" s="31" t="s">
        <v>301</v>
      </c>
      <c r="B86" s="21" t="s">
        <v>429</v>
      </c>
      <c r="C86" s="42" t="s">
        <v>297</v>
      </c>
      <c r="D86" s="42" t="s">
        <v>268</v>
      </c>
      <c r="E86" s="42" t="s">
        <v>302</v>
      </c>
      <c r="F86" s="10"/>
      <c r="G86" s="11">
        <f>G87</f>
        <v>0</v>
      </c>
    </row>
    <row r="87" spans="1:7" ht="47.25" hidden="1">
      <c r="A87" s="31" t="s">
        <v>303</v>
      </c>
      <c r="B87" s="21" t="s">
        <v>429</v>
      </c>
      <c r="C87" s="42" t="s">
        <v>297</v>
      </c>
      <c r="D87" s="42" t="s">
        <v>268</v>
      </c>
      <c r="E87" s="42" t="s">
        <v>304</v>
      </c>
      <c r="F87" s="10"/>
      <c r="G87" s="11"/>
    </row>
    <row r="88" spans="1:7" ht="63" hidden="1">
      <c r="A88" s="47" t="s">
        <v>314</v>
      </c>
      <c r="B88" s="21" t="s">
        <v>429</v>
      </c>
      <c r="C88" s="42" t="s">
        <v>297</v>
      </c>
      <c r="D88" s="42" t="s">
        <v>268</v>
      </c>
      <c r="E88" s="42"/>
      <c r="F88" s="10" t="s">
        <v>707</v>
      </c>
      <c r="G88" s="11">
        <f>G85</f>
        <v>0</v>
      </c>
    </row>
    <row r="89" spans="1:7" ht="47.25" hidden="1">
      <c r="A89" s="31" t="s">
        <v>430</v>
      </c>
      <c r="B89" s="21" t="s">
        <v>431</v>
      </c>
      <c r="C89" s="42" t="s">
        <v>297</v>
      </c>
      <c r="D89" s="42" t="s">
        <v>268</v>
      </c>
      <c r="E89" s="42"/>
      <c r="F89" s="42"/>
      <c r="G89" s="11">
        <f>G90</f>
        <v>0</v>
      </c>
    </row>
    <row r="90" spans="1:7" ht="47.25" hidden="1">
      <c r="A90" s="31" t="s">
        <v>184</v>
      </c>
      <c r="B90" s="21" t="s">
        <v>431</v>
      </c>
      <c r="C90" s="42" t="s">
        <v>297</v>
      </c>
      <c r="D90" s="42" t="s">
        <v>268</v>
      </c>
      <c r="E90" s="42" t="s">
        <v>185</v>
      </c>
      <c r="F90" s="42"/>
      <c r="G90" s="11">
        <f>G91</f>
        <v>0</v>
      </c>
    </row>
    <row r="91" spans="1:7" ht="47.25" hidden="1">
      <c r="A91" s="31" t="s">
        <v>186</v>
      </c>
      <c r="B91" s="21" t="s">
        <v>431</v>
      </c>
      <c r="C91" s="42" t="s">
        <v>297</v>
      </c>
      <c r="D91" s="42" t="s">
        <v>268</v>
      </c>
      <c r="E91" s="42" t="s">
        <v>187</v>
      </c>
      <c r="F91" s="42"/>
      <c r="G91" s="11">
        <v>0</v>
      </c>
    </row>
    <row r="92" spans="1:7" ht="15.75" hidden="1">
      <c r="A92" s="31" t="s">
        <v>188</v>
      </c>
      <c r="B92" s="21" t="s">
        <v>431</v>
      </c>
      <c r="C92" s="42" t="s">
        <v>297</v>
      </c>
      <c r="D92" s="42" t="s">
        <v>268</v>
      </c>
      <c r="E92" s="42" t="s">
        <v>198</v>
      </c>
      <c r="F92" s="42"/>
      <c r="G92" s="11"/>
    </row>
    <row r="93" spans="1:7" ht="78.75" hidden="1">
      <c r="A93" s="31" t="s">
        <v>237</v>
      </c>
      <c r="B93" s="21" t="s">
        <v>431</v>
      </c>
      <c r="C93" s="42" t="s">
        <v>297</v>
      </c>
      <c r="D93" s="42" t="s">
        <v>268</v>
      </c>
      <c r="E93" s="42" t="s">
        <v>213</v>
      </c>
      <c r="F93" s="42"/>
      <c r="G93" s="11"/>
    </row>
    <row r="94" spans="1:7" ht="63" hidden="1">
      <c r="A94" s="47" t="s">
        <v>314</v>
      </c>
      <c r="B94" s="21" t="s">
        <v>431</v>
      </c>
      <c r="C94" s="42" t="s">
        <v>297</v>
      </c>
      <c r="D94" s="42" t="s">
        <v>268</v>
      </c>
      <c r="E94" s="42"/>
      <c r="F94" s="10" t="s">
        <v>707</v>
      </c>
      <c r="G94" s="11">
        <f>G89</f>
        <v>0</v>
      </c>
    </row>
    <row r="95" spans="1:7" ht="141.75">
      <c r="A95" s="43" t="s">
        <v>433</v>
      </c>
      <c r="B95" s="8" t="s">
        <v>434</v>
      </c>
      <c r="C95" s="8"/>
      <c r="D95" s="8"/>
      <c r="E95" s="8"/>
      <c r="F95" s="9"/>
      <c r="G95" s="68">
        <f>G96</f>
        <v>105</v>
      </c>
    </row>
    <row r="96" spans="1:7" ht="15.75">
      <c r="A96" s="47" t="s">
        <v>296</v>
      </c>
      <c r="B96" s="42" t="s">
        <v>434</v>
      </c>
      <c r="C96" s="42" t="s">
        <v>297</v>
      </c>
      <c r="D96" s="42"/>
      <c r="E96" s="42"/>
      <c r="F96" s="10"/>
      <c r="G96" s="11">
        <f>G97</f>
        <v>105</v>
      </c>
    </row>
    <row r="97" spans="1:7" ht="24.75" customHeight="1">
      <c r="A97" s="47" t="s">
        <v>305</v>
      </c>
      <c r="B97" s="42" t="s">
        <v>434</v>
      </c>
      <c r="C97" s="42" t="s">
        <v>297</v>
      </c>
      <c r="D97" s="42" t="s">
        <v>268</v>
      </c>
      <c r="E97" s="42"/>
      <c r="F97" s="10"/>
      <c r="G97" s="11">
        <f>G98</f>
        <v>105</v>
      </c>
    </row>
    <row r="98" spans="1:7" ht="47.25">
      <c r="A98" s="31" t="s">
        <v>210</v>
      </c>
      <c r="B98" s="42" t="s">
        <v>435</v>
      </c>
      <c r="C98" s="42" t="s">
        <v>297</v>
      </c>
      <c r="D98" s="42" t="s">
        <v>268</v>
      </c>
      <c r="E98" s="42"/>
      <c r="F98" s="10"/>
      <c r="G98" s="11">
        <f>G99</f>
        <v>105</v>
      </c>
    </row>
    <row r="99" spans="1:7" ht="47.25">
      <c r="A99" s="31" t="s">
        <v>184</v>
      </c>
      <c r="B99" s="42" t="s">
        <v>435</v>
      </c>
      <c r="C99" s="42" t="s">
        <v>297</v>
      </c>
      <c r="D99" s="42" t="s">
        <v>268</v>
      </c>
      <c r="E99" s="42" t="s">
        <v>185</v>
      </c>
      <c r="F99" s="10"/>
      <c r="G99" s="11">
        <f>G100</f>
        <v>105</v>
      </c>
    </row>
    <row r="100" spans="1:7" ht="47.25">
      <c r="A100" s="31" t="s">
        <v>186</v>
      </c>
      <c r="B100" s="42" t="s">
        <v>435</v>
      </c>
      <c r="C100" s="42" t="s">
        <v>297</v>
      </c>
      <c r="D100" s="42" t="s">
        <v>268</v>
      </c>
      <c r="E100" s="42" t="s">
        <v>187</v>
      </c>
      <c r="F100" s="10"/>
      <c r="G100" s="11">
        <f>'Прил.№4 ведомств.'!G511</f>
        <v>105</v>
      </c>
    </row>
    <row r="101" spans="1:7" ht="63">
      <c r="A101" s="47" t="s">
        <v>314</v>
      </c>
      <c r="B101" s="42" t="s">
        <v>434</v>
      </c>
      <c r="C101" s="42" t="s">
        <v>297</v>
      </c>
      <c r="D101" s="42" t="s">
        <v>268</v>
      </c>
      <c r="E101" s="42"/>
      <c r="F101" s="10" t="s">
        <v>707</v>
      </c>
      <c r="G101" s="11">
        <f>G95</f>
        <v>105</v>
      </c>
    </row>
    <row r="102" spans="1:7" ht="63">
      <c r="A102" s="64" t="s">
        <v>480</v>
      </c>
      <c r="B102" s="8" t="s">
        <v>460</v>
      </c>
      <c r="C102" s="8"/>
      <c r="D102" s="8"/>
      <c r="E102" s="8"/>
      <c r="F102" s="8"/>
      <c r="G102" s="68">
        <f>G103+G118+G163+G188+G210</f>
        <v>89244.7</v>
      </c>
    </row>
    <row r="103" spans="1:7" ht="47.25">
      <c r="A103" s="43" t="s">
        <v>461</v>
      </c>
      <c r="B103" s="8" t="s">
        <v>462</v>
      </c>
      <c r="C103" s="8"/>
      <c r="D103" s="8"/>
      <c r="E103" s="8"/>
      <c r="F103" s="8"/>
      <c r="G103" s="68">
        <f>G104</f>
        <v>70853.600000000006</v>
      </c>
    </row>
    <row r="104" spans="1:7" ht="15.75">
      <c r="A104" s="31" t="s">
        <v>316</v>
      </c>
      <c r="B104" s="42" t="s">
        <v>462</v>
      </c>
      <c r="C104" s="42" t="s">
        <v>317</v>
      </c>
      <c r="D104" s="42"/>
      <c r="E104" s="42"/>
      <c r="F104" s="42"/>
      <c r="G104" s="11">
        <f>G105+G109+G113</f>
        <v>70853.600000000006</v>
      </c>
    </row>
    <row r="105" spans="1:7" ht="15.75">
      <c r="A105" s="47" t="s">
        <v>458</v>
      </c>
      <c r="B105" s="42" t="s">
        <v>462</v>
      </c>
      <c r="C105" s="42" t="s">
        <v>317</v>
      </c>
      <c r="D105" s="42" t="s">
        <v>171</v>
      </c>
      <c r="E105" s="42"/>
      <c r="F105" s="42"/>
      <c r="G105" s="11">
        <f>G106</f>
        <v>15578.400000000001</v>
      </c>
    </row>
    <row r="106" spans="1:7" ht="63">
      <c r="A106" s="31" t="s">
        <v>463</v>
      </c>
      <c r="B106" s="42" t="s">
        <v>464</v>
      </c>
      <c r="C106" s="42" t="s">
        <v>317</v>
      </c>
      <c r="D106" s="42" t="s">
        <v>171</v>
      </c>
      <c r="E106" s="42"/>
      <c r="F106" s="42"/>
      <c r="G106" s="11">
        <f>G107</f>
        <v>15578.400000000001</v>
      </c>
    </row>
    <row r="107" spans="1:7" ht="63">
      <c r="A107" s="31" t="s">
        <v>325</v>
      </c>
      <c r="B107" s="42" t="s">
        <v>464</v>
      </c>
      <c r="C107" s="42" t="s">
        <v>317</v>
      </c>
      <c r="D107" s="42" t="s">
        <v>171</v>
      </c>
      <c r="E107" s="42" t="s">
        <v>326</v>
      </c>
      <c r="F107" s="42"/>
      <c r="G107" s="11">
        <f>G108</f>
        <v>15578.400000000001</v>
      </c>
    </row>
    <row r="108" spans="1:7" ht="15.75">
      <c r="A108" s="31" t="s">
        <v>327</v>
      </c>
      <c r="B108" s="42" t="s">
        <v>464</v>
      </c>
      <c r="C108" s="42" t="s">
        <v>317</v>
      </c>
      <c r="D108" s="42" t="s">
        <v>171</v>
      </c>
      <c r="E108" s="42" t="s">
        <v>328</v>
      </c>
      <c r="F108" s="42"/>
      <c r="G108" s="7">
        <f>'Прил.№4 ведомств.'!G596</f>
        <v>15578.400000000001</v>
      </c>
    </row>
    <row r="109" spans="1:7" ht="15.75">
      <c r="A109" s="31" t="s">
        <v>479</v>
      </c>
      <c r="B109" s="42" t="s">
        <v>462</v>
      </c>
      <c r="C109" s="42" t="s">
        <v>317</v>
      </c>
      <c r="D109" s="42" t="s">
        <v>266</v>
      </c>
      <c r="E109" s="42"/>
      <c r="F109" s="42"/>
      <c r="G109" s="11">
        <f>G110</f>
        <v>34151.199999999997</v>
      </c>
    </row>
    <row r="110" spans="1:7" ht="57.75" customHeight="1">
      <c r="A110" s="31" t="s">
        <v>481</v>
      </c>
      <c r="B110" s="42" t="s">
        <v>482</v>
      </c>
      <c r="C110" s="42" t="s">
        <v>317</v>
      </c>
      <c r="D110" s="42" t="s">
        <v>266</v>
      </c>
      <c r="E110" s="42"/>
      <c r="F110" s="42"/>
      <c r="G110" s="11">
        <f>G111</f>
        <v>34151.199999999997</v>
      </c>
    </row>
    <row r="111" spans="1:7" ht="70.5" customHeight="1">
      <c r="A111" s="31" t="s">
        <v>325</v>
      </c>
      <c r="B111" s="42" t="s">
        <v>482</v>
      </c>
      <c r="C111" s="42" t="s">
        <v>317</v>
      </c>
      <c r="D111" s="42" t="s">
        <v>266</v>
      </c>
      <c r="E111" s="42" t="s">
        <v>326</v>
      </c>
      <c r="F111" s="42"/>
      <c r="G111" s="11">
        <f>G112</f>
        <v>34151.199999999997</v>
      </c>
    </row>
    <row r="112" spans="1:7" ht="15.75">
      <c r="A112" s="31" t="s">
        <v>327</v>
      </c>
      <c r="B112" s="42" t="s">
        <v>482</v>
      </c>
      <c r="C112" s="42" t="s">
        <v>317</v>
      </c>
      <c r="D112" s="42" t="s">
        <v>266</v>
      </c>
      <c r="E112" s="42" t="s">
        <v>328</v>
      </c>
      <c r="F112" s="42"/>
      <c r="G112" s="7">
        <f>'Прил.№4 ведомств.'!G641</f>
        <v>34151.199999999997</v>
      </c>
    </row>
    <row r="113" spans="1:7" ht="15.75">
      <c r="A113" s="31" t="s">
        <v>318</v>
      </c>
      <c r="B113" s="42" t="s">
        <v>462</v>
      </c>
      <c r="C113" s="42" t="s">
        <v>317</v>
      </c>
      <c r="D113" s="42" t="s">
        <v>268</v>
      </c>
      <c r="E113" s="42"/>
      <c r="F113" s="42"/>
      <c r="G113" s="7">
        <f>G114</f>
        <v>21124</v>
      </c>
    </row>
    <row r="114" spans="1:7" ht="63">
      <c r="A114" s="31" t="s">
        <v>323</v>
      </c>
      <c r="B114" s="42" t="s">
        <v>483</v>
      </c>
      <c r="C114" s="42" t="s">
        <v>317</v>
      </c>
      <c r="D114" s="42" t="s">
        <v>268</v>
      </c>
      <c r="E114" s="8"/>
      <c r="F114" s="8"/>
      <c r="G114" s="11">
        <f>G115</f>
        <v>21124</v>
      </c>
    </row>
    <row r="115" spans="1:7" ht="63">
      <c r="A115" s="31" t="s">
        <v>325</v>
      </c>
      <c r="B115" s="42" t="s">
        <v>483</v>
      </c>
      <c r="C115" s="42" t="s">
        <v>317</v>
      </c>
      <c r="D115" s="42" t="s">
        <v>268</v>
      </c>
      <c r="E115" s="42" t="s">
        <v>326</v>
      </c>
      <c r="F115" s="42"/>
      <c r="G115" s="11">
        <f>G116</f>
        <v>21124</v>
      </c>
    </row>
    <row r="116" spans="1:7" ht="15.75">
      <c r="A116" s="31" t="s">
        <v>327</v>
      </c>
      <c r="B116" s="42" t="s">
        <v>483</v>
      </c>
      <c r="C116" s="42" t="s">
        <v>317</v>
      </c>
      <c r="D116" s="42" t="s">
        <v>268</v>
      </c>
      <c r="E116" s="42" t="s">
        <v>328</v>
      </c>
      <c r="F116" s="42"/>
      <c r="G116" s="7">
        <f>'Прил.№4 ведомств.'!G710</f>
        <v>21124</v>
      </c>
    </row>
    <row r="117" spans="1:7" ht="47.25">
      <c r="A117" s="31" t="s">
        <v>457</v>
      </c>
      <c r="B117" s="42" t="s">
        <v>462</v>
      </c>
      <c r="C117" s="42" t="s">
        <v>317</v>
      </c>
      <c r="D117" s="42" t="s">
        <v>268</v>
      </c>
      <c r="E117" s="42"/>
      <c r="F117" s="42" t="s">
        <v>716</v>
      </c>
      <c r="G117" s="7">
        <f>G103</f>
        <v>70853.600000000006</v>
      </c>
    </row>
    <row r="118" spans="1:7" ht="47.25">
      <c r="A118" s="43" t="s">
        <v>465</v>
      </c>
      <c r="B118" s="8" t="s">
        <v>466</v>
      </c>
      <c r="C118" s="8"/>
      <c r="D118" s="8"/>
      <c r="E118" s="8"/>
      <c r="F118" s="8"/>
      <c r="G118" s="68">
        <f>G119</f>
        <v>7875</v>
      </c>
    </row>
    <row r="119" spans="1:7" ht="15.75">
      <c r="A119" s="31" t="s">
        <v>316</v>
      </c>
      <c r="B119" s="42" t="s">
        <v>466</v>
      </c>
      <c r="C119" s="42" t="s">
        <v>317</v>
      </c>
      <c r="D119" s="42"/>
      <c r="E119" s="42"/>
      <c r="F119" s="42"/>
      <c r="G119" s="11">
        <f>G120</f>
        <v>7875</v>
      </c>
    </row>
    <row r="120" spans="1:7" ht="15.75">
      <c r="A120" s="47" t="s">
        <v>458</v>
      </c>
      <c r="B120" s="42" t="s">
        <v>466</v>
      </c>
      <c r="C120" s="42" t="s">
        <v>317</v>
      </c>
      <c r="D120" s="42" t="s">
        <v>171</v>
      </c>
      <c r="E120" s="42"/>
      <c r="F120" s="42"/>
      <c r="G120" s="11">
        <f>G133+G130</f>
        <v>7875</v>
      </c>
    </row>
    <row r="121" spans="1:7" ht="57.75" hidden="1" customHeight="1">
      <c r="A121" s="31" t="s">
        <v>660</v>
      </c>
      <c r="B121" s="42" t="s">
        <v>661</v>
      </c>
      <c r="C121" s="42" t="s">
        <v>317</v>
      </c>
      <c r="D121" s="42" t="s">
        <v>171</v>
      </c>
      <c r="E121" s="42"/>
      <c r="F121" s="42"/>
      <c r="G121" s="11">
        <f>G122</f>
        <v>0</v>
      </c>
    </row>
    <row r="122" spans="1:7" ht="63" hidden="1">
      <c r="A122" s="31" t="s">
        <v>325</v>
      </c>
      <c r="B122" s="42" t="s">
        <v>661</v>
      </c>
      <c r="C122" s="42" t="s">
        <v>317</v>
      </c>
      <c r="D122" s="42" t="s">
        <v>171</v>
      </c>
      <c r="E122" s="42" t="s">
        <v>326</v>
      </c>
      <c r="F122" s="42"/>
      <c r="G122" s="11">
        <f>G123</f>
        <v>0</v>
      </c>
    </row>
    <row r="123" spans="1:7" ht="15.75" hidden="1">
      <c r="A123" s="31" t="s">
        <v>327</v>
      </c>
      <c r="B123" s="42" t="s">
        <v>661</v>
      </c>
      <c r="C123" s="42" t="s">
        <v>317</v>
      </c>
      <c r="D123" s="42" t="s">
        <v>171</v>
      </c>
      <c r="E123" s="42" t="s">
        <v>328</v>
      </c>
      <c r="F123" s="42"/>
      <c r="G123" s="11"/>
    </row>
    <row r="124" spans="1:7" ht="47.25" hidden="1">
      <c r="A124" s="31" t="s">
        <v>457</v>
      </c>
      <c r="B124" s="42" t="s">
        <v>661</v>
      </c>
      <c r="C124" s="42" t="s">
        <v>317</v>
      </c>
      <c r="D124" s="42" t="s">
        <v>171</v>
      </c>
      <c r="E124" s="42"/>
      <c r="F124" s="42" t="s">
        <v>716</v>
      </c>
      <c r="G124" s="11">
        <v>0</v>
      </c>
    </row>
    <row r="125" spans="1:7" ht="47.25" hidden="1">
      <c r="A125" s="31" t="s">
        <v>331</v>
      </c>
      <c r="B125" s="42" t="s">
        <v>662</v>
      </c>
      <c r="C125" s="42" t="s">
        <v>317</v>
      </c>
      <c r="D125" s="42" t="s">
        <v>171</v>
      </c>
      <c r="E125" s="42"/>
      <c r="F125" s="42"/>
      <c r="G125" s="11">
        <f>G126</f>
        <v>0</v>
      </c>
    </row>
    <row r="126" spans="1:7" ht="63" hidden="1">
      <c r="A126" s="31" t="s">
        <v>325</v>
      </c>
      <c r="B126" s="42" t="s">
        <v>662</v>
      </c>
      <c r="C126" s="42" t="s">
        <v>317</v>
      </c>
      <c r="D126" s="42" t="s">
        <v>171</v>
      </c>
      <c r="E126" s="42" t="s">
        <v>326</v>
      </c>
      <c r="F126" s="42"/>
      <c r="G126" s="11">
        <f>G127</f>
        <v>0</v>
      </c>
    </row>
    <row r="127" spans="1:7" ht="15.75" hidden="1">
      <c r="A127" s="31" t="s">
        <v>327</v>
      </c>
      <c r="B127" s="42" t="s">
        <v>662</v>
      </c>
      <c r="C127" s="42" t="s">
        <v>317</v>
      </c>
      <c r="D127" s="42" t="s">
        <v>171</v>
      </c>
      <c r="E127" s="42" t="s">
        <v>328</v>
      </c>
      <c r="F127" s="42"/>
      <c r="G127" s="11"/>
    </row>
    <row r="128" spans="1:7" ht="47.25" hidden="1">
      <c r="A128" s="31" t="s">
        <v>457</v>
      </c>
      <c r="B128" s="42" t="s">
        <v>662</v>
      </c>
      <c r="C128" s="42" t="s">
        <v>317</v>
      </c>
      <c r="D128" s="42" t="s">
        <v>171</v>
      </c>
      <c r="E128" s="42"/>
      <c r="F128" s="42" t="s">
        <v>716</v>
      </c>
      <c r="G128" s="11">
        <v>0</v>
      </c>
    </row>
    <row r="129" spans="1:8" ht="31.5">
      <c r="A129" s="31" t="s">
        <v>333</v>
      </c>
      <c r="B129" s="42" t="s">
        <v>468</v>
      </c>
      <c r="C129" s="42" t="s">
        <v>317</v>
      </c>
      <c r="D129" s="42" t="s">
        <v>171</v>
      </c>
      <c r="E129" s="42"/>
      <c r="F129" s="42"/>
      <c r="G129" s="11">
        <f>G130</f>
        <v>1145</v>
      </c>
    </row>
    <row r="130" spans="1:8" ht="63">
      <c r="A130" s="31" t="s">
        <v>325</v>
      </c>
      <c r="B130" s="42" t="s">
        <v>468</v>
      </c>
      <c r="C130" s="42" t="s">
        <v>317</v>
      </c>
      <c r="D130" s="42" t="s">
        <v>171</v>
      </c>
      <c r="E130" s="42" t="s">
        <v>326</v>
      </c>
      <c r="F130" s="42"/>
      <c r="G130" s="11">
        <f>G131</f>
        <v>1145</v>
      </c>
    </row>
    <row r="131" spans="1:8" ht="15.75">
      <c r="A131" s="31" t="s">
        <v>327</v>
      </c>
      <c r="B131" s="42" t="s">
        <v>468</v>
      </c>
      <c r="C131" s="42" t="s">
        <v>317</v>
      </c>
      <c r="D131" s="42" t="s">
        <v>171</v>
      </c>
      <c r="E131" s="42" t="s">
        <v>328</v>
      </c>
      <c r="F131" s="42"/>
      <c r="G131" s="187">
        <f>'Прил.№4 ведомств.'!G603</f>
        <v>1145</v>
      </c>
      <c r="H131" s="188" t="s">
        <v>828</v>
      </c>
    </row>
    <row r="132" spans="1:8" ht="47.25" hidden="1">
      <c r="A132" s="31" t="s">
        <v>457</v>
      </c>
      <c r="B132" s="42" t="s">
        <v>468</v>
      </c>
      <c r="C132" s="42" t="s">
        <v>317</v>
      </c>
      <c r="D132" s="42" t="s">
        <v>171</v>
      </c>
      <c r="E132" s="42"/>
      <c r="F132" s="42" t="s">
        <v>716</v>
      </c>
      <c r="G132" s="11"/>
    </row>
    <row r="133" spans="1:8" ht="63">
      <c r="A133" s="31" t="s">
        <v>469</v>
      </c>
      <c r="B133" s="42" t="s">
        <v>470</v>
      </c>
      <c r="C133" s="42" t="s">
        <v>317</v>
      </c>
      <c r="D133" s="42" t="s">
        <v>171</v>
      </c>
      <c r="E133" s="42"/>
      <c r="F133" s="42"/>
      <c r="G133" s="11">
        <f>G134</f>
        <v>6730</v>
      </c>
    </row>
    <row r="134" spans="1:8" ht="65.25" customHeight="1">
      <c r="A134" s="31" t="s">
        <v>325</v>
      </c>
      <c r="B134" s="42" t="s">
        <v>470</v>
      </c>
      <c r="C134" s="42" t="s">
        <v>317</v>
      </c>
      <c r="D134" s="42" t="s">
        <v>171</v>
      </c>
      <c r="E134" s="42" t="s">
        <v>326</v>
      </c>
      <c r="F134" s="42"/>
      <c r="G134" s="11">
        <f>G135</f>
        <v>6730</v>
      </c>
    </row>
    <row r="135" spans="1:8" ht="15.75">
      <c r="A135" s="31" t="s">
        <v>327</v>
      </c>
      <c r="B135" s="42" t="s">
        <v>470</v>
      </c>
      <c r="C135" s="42" t="s">
        <v>317</v>
      </c>
      <c r="D135" s="42" t="s">
        <v>171</v>
      </c>
      <c r="E135" s="42" t="s">
        <v>328</v>
      </c>
      <c r="F135" s="42"/>
      <c r="G135" s="7">
        <f>'Прил.№4 ведомств.'!G606</f>
        <v>6730</v>
      </c>
    </row>
    <row r="136" spans="1:8" ht="47.25">
      <c r="A136" s="31" t="s">
        <v>457</v>
      </c>
      <c r="B136" s="42" t="s">
        <v>466</v>
      </c>
      <c r="C136" s="42" t="s">
        <v>317</v>
      </c>
      <c r="D136" s="42" t="s">
        <v>171</v>
      </c>
      <c r="E136" s="42"/>
      <c r="F136" s="42" t="s">
        <v>716</v>
      </c>
      <c r="G136" s="7">
        <f>G118+G131</f>
        <v>9020</v>
      </c>
    </row>
    <row r="137" spans="1:8" ht="31.5" hidden="1">
      <c r="A137" s="31" t="s">
        <v>337</v>
      </c>
      <c r="B137" s="42" t="s">
        <v>665</v>
      </c>
      <c r="C137" s="42" t="s">
        <v>317</v>
      </c>
      <c r="D137" s="42" t="s">
        <v>171</v>
      </c>
      <c r="E137" s="42"/>
      <c r="F137" s="42"/>
      <c r="G137" s="11">
        <f>G138</f>
        <v>0</v>
      </c>
    </row>
    <row r="138" spans="1:8" ht="63" hidden="1">
      <c r="A138" s="31" t="s">
        <v>325</v>
      </c>
      <c r="B138" s="42" t="s">
        <v>665</v>
      </c>
      <c r="C138" s="42" t="s">
        <v>317</v>
      </c>
      <c r="D138" s="42" t="s">
        <v>171</v>
      </c>
      <c r="E138" s="42" t="s">
        <v>326</v>
      </c>
      <c r="F138" s="42"/>
      <c r="G138" s="11">
        <f>G139</f>
        <v>0</v>
      </c>
    </row>
    <row r="139" spans="1:8" ht="15.75" hidden="1">
      <c r="A139" s="31" t="s">
        <v>327</v>
      </c>
      <c r="B139" s="42" t="s">
        <v>665</v>
      </c>
      <c r="C139" s="42" t="s">
        <v>317</v>
      </c>
      <c r="D139" s="42" t="s">
        <v>171</v>
      </c>
      <c r="E139" s="42" t="s">
        <v>328</v>
      </c>
      <c r="F139" s="42"/>
      <c r="G139" s="11"/>
    </row>
    <row r="140" spans="1:8" ht="47.25" hidden="1">
      <c r="A140" s="31" t="s">
        <v>457</v>
      </c>
      <c r="B140" s="42" t="s">
        <v>665</v>
      </c>
      <c r="C140" s="42" t="s">
        <v>317</v>
      </c>
      <c r="D140" s="42" t="s">
        <v>171</v>
      </c>
      <c r="E140" s="42"/>
      <c r="F140" s="42" t="s">
        <v>716</v>
      </c>
      <c r="G140" s="11">
        <v>0</v>
      </c>
    </row>
    <row r="141" spans="1:8" ht="47.25">
      <c r="A141" s="43" t="s">
        <v>484</v>
      </c>
      <c r="B141" s="8" t="s">
        <v>485</v>
      </c>
      <c r="C141" s="8"/>
      <c r="D141" s="8"/>
      <c r="E141" s="8"/>
      <c r="F141" s="8"/>
      <c r="G141" s="4">
        <f>G162</f>
        <v>6675.4</v>
      </c>
    </row>
    <row r="142" spans="1:8" ht="70.5" hidden="1" customHeight="1">
      <c r="A142" s="31" t="s">
        <v>660</v>
      </c>
      <c r="B142" s="42" t="s">
        <v>666</v>
      </c>
      <c r="C142" s="42" t="s">
        <v>317</v>
      </c>
      <c r="D142" s="42" t="s">
        <v>266</v>
      </c>
      <c r="E142" s="42"/>
      <c r="F142" s="42"/>
      <c r="G142" s="11">
        <f>G143</f>
        <v>0</v>
      </c>
    </row>
    <row r="143" spans="1:8" ht="63" hidden="1">
      <c r="A143" s="31" t="s">
        <v>325</v>
      </c>
      <c r="B143" s="42" t="s">
        <v>666</v>
      </c>
      <c r="C143" s="42" t="s">
        <v>317</v>
      </c>
      <c r="D143" s="42" t="s">
        <v>266</v>
      </c>
      <c r="E143" s="42" t="s">
        <v>326</v>
      </c>
      <c r="F143" s="42"/>
      <c r="G143" s="11">
        <f>G145</f>
        <v>0</v>
      </c>
    </row>
    <row r="144" spans="1:8" ht="18.75" hidden="1" customHeight="1">
      <c r="A144" s="31" t="s">
        <v>327</v>
      </c>
      <c r="B144" s="42" t="s">
        <v>666</v>
      </c>
      <c r="C144" s="42" t="s">
        <v>317</v>
      </c>
      <c r="D144" s="42" t="s">
        <v>266</v>
      </c>
      <c r="E144" s="42" t="s">
        <v>328</v>
      </c>
      <c r="F144" s="42"/>
      <c r="G144" s="11"/>
    </row>
    <row r="145" spans="1:7" ht="47.25" hidden="1">
      <c r="A145" s="31" t="s">
        <v>457</v>
      </c>
      <c r="B145" s="42" t="s">
        <v>666</v>
      </c>
      <c r="C145" s="42" t="s">
        <v>317</v>
      </c>
      <c r="D145" s="42" t="s">
        <v>266</v>
      </c>
      <c r="E145" s="42"/>
      <c r="F145" s="42" t="s">
        <v>716</v>
      </c>
      <c r="G145" s="11"/>
    </row>
    <row r="146" spans="1:7" ht="78.75" hidden="1">
      <c r="A146" s="26" t="s">
        <v>486</v>
      </c>
      <c r="B146" s="42" t="s">
        <v>487</v>
      </c>
      <c r="C146" s="42" t="s">
        <v>317</v>
      </c>
      <c r="D146" s="42" t="s">
        <v>266</v>
      </c>
      <c r="E146" s="42"/>
      <c r="F146" s="42"/>
      <c r="G146" s="11">
        <f>G147</f>
        <v>0</v>
      </c>
    </row>
    <row r="147" spans="1:7" ht="63" hidden="1">
      <c r="A147" s="31" t="s">
        <v>325</v>
      </c>
      <c r="B147" s="42" t="s">
        <v>487</v>
      </c>
      <c r="C147" s="42" t="s">
        <v>317</v>
      </c>
      <c r="D147" s="42" t="s">
        <v>266</v>
      </c>
      <c r="E147" s="42" t="s">
        <v>326</v>
      </c>
      <c r="F147" s="42"/>
      <c r="G147" s="11">
        <f>G148</f>
        <v>0</v>
      </c>
    </row>
    <row r="148" spans="1:7" ht="15.75" hidden="1">
      <c r="A148" s="31" t="s">
        <v>327</v>
      </c>
      <c r="B148" s="42" t="s">
        <v>487</v>
      </c>
      <c r="C148" s="42" t="s">
        <v>317</v>
      </c>
      <c r="D148" s="42" t="s">
        <v>266</v>
      </c>
      <c r="E148" s="42" t="s">
        <v>328</v>
      </c>
      <c r="F148" s="42"/>
      <c r="G148" s="11"/>
    </row>
    <row r="149" spans="1:7" ht="54.75" hidden="1" customHeight="1">
      <c r="A149" s="31" t="s">
        <v>457</v>
      </c>
      <c r="B149" s="42" t="s">
        <v>487</v>
      </c>
      <c r="C149" s="42" t="s">
        <v>317</v>
      </c>
      <c r="D149" s="42" t="s">
        <v>266</v>
      </c>
      <c r="E149" s="42"/>
      <c r="F149" s="42" t="s">
        <v>716</v>
      </c>
      <c r="G149" s="11">
        <f>G146</f>
        <v>0</v>
      </c>
    </row>
    <row r="150" spans="1:7" ht="31.5" hidden="1">
      <c r="A150" s="26" t="s">
        <v>488</v>
      </c>
      <c r="B150" s="21" t="s">
        <v>489</v>
      </c>
      <c r="C150" s="42" t="s">
        <v>317</v>
      </c>
      <c r="D150" s="42" t="s">
        <v>266</v>
      </c>
      <c r="E150" s="42"/>
      <c r="F150" s="42"/>
      <c r="G150" s="11">
        <f>G151</f>
        <v>0</v>
      </c>
    </row>
    <row r="151" spans="1:7" ht="65.25" hidden="1" customHeight="1">
      <c r="A151" s="26" t="s">
        <v>325</v>
      </c>
      <c r="B151" s="21" t="s">
        <v>489</v>
      </c>
      <c r="C151" s="42" t="s">
        <v>317</v>
      </c>
      <c r="D151" s="42" t="s">
        <v>266</v>
      </c>
      <c r="E151" s="42" t="s">
        <v>326</v>
      </c>
      <c r="F151" s="42"/>
      <c r="G151" s="11">
        <f>G152</f>
        <v>0</v>
      </c>
    </row>
    <row r="152" spans="1:7" ht="15.75" hidden="1">
      <c r="A152" s="26" t="s">
        <v>327</v>
      </c>
      <c r="B152" s="21" t="s">
        <v>489</v>
      </c>
      <c r="C152" s="42" t="s">
        <v>317</v>
      </c>
      <c r="D152" s="42" t="s">
        <v>266</v>
      </c>
      <c r="E152" s="42" t="s">
        <v>328</v>
      </c>
      <c r="F152" s="42"/>
      <c r="G152" s="11"/>
    </row>
    <row r="153" spans="1:7" ht="47.25" hidden="1">
      <c r="A153" s="31" t="s">
        <v>457</v>
      </c>
      <c r="B153" s="21" t="s">
        <v>489</v>
      </c>
      <c r="C153" s="42" t="s">
        <v>317</v>
      </c>
      <c r="D153" s="42" t="s">
        <v>266</v>
      </c>
      <c r="E153" s="42"/>
      <c r="F153" s="42" t="s">
        <v>716</v>
      </c>
      <c r="G153" s="11">
        <f>G150</f>
        <v>0</v>
      </c>
    </row>
    <row r="154" spans="1:7" ht="63" hidden="1">
      <c r="A154" s="26" t="s">
        <v>492</v>
      </c>
      <c r="B154" s="21" t="s">
        <v>493</v>
      </c>
      <c r="C154" s="42" t="s">
        <v>317</v>
      </c>
      <c r="D154" s="42" t="s">
        <v>266</v>
      </c>
      <c r="E154" s="42"/>
      <c r="F154" s="42"/>
      <c r="G154" s="11">
        <f>G155</f>
        <v>0</v>
      </c>
    </row>
    <row r="155" spans="1:7" ht="63" hidden="1">
      <c r="A155" s="31" t="s">
        <v>325</v>
      </c>
      <c r="B155" s="21" t="s">
        <v>493</v>
      </c>
      <c r="C155" s="42" t="s">
        <v>317</v>
      </c>
      <c r="D155" s="42" t="s">
        <v>266</v>
      </c>
      <c r="E155" s="42" t="s">
        <v>326</v>
      </c>
      <c r="F155" s="42"/>
      <c r="G155" s="11">
        <f>G156</f>
        <v>0</v>
      </c>
    </row>
    <row r="156" spans="1:7" ht="15.75" hidden="1">
      <c r="A156" s="31" t="s">
        <v>327</v>
      </c>
      <c r="B156" s="21" t="s">
        <v>493</v>
      </c>
      <c r="C156" s="42" t="s">
        <v>317</v>
      </c>
      <c r="D156" s="42" t="s">
        <v>266</v>
      </c>
      <c r="E156" s="42" t="s">
        <v>328</v>
      </c>
      <c r="F156" s="42"/>
      <c r="G156" s="11"/>
    </row>
    <row r="157" spans="1:7" ht="47.25" hidden="1">
      <c r="A157" s="31" t="s">
        <v>457</v>
      </c>
      <c r="B157" s="21" t="s">
        <v>493</v>
      </c>
      <c r="C157" s="42" t="s">
        <v>317</v>
      </c>
      <c r="D157" s="42" t="s">
        <v>266</v>
      </c>
      <c r="E157" s="42"/>
      <c r="F157" s="42" t="s">
        <v>716</v>
      </c>
      <c r="G157" s="11">
        <f>G156</f>
        <v>0</v>
      </c>
    </row>
    <row r="158" spans="1:7" ht="47.25" hidden="1">
      <c r="A158" s="26" t="s">
        <v>669</v>
      </c>
      <c r="B158" s="21" t="s">
        <v>496</v>
      </c>
      <c r="C158" s="42" t="s">
        <v>317</v>
      </c>
      <c r="D158" s="42" t="s">
        <v>266</v>
      </c>
      <c r="E158" s="42"/>
      <c r="F158" s="42"/>
      <c r="G158" s="11">
        <f>G159</f>
        <v>0</v>
      </c>
    </row>
    <row r="159" spans="1:7" ht="63" hidden="1">
      <c r="A159" s="26" t="s">
        <v>325</v>
      </c>
      <c r="B159" s="21" t="s">
        <v>496</v>
      </c>
      <c r="C159" s="42" t="s">
        <v>317</v>
      </c>
      <c r="D159" s="42" t="s">
        <v>266</v>
      </c>
      <c r="E159" s="42" t="s">
        <v>326</v>
      </c>
      <c r="F159" s="42"/>
      <c r="G159" s="11">
        <f>G160</f>
        <v>0</v>
      </c>
    </row>
    <row r="160" spans="1:7" ht="15.75" hidden="1">
      <c r="A160" s="26" t="s">
        <v>327</v>
      </c>
      <c r="B160" s="21" t="s">
        <v>496</v>
      </c>
      <c r="C160" s="42" t="s">
        <v>317</v>
      </c>
      <c r="D160" s="42" t="s">
        <v>266</v>
      </c>
      <c r="E160" s="42" t="s">
        <v>328</v>
      </c>
      <c r="F160" s="42"/>
      <c r="G160" s="11"/>
    </row>
    <row r="161" spans="1:8" ht="47.25" hidden="1">
      <c r="A161" s="31" t="s">
        <v>457</v>
      </c>
      <c r="B161" s="21" t="s">
        <v>496</v>
      </c>
      <c r="C161" s="42" t="s">
        <v>317</v>
      </c>
      <c r="D161" s="42" t="s">
        <v>266</v>
      </c>
      <c r="E161" s="42"/>
      <c r="F161" s="42" t="s">
        <v>716</v>
      </c>
      <c r="G161" s="11">
        <f>G159</f>
        <v>0</v>
      </c>
    </row>
    <row r="162" spans="1:8" ht="15.75">
      <c r="A162" s="31" t="s">
        <v>316</v>
      </c>
      <c r="B162" s="42" t="s">
        <v>485</v>
      </c>
      <c r="C162" s="42" t="s">
        <v>317</v>
      </c>
      <c r="D162" s="42"/>
      <c r="E162" s="42"/>
      <c r="F162" s="42"/>
      <c r="G162" s="11">
        <f>G163</f>
        <v>6675.4</v>
      </c>
    </row>
    <row r="163" spans="1:8" ht="15.75">
      <c r="A163" s="31" t="s">
        <v>479</v>
      </c>
      <c r="B163" s="42" t="s">
        <v>485</v>
      </c>
      <c r="C163" s="42" t="s">
        <v>317</v>
      </c>
      <c r="D163" s="42" t="s">
        <v>266</v>
      </c>
      <c r="E163" s="42"/>
      <c r="F163" s="42"/>
      <c r="G163" s="11">
        <f>G164+G167+G173+G170+G176</f>
        <v>6675.4</v>
      </c>
    </row>
    <row r="164" spans="1:8" ht="78.75">
      <c r="A164" s="31" t="s">
        <v>668</v>
      </c>
      <c r="B164" s="21" t="s">
        <v>491</v>
      </c>
      <c r="C164" s="42" t="s">
        <v>317</v>
      </c>
      <c r="D164" s="42" t="s">
        <v>266</v>
      </c>
      <c r="E164" s="42"/>
      <c r="F164" s="42"/>
      <c r="G164" s="11">
        <f>G165</f>
        <v>2690</v>
      </c>
    </row>
    <row r="165" spans="1:8" ht="63">
      <c r="A165" s="31" t="s">
        <v>325</v>
      </c>
      <c r="B165" s="21" t="s">
        <v>491</v>
      </c>
      <c r="C165" s="42" t="s">
        <v>317</v>
      </c>
      <c r="D165" s="42" t="s">
        <v>266</v>
      </c>
      <c r="E165" s="42" t="s">
        <v>326</v>
      </c>
      <c r="F165" s="42"/>
      <c r="G165" s="11">
        <f>G166</f>
        <v>2690</v>
      </c>
    </row>
    <row r="166" spans="1:8" ht="24" customHeight="1">
      <c r="A166" s="31" t="s">
        <v>327</v>
      </c>
      <c r="B166" s="21" t="s">
        <v>491</v>
      </c>
      <c r="C166" s="42" t="s">
        <v>317</v>
      </c>
      <c r="D166" s="42" t="s">
        <v>266</v>
      </c>
      <c r="E166" s="42" t="s">
        <v>328</v>
      </c>
      <c r="F166" s="42"/>
      <c r="G166" s="7">
        <f>'Прил.№4 ведомств.'!G651</f>
        <v>2690</v>
      </c>
    </row>
    <row r="167" spans="1:8" ht="63">
      <c r="A167" s="26" t="s">
        <v>492</v>
      </c>
      <c r="B167" s="21" t="s">
        <v>493</v>
      </c>
      <c r="C167" s="42" t="s">
        <v>317</v>
      </c>
      <c r="D167" s="42" t="s">
        <v>266</v>
      </c>
      <c r="E167" s="42"/>
      <c r="F167" s="42"/>
      <c r="G167" s="7">
        <f>G168</f>
        <v>320</v>
      </c>
    </row>
    <row r="168" spans="1:8" ht="63">
      <c r="A168" s="26" t="s">
        <v>325</v>
      </c>
      <c r="B168" s="21" t="s">
        <v>493</v>
      </c>
      <c r="C168" s="42" t="s">
        <v>317</v>
      </c>
      <c r="D168" s="42" t="s">
        <v>266</v>
      </c>
      <c r="E168" s="42" t="s">
        <v>326</v>
      </c>
      <c r="F168" s="42"/>
      <c r="G168" s="7">
        <f>G169</f>
        <v>320</v>
      </c>
    </row>
    <row r="169" spans="1:8" ht="15.75">
      <c r="A169" s="26" t="s">
        <v>327</v>
      </c>
      <c r="B169" s="21" t="s">
        <v>493</v>
      </c>
      <c r="C169" s="42" t="s">
        <v>317</v>
      </c>
      <c r="D169" s="42" t="s">
        <v>266</v>
      </c>
      <c r="E169" s="42" t="s">
        <v>328</v>
      </c>
      <c r="F169" s="42"/>
      <c r="G169" s="7">
        <f>'Прил.№4 ведомств.'!G654</f>
        <v>320</v>
      </c>
    </row>
    <row r="170" spans="1:8" ht="47.25">
      <c r="A170" s="26" t="s">
        <v>331</v>
      </c>
      <c r="B170" s="42" t="s">
        <v>496</v>
      </c>
      <c r="C170" s="42" t="s">
        <v>317</v>
      </c>
      <c r="D170" s="42" t="s">
        <v>266</v>
      </c>
      <c r="E170" s="42"/>
      <c r="F170" s="42"/>
      <c r="G170" s="7">
        <f>G171</f>
        <v>3309</v>
      </c>
    </row>
    <row r="171" spans="1:8" ht="63">
      <c r="A171" s="26" t="s">
        <v>325</v>
      </c>
      <c r="B171" s="42" t="s">
        <v>496</v>
      </c>
      <c r="C171" s="42" t="s">
        <v>317</v>
      </c>
      <c r="D171" s="42" t="s">
        <v>266</v>
      </c>
      <c r="E171" s="42" t="s">
        <v>326</v>
      </c>
      <c r="F171" s="42"/>
      <c r="G171" s="7">
        <f>G172</f>
        <v>3309</v>
      </c>
    </row>
    <row r="172" spans="1:8" ht="15.75">
      <c r="A172" s="26" t="s">
        <v>327</v>
      </c>
      <c r="B172" s="42" t="s">
        <v>496</v>
      </c>
      <c r="C172" s="42" t="s">
        <v>317</v>
      </c>
      <c r="D172" s="42" t="s">
        <v>266</v>
      </c>
      <c r="E172" s="42" t="s">
        <v>328</v>
      </c>
      <c r="F172" s="42"/>
      <c r="G172" s="7">
        <f>'Прил.№4 ведомств.'!G660</f>
        <v>3309</v>
      </c>
      <c r="H172" s="137"/>
    </row>
    <row r="173" spans="1:8" ht="47.25">
      <c r="A173" s="31" t="s">
        <v>335</v>
      </c>
      <c r="B173" s="42" t="s">
        <v>498</v>
      </c>
      <c r="C173" s="42" t="s">
        <v>317</v>
      </c>
      <c r="D173" s="42" t="s">
        <v>266</v>
      </c>
      <c r="E173" s="42"/>
      <c r="F173" s="42"/>
      <c r="G173" s="11">
        <f>G174</f>
        <v>127</v>
      </c>
    </row>
    <row r="174" spans="1:8" ht="63">
      <c r="A174" s="31" t="s">
        <v>325</v>
      </c>
      <c r="B174" s="42" t="s">
        <v>498</v>
      </c>
      <c r="C174" s="42" t="s">
        <v>317</v>
      </c>
      <c r="D174" s="42" t="s">
        <v>266</v>
      </c>
      <c r="E174" s="42" t="s">
        <v>326</v>
      </c>
      <c r="F174" s="42"/>
      <c r="G174" s="11">
        <f>G175</f>
        <v>127</v>
      </c>
    </row>
    <row r="175" spans="1:8" ht="26.25" customHeight="1">
      <c r="A175" s="31" t="s">
        <v>327</v>
      </c>
      <c r="B175" s="42" t="s">
        <v>498</v>
      </c>
      <c r="C175" s="42" t="s">
        <v>317</v>
      </c>
      <c r="D175" s="42" t="s">
        <v>266</v>
      </c>
      <c r="E175" s="42" t="s">
        <v>328</v>
      </c>
      <c r="F175" s="42"/>
      <c r="G175" s="11">
        <f>'Прил.№4 ведомств.'!G666</f>
        <v>127</v>
      </c>
    </row>
    <row r="176" spans="1:8" ht="31.5">
      <c r="A176" s="31" t="s">
        <v>337</v>
      </c>
      <c r="B176" s="42" t="s">
        <v>499</v>
      </c>
      <c r="C176" s="42" t="s">
        <v>317</v>
      </c>
      <c r="D176" s="42" t="s">
        <v>266</v>
      </c>
      <c r="E176" s="42"/>
      <c r="F176" s="42"/>
      <c r="G176" s="11">
        <f>G177</f>
        <v>229.4</v>
      </c>
    </row>
    <row r="177" spans="1:7" ht="63">
      <c r="A177" s="31" t="s">
        <v>325</v>
      </c>
      <c r="B177" s="42" t="s">
        <v>499</v>
      </c>
      <c r="C177" s="42" t="s">
        <v>317</v>
      </c>
      <c r="D177" s="42" t="s">
        <v>266</v>
      </c>
      <c r="E177" s="42" t="s">
        <v>326</v>
      </c>
      <c r="F177" s="42"/>
      <c r="G177" s="11">
        <f>G178</f>
        <v>229.4</v>
      </c>
    </row>
    <row r="178" spans="1:7" ht="26.25" customHeight="1">
      <c r="A178" s="31" t="s">
        <v>327</v>
      </c>
      <c r="B178" s="42" t="s">
        <v>499</v>
      </c>
      <c r="C178" s="42" t="s">
        <v>317</v>
      </c>
      <c r="D178" s="42" t="s">
        <v>266</v>
      </c>
      <c r="E178" s="42" t="s">
        <v>328</v>
      </c>
      <c r="F178" s="42"/>
      <c r="G178" s="11">
        <f>'Прил.№4 ведомств.'!G669</f>
        <v>229.4</v>
      </c>
    </row>
    <row r="179" spans="1:7" ht="47.25">
      <c r="A179" s="31" t="s">
        <v>457</v>
      </c>
      <c r="B179" s="42" t="s">
        <v>485</v>
      </c>
      <c r="C179" s="42" t="s">
        <v>317</v>
      </c>
      <c r="D179" s="42" t="s">
        <v>266</v>
      </c>
      <c r="E179" s="42"/>
      <c r="F179" s="42" t="s">
        <v>716</v>
      </c>
      <c r="G179" s="11">
        <f>G141</f>
        <v>6675.4</v>
      </c>
    </row>
    <row r="180" spans="1:7" ht="31.5" hidden="1">
      <c r="A180" s="31" t="s">
        <v>337</v>
      </c>
      <c r="B180" s="42" t="s">
        <v>670</v>
      </c>
      <c r="C180" s="42" t="s">
        <v>317</v>
      </c>
      <c r="D180" s="42" t="s">
        <v>266</v>
      </c>
      <c r="E180" s="42"/>
      <c r="F180" s="42"/>
      <c r="G180" s="11">
        <f>G181</f>
        <v>0</v>
      </c>
    </row>
    <row r="181" spans="1:7" ht="63" hidden="1">
      <c r="A181" s="31" t="s">
        <v>325</v>
      </c>
      <c r="B181" s="42" t="s">
        <v>670</v>
      </c>
      <c r="C181" s="42" t="s">
        <v>317</v>
      </c>
      <c r="D181" s="42" t="s">
        <v>266</v>
      </c>
      <c r="E181" s="42" t="s">
        <v>326</v>
      </c>
      <c r="F181" s="42"/>
      <c r="G181" s="11">
        <f>G182</f>
        <v>0</v>
      </c>
    </row>
    <row r="182" spans="1:7" ht="15.75" hidden="1">
      <c r="A182" s="31" t="s">
        <v>327</v>
      </c>
      <c r="B182" s="42" t="s">
        <v>670</v>
      </c>
      <c r="C182" s="42" t="s">
        <v>317</v>
      </c>
      <c r="D182" s="42" t="s">
        <v>266</v>
      </c>
      <c r="E182" s="42" t="s">
        <v>328</v>
      </c>
      <c r="F182" s="42"/>
      <c r="G182" s="11"/>
    </row>
    <row r="183" spans="1:7" ht="47.25" hidden="1">
      <c r="A183" s="31" t="s">
        <v>457</v>
      </c>
      <c r="B183" s="42" t="s">
        <v>670</v>
      </c>
      <c r="C183" s="42" t="s">
        <v>317</v>
      </c>
      <c r="D183" s="42" t="s">
        <v>266</v>
      </c>
      <c r="E183" s="42"/>
      <c r="F183" s="42" t="s">
        <v>716</v>
      </c>
      <c r="G183" s="11">
        <v>0</v>
      </c>
    </row>
    <row r="184" spans="1:7" ht="47.25" hidden="1">
      <c r="A184" s="31" t="s">
        <v>717</v>
      </c>
      <c r="B184" s="42" t="s">
        <v>671</v>
      </c>
      <c r="C184" s="42" t="s">
        <v>317</v>
      </c>
      <c r="D184" s="42" t="s">
        <v>266</v>
      </c>
      <c r="E184" s="42"/>
      <c r="F184" s="42"/>
      <c r="G184" s="11">
        <f>G185</f>
        <v>0</v>
      </c>
    </row>
    <row r="185" spans="1:7" ht="63" hidden="1">
      <c r="A185" s="31" t="s">
        <v>325</v>
      </c>
      <c r="B185" s="42" t="s">
        <v>671</v>
      </c>
      <c r="C185" s="42" t="s">
        <v>317</v>
      </c>
      <c r="D185" s="42" t="s">
        <v>266</v>
      </c>
      <c r="E185" s="42" t="s">
        <v>326</v>
      </c>
      <c r="F185" s="42"/>
      <c r="G185" s="11">
        <f>G186</f>
        <v>0</v>
      </c>
    </row>
    <row r="186" spans="1:7" ht="15.75" hidden="1">
      <c r="A186" s="31" t="s">
        <v>327</v>
      </c>
      <c r="B186" s="42" t="s">
        <v>671</v>
      </c>
      <c r="C186" s="42" t="s">
        <v>317</v>
      </c>
      <c r="D186" s="42" t="s">
        <v>266</v>
      </c>
      <c r="E186" s="42" t="s">
        <v>328</v>
      </c>
      <c r="F186" s="42"/>
      <c r="G186" s="11"/>
    </row>
    <row r="187" spans="1:7" ht="47.25" hidden="1">
      <c r="A187" s="31" t="s">
        <v>457</v>
      </c>
      <c r="B187" s="42" t="s">
        <v>671</v>
      </c>
      <c r="C187" s="42" t="s">
        <v>317</v>
      </c>
      <c r="D187" s="42" t="s">
        <v>266</v>
      </c>
      <c r="E187" s="42"/>
      <c r="F187" s="42" t="s">
        <v>716</v>
      </c>
      <c r="G187" s="11">
        <v>0</v>
      </c>
    </row>
    <row r="188" spans="1:7" ht="45.75" customHeight="1">
      <c r="A188" s="43" t="s">
        <v>500</v>
      </c>
      <c r="B188" s="8" t="s">
        <v>501</v>
      </c>
      <c r="C188" s="8"/>
      <c r="D188" s="8"/>
      <c r="E188" s="8"/>
      <c r="F188" s="8"/>
      <c r="G188" s="68">
        <f>G189</f>
        <v>355.9</v>
      </c>
    </row>
    <row r="189" spans="1:7" ht="21" customHeight="1">
      <c r="A189" s="31" t="s">
        <v>316</v>
      </c>
      <c r="B189" s="42" t="s">
        <v>501</v>
      </c>
      <c r="C189" s="42" t="s">
        <v>317</v>
      </c>
      <c r="D189" s="42"/>
      <c r="E189" s="42"/>
      <c r="F189" s="42"/>
      <c r="G189" s="11">
        <f>G190</f>
        <v>355.9</v>
      </c>
    </row>
    <row r="190" spans="1:7" ht="22.5" customHeight="1">
      <c r="A190" s="31" t="s">
        <v>318</v>
      </c>
      <c r="B190" s="42" t="s">
        <v>501</v>
      </c>
      <c r="C190" s="42" t="s">
        <v>317</v>
      </c>
      <c r="D190" s="42" t="s">
        <v>268</v>
      </c>
      <c r="E190" s="42"/>
      <c r="F190" s="42"/>
      <c r="G190" s="11">
        <f>G191</f>
        <v>355.9</v>
      </c>
    </row>
    <row r="191" spans="1:7" ht="31.5">
      <c r="A191" s="47" t="s">
        <v>797</v>
      </c>
      <c r="B191" s="21" t="s">
        <v>798</v>
      </c>
      <c r="C191" s="42" t="s">
        <v>317</v>
      </c>
      <c r="D191" s="42" t="s">
        <v>268</v>
      </c>
      <c r="E191" s="42"/>
      <c r="F191" s="42"/>
      <c r="G191" s="11">
        <f>G192</f>
        <v>355.9</v>
      </c>
    </row>
    <row r="192" spans="1:7" ht="63">
      <c r="A192" s="31" t="s">
        <v>325</v>
      </c>
      <c r="B192" s="21" t="s">
        <v>798</v>
      </c>
      <c r="C192" s="42" t="s">
        <v>317</v>
      </c>
      <c r="D192" s="42" t="s">
        <v>268</v>
      </c>
      <c r="E192" s="42" t="s">
        <v>326</v>
      </c>
      <c r="F192" s="42"/>
      <c r="G192" s="11">
        <f>G193</f>
        <v>355.9</v>
      </c>
    </row>
    <row r="193" spans="1:8" ht="15.75">
      <c r="A193" s="31" t="s">
        <v>327</v>
      </c>
      <c r="B193" s="21" t="s">
        <v>798</v>
      </c>
      <c r="C193" s="42" t="s">
        <v>317</v>
      </c>
      <c r="D193" s="42" t="s">
        <v>268</v>
      </c>
      <c r="E193" s="42" t="s">
        <v>328</v>
      </c>
      <c r="F193" s="42"/>
      <c r="G193" s="11">
        <f>'Прил.№4 ведомств.'!G714</f>
        <v>355.9</v>
      </c>
      <c r="H193" s="137"/>
    </row>
    <row r="194" spans="1:8" ht="47.25">
      <c r="A194" s="31" t="s">
        <v>457</v>
      </c>
      <c r="B194" s="21" t="s">
        <v>798</v>
      </c>
      <c r="C194" s="42" t="s">
        <v>317</v>
      </c>
      <c r="D194" s="42" t="s">
        <v>268</v>
      </c>
      <c r="E194" s="42"/>
      <c r="F194" s="42" t="s">
        <v>716</v>
      </c>
      <c r="G194" s="11">
        <f>G189</f>
        <v>355.9</v>
      </c>
    </row>
    <row r="195" spans="1:8" ht="47.25" hidden="1">
      <c r="A195" s="31" t="s">
        <v>718</v>
      </c>
      <c r="B195" s="42" t="s">
        <v>672</v>
      </c>
      <c r="C195" s="42" t="s">
        <v>317</v>
      </c>
      <c r="D195" s="42" t="s">
        <v>266</v>
      </c>
      <c r="E195" s="42"/>
      <c r="F195" s="42"/>
      <c r="G195" s="11">
        <f>G199</f>
        <v>0</v>
      </c>
    </row>
    <row r="196" spans="1:8" ht="63" hidden="1">
      <c r="A196" s="31" t="s">
        <v>325</v>
      </c>
      <c r="B196" s="42" t="s">
        <v>672</v>
      </c>
      <c r="C196" s="42" t="s">
        <v>522</v>
      </c>
      <c r="D196" s="42" t="s">
        <v>719</v>
      </c>
      <c r="E196" s="42" t="s">
        <v>326</v>
      </c>
      <c r="F196" s="42"/>
      <c r="G196" s="11">
        <f>G197</f>
        <v>0</v>
      </c>
    </row>
    <row r="197" spans="1:8" ht="15.75" hidden="1">
      <c r="A197" s="31" t="s">
        <v>327</v>
      </c>
      <c r="B197" s="42" t="s">
        <v>672</v>
      </c>
      <c r="C197" s="42" t="s">
        <v>522</v>
      </c>
      <c r="D197" s="42" t="s">
        <v>719</v>
      </c>
      <c r="E197" s="42" t="s">
        <v>328</v>
      </c>
      <c r="F197" s="42"/>
      <c r="G197" s="11">
        <f>G198</f>
        <v>0</v>
      </c>
    </row>
    <row r="198" spans="1:8" ht="31.5" hidden="1">
      <c r="A198" s="31" t="s">
        <v>663</v>
      </c>
      <c r="B198" s="42" t="s">
        <v>672</v>
      </c>
      <c r="C198" s="42" t="s">
        <v>522</v>
      </c>
      <c r="D198" s="42" t="s">
        <v>719</v>
      </c>
      <c r="E198" s="42" t="s">
        <v>664</v>
      </c>
      <c r="F198" s="42"/>
      <c r="G198" s="11">
        <f>G199</f>
        <v>0</v>
      </c>
    </row>
    <row r="199" spans="1:8" ht="47.25" hidden="1">
      <c r="A199" s="31" t="s">
        <v>457</v>
      </c>
      <c r="B199" s="42" t="s">
        <v>672</v>
      </c>
      <c r="C199" s="42" t="s">
        <v>317</v>
      </c>
      <c r="D199" s="42" t="s">
        <v>266</v>
      </c>
      <c r="E199" s="42"/>
      <c r="F199" s="42" t="s">
        <v>716</v>
      </c>
      <c r="G199" s="11"/>
    </row>
    <row r="200" spans="1:8" ht="47.25" hidden="1">
      <c r="A200" s="31" t="s">
        <v>720</v>
      </c>
      <c r="B200" s="21" t="s">
        <v>502</v>
      </c>
      <c r="C200" s="42" t="s">
        <v>317</v>
      </c>
      <c r="D200" s="42" t="s">
        <v>266</v>
      </c>
      <c r="E200" s="42"/>
      <c r="F200" s="42"/>
      <c r="G200" s="11">
        <f>G201</f>
        <v>0</v>
      </c>
    </row>
    <row r="201" spans="1:8" ht="31.5" hidden="1">
      <c r="A201" s="31" t="s">
        <v>333</v>
      </c>
      <c r="B201" s="21" t="s">
        <v>502</v>
      </c>
      <c r="C201" s="42" t="s">
        <v>317</v>
      </c>
      <c r="D201" s="42" t="s">
        <v>266</v>
      </c>
      <c r="E201" s="42" t="s">
        <v>326</v>
      </c>
      <c r="F201" s="42"/>
      <c r="G201" s="11">
        <f>G202</f>
        <v>0</v>
      </c>
    </row>
    <row r="202" spans="1:8" ht="15.75" hidden="1">
      <c r="A202" s="31" t="s">
        <v>327</v>
      </c>
      <c r="B202" s="21" t="s">
        <v>502</v>
      </c>
      <c r="C202" s="42" t="s">
        <v>317</v>
      </c>
      <c r="D202" s="42" t="s">
        <v>266</v>
      </c>
      <c r="E202" s="42" t="s">
        <v>328</v>
      </c>
      <c r="F202" s="42"/>
      <c r="G202" s="11"/>
    </row>
    <row r="203" spans="1:8" ht="31.5" hidden="1">
      <c r="A203" s="31" t="s">
        <v>663</v>
      </c>
      <c r="B203" s="21" t="s">
        <v>502</v>
      </c>
      <c r="C203" s="42" t="s">
        <v>317</v>
      </c>
      <c r="D203" s="42" t="s">
        <v>266</v>
      </c>
      <c r="E203" s="42" t="s">
        <v>664</v>
      </c>
      <c r="F203" s="42"/>
      <c r="G203" s="11"/>
    </row>
    <row r="204" spans="1:8" ht="47.25" hidden="1">
      <c r="A204" s="31" t="s">
        <v>457</v>
      </c>
      <c r="B204" s="21" t="s">
        <v>502</v>
      </c>
      <c r="C204" s="42" t="s">
        <v>317</v>
      </c>
      <c r="D204" s="42" t="s">
        <v>266</v>
      </c>
      <c r="E204" s="42"/>
      <c r="F204" s="42" t="s">
        <v>716</v>
      </c>
      <c r="G204" s="7">
        <f>G200</f>
        <v>0</v>
      </c>
    </row>
    <row r="205" spans="1:8" ht="47.25" hidden="1">
      <c r="A205" s="31" t="s">
        <v>669</v>
      </c>
      <c r="B205" s="42" t="s">
        <v>503</v>
      </c>
      <c r="C205" s="42" t="s">
        <v>317</v>
      </c>
      <c r="D205" s="42" t="s">
        <v>266</v>
      </c>
      <c r="E205" s="42"/>
      <c r="F205" s="42"/>
      <c r="G205" s="11">
        <f>G206</f>
        <v>0</v>
      </c>
    </row>
    <row r="206" spans="1:8" ht="63" hidden="1">
      <c r="A206" s="31" t="s">
        <v>325</v>
      </c>
      <c r="B206" s="42" t="s">
        <v>503</v>
      </c>
      <c r="C206" s="42" t="s">
        <v>317</v>
      </c>
      <c r="D206" s="42" t="s">
        <v>266</v>
      </c>
      <c r="E206" s="42" t="s">
        <v>326</v>
      </c>
      <c r="F206" s="42"/>
      <c r="G206" s="11">
        <f>G207</f>
        <v>0</v>
      </c>
    </row>
    <row r="207" spans="1:8" ht="15.75" hidden="1">
      <c r="A207" s="31" t="s">
        <v>327</v>
      </c>
      <c r="B207" s="42" t="s">
        <v>503</v>
      </c>
      <c r="C207" s="42" t="s">
        <v>317</v>
      </c>
      <c r="D207" s="42" t="s">
        <v>266</v>
      </c>
      <c r="E207" s="42" t="s">
        <v>328</v>
      </c>
      <c r="F207" s="42" t="s">
        <v>716</v>
      </c>
      <c r="G207" s="11"/>
    </row>
    <row r="208" spans="1:8" ht="15.75" hidden="1">
      <c r="A208" s="31"/>
      <c r="B208" s="42"/>
      <c r="C208" s="42"/>
      <c r="D208" s="42"/>
      <c r="E208" s="42"/>
      <c r="F208" s="42"/>
      <c r="G208" s="11"/>
    </row>
    <row r="209" spans="1:7" ht="15.75" hidden="1">
      <c r="A209" s="31"/>
      <c r="B209" s="42"/>
      <c r="C209" s="42"/>
      <c r="D209" s="42"/>
      <c r="E209" s="42"/>
      <c r="F209" s="42"/>
      <c r="G209" s="11"/>
    </row>
    <row r="210" spans="1:7" ht="47.25">
      <c r="A210" s="43" t="s">
        <v>521</v>
      </c>
      <c r="B210" s="8" t="s">
        <v>523</v>
      </c>
      <c r="C210" s="8"/>
      <c r="D210" s="8"/>
      <c r="E210" s="8"/>
      <c r="F210" s="8"/>
      <c r="G210" s="68">
        <f>G211</f>
        <v>3484.8</v>
      </c>
    </row>
    <row r="211" spans="1:7" ht="15.75">
      <c r="A211" s="31" t="s">
        <v>316</v>
      </c>
      <c r="B211" s="42" t="s">
        <v>523</v>
      </c>
      <c r="C211" s="42" t="s">
        <v>317</v>
      </c>
      <c r="D211" s="42"/>
      <c r="E211" s="42"/>
      <c r="F211" s="42"/>
      <c r="G211" s="11">
        <f>G212</f>
        <v>3484.8</v>
      </c>
    </row>
    <row r="212" spans="1:7" ht="31.5">
      <c r="A212" s="31" t="s">
        <v>520</v>
      </c>
      <c r="B212" s="42" t="s">
        <v>523</v>
      </c>
      <c r="C212" s="42" t="s">
        <v>317</v>
      </c>
      <c r="D212" s="42" t="s">
        <v>317</v>
      </c>
      <c r="E212" s="42"/>
      <c r="F212" s="42"/>
      <c r="G212" s="11">
        <f>G213</f>
        <v>3484.8</v>
      </c>
    </row>
    <row r="213" spans="1:7" ht="47.25">
      <c r="A213" s="26" t="s">
        <v>676</v>
      </c>
      <c r="B213" s="21" t="s">
        <v>525</v>
      </c>
      <c r="C213" s="42" t="s">
        <v>317</v>
      </c>
      <c r="D213" s="42" t="s">
        <v>317</v>
      </c>
      <c r="E213" s="42"/>
      <c r="F213" s="42"/>
      <c r="G213" s="11">
        <f>G214</f>
        <v>3484.8</v>
      </c>
    </row>
    <row r="214" spans="1:7" ht="63">
      <c r="A214" s="31" t="s">
        <v>325</v>
      </c>
      <c r="B214" s="21" t="s">
        <v>525</v>
      </c>
      <c r="C214" s="42" t="s">
        <v>317</v>
      </c>
      <c r="D214" s="42" t="s">
        <v>317</v>
      </c>
      <c r="E214" s="42" t="s">
        <v>326</v>
      </c>
      <c r="F214" s="42"/>
      <c r="G214" s="11">
        <f>G215</f>
        <v>3484.8</v>
      </c>
    </row>
    <row r="215" spans="1:7" ht="15.75">
      <c r="A215" s="31" t="s">
        <v>327</v>
      </c>
      <c r="B215" s="21" t="s">
        <v>525</v>
      </c>
      <c r="C215" s="42" t="s">
        <v>317</v>
      </c>
      <c r="D215" s="42" t="s">
        <v>317</v>
      </c>
      <c r="E215" s="42" t="s">
        <v>328</v>
      </c>
      <c r="F215" s="42"/>
      <c r="G215" s="11">
        <f>'Прил.№4 ведомств.'!G734</f>
        <v>3484.8</v>
      </c>
    </row>
    <row r="216" spans="1:7" ht="47.25">
      <c r="A216" s="31" t="s">
        <v>457</v>
      </c>
      <c r="B216" s="21" t="s">
        <v>523</v>
      </c>
      <c r="C216" s="42" t="s">
        <v>317</v>
      </c>
      <c r="D216" s="42" t="s">
        <v>317</v>
      </c>
      <c r="E216" s="42"/>
      <c r="F216" s="42" t="s">
        <v>716</v>
      </c>
      <c r="G216" s="11">
        <f>G210</f>
        <v>3484.8</v>
      </c>
    </row>
    <row r="217" spans="1:7" ht="78.75">
      <c r="A217" s="64" t="s">
        <v>208</v>
      </c>
      <c r="B217" s="204" t="s">
        <v>209</v>
      </c>
      <c r="C217" s="8"/>
      <c r="D217" s="204"/>
      <c r="E217" s="204"/>
      <c r="F217" s="204"/>
      <c r="G217" s="68">
        <f>G220</f>
        <v>250</v>
      </c>
    </row>
    <row r="218" spans="1:7" ht="15.75">
      <c r="A218" s="47" t="s">
        <v>170</v>
      </c>
      <c r="B218" s="6" t="s">
        <v>209</v>
      </c>
      <c r="C218" s="42" t="s">
        <v>171</v>
      </c>
      <c r="D218" s="6"/>
      <c r="E218" s="6"/>
      <c r="F218" s="6"/>
      <c r="G218" s="11">
        <f>G219</f>
        <v>250</v>
      </c>
    </row>
    <row r="219" spans="1:7" ht="31.5">
      <c r="A219" s="78" t="s">
        <v>192</v>
      </c>
      <c r="B219" s="77" t="s">
        <v>209</v>
      </c>
      <c r="C219" s="42" t="s">
        <v>171</v>
      </c>
      <c r="D219" s="77">
        <v>13</v>
      </c>
      <c r="E219" s="77"/>
      <c r="F219" s="77"/>
      <c r="G219" s="11">
        <f>G220</f>
        <v>250</v>
      </c>
    </row>
    <row r="220" spans="1:7" ht="47.25">
      <c r="A220" s="31" t="s">
        <v>210</v>
      </c>
      <c r="B220" s="77" t="s">
        <v>211</v>
      </c>
      <c r="C220" s="42" t="s">
        <v>171</v>
      </c>
      <c r="D220" s="42" t="s">
        <v>193</v>
      </c>
      <c r="E220" s="42"/>
      <c r="F220" s="42"/>
      <c r="G220" s="11">
        <f>G221</f>
        <v>250</v>
      </c>
    </row>
    <row r="221" spans="1:7" ht="47.25">
      <c r="A221" s="31" t="s">
        <v>184</v>
      </c>
      <c r="B221" s="77" t="s">
        <v>211</v>
      </c>
      <c r="C221" s="42" t="s">
        <v>171</v>
      </c>
      <c r="D221" s="42" t="s">
        <v>193</v>
      </c>
      <c r="E221" s="42" t="s">
        <v>198</v>
      </c>
      <c r="F221" s="42"/>
      <c r="G221" s="11">
        <f>G222</f>
        <v>250</v>
      </c>
    </row>
    <row r="222" spans="1:7" ht="78.75">
      <c r="A222" s="31" t="s">
        <v>237</v>
      </c>
      <c r="B222" s="77" t="s">
        <v>211</v>
      </c>
      <c r="C222" s="42" t="s">
        <v>171</v>
      </c>
      <c r="D222" s="42" t="s">
        <v>193</v>
      </c>
      <c r="E222" s="42" t="s">
        <v>213</v>
      </c>
      <c r="F222" s="42"/>
      <c r="G222" s="11">
        <f>'Прил.№4 ведомств.'!G67</f>
        <v>250</v>
      </c>
    </row>
    <row r="223" spans="1:7" ht="31.5">
      <c r="A223" s="31" t="s">
        <v>201</v>
      </c>
      <c r="B223" s="77" t="s">
        <v>209</v>
      </c>
      <c r="C223" s="42" t="s">
        <v>171</v>
      </c>
      <c r="D223" s="42" t="s">
        <v>193</v>
      </c>
      <c r="E223" s="42"/>
      <c r="F223" s="42" t="s">
        <v>721</v>
      </c>
      <c r="G223" s="11">
        <f>G217</f>
        <v>250</v>
      </c>
    </row>
    <row r="224" spans="1:7" ht="73.5" customHeight="1">
      <c r="A224" s="43" t="s">
        <v>214</v>
      </c>
      <c r="B224" s="204" t="s">
        <v>215</v>
      </c>
      <c r="C224" s="8"/>
      <c r="D224" s="8"/>
      <c r="E224" s="8"/>
      <c r="F224" s="8"/>
      <c r="G224" s="68">
        <f>G225</f>
        <v>654</v>
      </c>
    </row>
    <row r="225" spans="1:7" ht="15.75">
      <c r="A225" s="47" t="s">
        <v>170</v>
      </c>
      <c r="B225" s="6" t="s">
        <v>215</v>
      </c>
      <c r="C225" s="42" t="s">
        <v>171</v>
      </c>
      <c r="D225" s="6"/>
      <c r="E225" s="6"/>
      <c r="F225" s="42"/>
      <c r="G225" s="11">
        <f>G226</f>
        <v>654</v>
      </c>
    </row>
    <row r="226" spans="1:7" ht="31.5">
      <c r="A226" s="78" t="s">
        <v>192</v>
      </c>
      <c r="B226" s="77" t="s">
        <v>215</v>
      </c>
      <c r="C226" s="42" t="s">
        <v>171</v>
      </c>
      <c r="D226" s="77">
        <v>13</v>
      </c>
      <c r="E226" s="77"/>
      <c r="F226" s="42"/>
      <c r="G226" s="11">
        <f>G227+G230+G235+G238</f>
        <v>654</v>
      </c>
    </row>
    <row r="227" spans="1:7" ht="31.5">
      <c r="A227" s="31" t="s">
        <v>216</v>
      </c>
      <c r="B227" s="42" t="s">
        <v>217</v>
      </c>
      <c r="C227" s="42" t="s">
        <v>171</v>
      </c>
      <c r="D227" s="42" t="s">
        <v>193</v>
      </c>
      <c r="E227" s="42"/>
      <c r="F227" s="42"/>
      <c r="G227" s="11">
        <f>G228</f>
        <v>428.1</v>
      </c>
    </row>
    <row r="228" spans="1:7" ht="47.25">
      <c r="A228" s="31" t="s">
        <v>184</v>
      </c>
      <c r="B228" s="42" t="s">
        <v>217</v>
      </c>
      <c r="C228" s="42" t="s">
        <v>171</v>
      </c>
      <c r="D228" s="42" t="s">
        <v>193</v>
      </c>
      <c r="E228" s="42" t="s">
        <v>185</v>
      </c>
      <c r="F228" s="42"/>
      <c r="G228" s="11">
        <f>G229</f>
        <v>428.1</v>
      </c>
    </row>
    <row r="229" spans="1:7" ht="47.25">
      <c r="A229" s="31" t="s">
        <v>186</v>
      </c>
      <c r="B229" s="42" t="s">
        <v>217</v>
      </c>
      <c r="C229" s="42" t="s">
        <v>171</v>
      </c>
      <c r="D229" s="42" t="s">
        <v>193</v>
      </c>
      <c r="E229" s="42" t="s">
        <v>187</v>
      </c>
      <c r="F229" s="42"/>
      <c r="G229" s="11">
        <f>'Прил.№4 ведомств.'!G71</f>
        <v>428.1</v>
      </c>
    </row>
    <row r="230" spans="1:7" ht="78.75">
      <c r="A230" s="121" t="s">
        <v>218</v>
      </c>
      <c r="B230" s="42" t="s">
        <v>219</v>
      </c>
      <c r="C230" s="42" t="s">
        <v>171</v>
      </c>
      <c r="D230" s="42" t="s">
        <v>193</v>
      </c>
      <c r="E230" s="42"/>
      <c r="F230" s="42"/>
      <c r="G230" s="11">
        <f>G231+G233</f>
        <v>224.89999999999998</v>
      </c>
    </row>
    <row r="231" spans="1:7" ht="110.25">
      <c r="A231" s="31" t="s">
        <v>180</v>
      </c>
      <c r="B231" s="42" t="s">
        <v>219</v>
      </c>
      <c r="C231" s="42" t="s">
        <v>171</v>
      </c>
      <c r="D231" s="42" t="s">
        <v>193</v>
      </c>
      <c r="E231" s="42" t="s">
        <v>181</v>
      </c>
      <c r="F231" s="42"/>
      <c r="G231" s="11">
        <f>G232</f>
        <v>159.69999999999999</v>
      </c>
    </row>
    <row r="232" spans="1:7" ht="47.25">
      <c r="A232" s="31" t="s">
        <v>182</v>
      </c>
      <c r="B232" s="42" t="s">
        <v>219</v>
      </c>
      <c r="C232" s="42" t="s">
        <v>171</v>
      </c>
      <c r="D232" s="42" t="s">
        <v>193</v>
      </c>
      <c r="E232" s="42" t="s">
        <v>183</v>
      </c>
      <c r="F232" s="42"/>
      <c r="G232" s="11">
        <f>'Прил.№4 ведомств.'!G74</f>
        <v>159.69999999999999</v>
      </c>
    </row>
    <row r="233" spans="1:7" ht="47.25">
      <c r="A233" s="31" t="s">
        <v>184</v>
      </c>
      <c r="B233" s="42" t="s">
        <v>219</v>
      </c>
      <c r="C233" s="42" t="s">
        <v>171</v>
      </c>
      <c r="D233" s="42" t="s">
        <v>193</v>
      </c>
      <c r="E233" s="42" t="s">
        <v>185</v>
      </c>
      <c r="F233" s="42"/>
      <c r="G233" s="11">
        <f>G234</f>
        <v>65.2</v>
      </c>
    </row>
    <row r="234" spans="1:7" ht="47.25">
      <c r="A234" s="31" t="s">
        <v>186</v>
      </c>
      <c r="B234" s="42" t="s">
        <v>219</v>
      </c>
      <c r="C234" s="42" t="s">
        <v>171</v>
      </c>
      <c r="D234" s="42" t="s">
        <v>193</v>
      </c>
      <c r="E234" s="42" t="s">
        <v>187</v>
      </c>
      <c r="F234" s="42"/>
      <c r="G234" s="11">
        <f>'Прил.№4 ведомств.'!G76</f>
        <v>65.2</v>
      </c>
    </row>
    <row r="235" spans="1:7" ht="63">
      <c r="A235" s="33" t="s">
        <v>779</v>
      </c>
      <c r="B235" s="42" t="s">
        <v>780</v>
      </c>
      <c r="C235" s="42" t="s">
        <v>171</v>
      </c>
      <c r="D235" s="42" t="s">
        <v>193</v>
      </c>
      <c r="E235" s="42"/>
      <c r="F235" s="42"/>
      <c r="G235" s="11">
        <f>G236</f>
        <v>0.5</v>
      </c>
    </row>
    <row r="236" spans="1:7" ht="47.25">
      <c r="A236" s="26" t="s">
        <v>184</v>
      </c>
      <c r="B236" s="42" t="s">
        <v>780</v>
      </c>
      <c r="C236" s="42" t="s">
        <v>171</v>
      </c>
      <c r="D236" s="42" t="s">
        <v>193</v>
      </c>
      <c r="E236" s="42" t="s">
        <v>185</v>
      </c>
      <c r="F236" s="42"/>
      <c r="G236" s="11">
        <f>G237</f>
        <v>0.5</v>
      </c>
    </row>
    <row r="237" spans="1:7" ht="47.25">
      <c r="A237" s="26" t="s">
        <v>186</v>
      </c>
      <c r="B237" s="42" t="s">
        <v>780</v>
      </c>
      <c r="C237" s="42" t="s">
        <v>171</v>
      </c>
      <c r="D237" s="42" t="s">
        <v>193</v>
      </c>
      <c r="E237" s="42" t="s">
        <v>187</v>
      </c>
      <c r="F237" s="42"/>
      <c r="G237" s="11">
        <f>'Прил.№4 ведомств.'!G1080</f>
        <v>0.5</v>
      </c>
    </row>
    <row r="238" spans="1:7" ht="63">
      <c r="A238" s="35" t="s">
        <v>244</v>
      </c>
      <c r="B238" s="42" t="s">
        <v>766</v>
      </c>
      <c r="C238" s="42" t="s">
        <v>171</v>
      </c>
      <c r="D238" s="42" t="s">
        <v>193</v>
      </c>
      <c r="E238" s="42"/>
      <c r="F238" s="42"/>
      <c r="G238" s="11">
        <f>G239</f>
        <v>0.5</v>
      </c>
    </row>
    <row r="239" spans="1:7" ht="47.25">
      <c r="A239" s="26" t="s">
        <v>184</v>
      </c>
      <c r="B239" s="42" t="s">
        <v>766</v>
      </c>
      <c r="C239" s="42" t="s">
        <v>171</v>
      </c>
      <c r="D239" s="42" t="s">
        <v>193</v>
      </c>
      <c r="E239" s="42" t="s">
        <v>185</v>
      </c>
      <c r="F239" s="42"/>
      <c r="G239" s="11">
        <f>G240</f>
        <v>0.5</v>
      </c>
    </row>
    <row r="240" spans="1:7" ht="47.25">
      <c r="A240" s="26" t="s">
        <v>186</v>
      </c>
      <c r="B240" s="42" t="s">
        <v>766</v>
      </c>
      <c r="C240" s="42" t="s">
        <v>171</v>
      </c>
      <c r="D240" s="42" t="s">
        <v>193</v>
      </c>
      <c r="E240" s="42" t="s">
        <v>187</v>
      </c>
      <c r="F240" s="42"/>
      <c r="G240" s="11">
        <f>'Прил.№4 ведомств.'!G79</f>
        <v>0.5</v>
      </c>
    </row>
    <row r="241" spans="1:7" ht="31.5">
      <c r="A241" s="31" t="s">
        <v>201</v>
      </c>
      <c r="B241" s="42" t="s">
        <v>215</v>
      </c>
      <c r="C241" s="42" t="s">
        <v>171</v>
      </c>
      <c r="D241" s="42" t="s">
        <v>193</v>
      </c>
      <c r="E241" s="42"/>
      <c r="F241" s="42" t="s">
        <v>721</v>
      </c>
      <c r="G241" s="11">
        <f>G224</f>
        <v>654</v>
      </c>
    </row>
    <row r="242" spans="1:7" ht="94.5">
      <c r="A242" s="43" t="s">
        <v>306</v>
      </c>
      <c r="B242" s="204" t="s">
        <v>307</v>
      </c>
      <c r="C242" s="42"/>
      <c r="D242" s="42"/>
      <c r="E242" s="42"/>
      <c r="F242" s="42"/>
      <c r="G242" s="68">
        <f>G243</f>
        <v>10</v>
      </c>
    </row>
    <row r="243" spans="1:7" ht="15.75">
      <c r="A243" s="31" t="s">
        <v>296</v>
      </c>
      <c r="B243" s="6" t="s">
        <v>307</v>
      </c>
      <c r="C243" s="42" t="s">
        <v>297</v>
      </c>
      <c r="D243" s="42"/>
      <c r="E243" s="42"/>
      <c r="F243" s="42"/>
      <c r="G243" s="11">
        <f>G244</f>
        <v>10</v>
      </c>
    </row>
    <row r="244" spans="1:7" ht="22.5" customHeight="1">
      <c r="A244" s="31" t="s">
        <v>305</v>
      </c>
      <c r="B244" s="6" t="s">
        <v>307</v>
      </c>
      <c r="C244" s="42" t="s">
        <v>297</v>
      </c>
      <c r="D244" s="42" t="s">
        <v>268</v>
      </c>
      <c r="E244" s="42"/>
      <c r="F244" s="42"/>
      <c r="G244" s="11">
        <f>G245</f>
        <v>10</v>
      </c>
    </row>
    <row r="245" spans="1:7" ht="47.25">
      <c r="A245" s="31" t="s">
        <v>210</v>
      </c>
      <c r="B245" s="77" t="s">
        <v>308</v>
      </c>
      <c r="C245" s="42" t="s">
        <v>297</v>
      </c>
      <c r="D245" s="42" t="s">
        <v>268</v>
      </c>
      <c r="E245" s="42"/>
      <c r="F245" s="42"/>
      <c r="G245" s="11">
        <f>G246</f>
        <v>10</v>
      </c>
    </row>
    <row r="246" spans="1:7" ht="38.25" customHeight="1">
      <c r="A246" s="31" t="s">
        <v>301</v>
      </c>
      <c r="B246" s="77" t="s">
        <v>308</v>
      </c>
      <c r="C246" s="42" t="s">
        <v>297</v>
      </c>
      <c r="D246" s="42" t="s">
        <v>268</v>
      </c>
      <c r="E246" s="42" t="s">
        <v>302</v>
      </c>
      <c r="F246" s="42"/>
      <c r="G246" s="11">
        <f>G247</f>
        <v>10</v>
      </c>
    </row>
    <row r="247" spans="1:7" ht="47.25">
      <c r="A247" s="31" t="s">
        <v>303</v>
      </c>
      <c r="B247" s="77" t="s">
        <v>308</v>
      </c>
      <c r="C247" s="42" t="s">
        <v>297</v>
      </c>
      <c r="D247" s="42" t="s">
        <v>268</v>
      </c>
      <c r="E247" s="42" t="s">
        <v>304</v>
      </c>
      <c r="F247" s="42"/>
      <c r="G247" s="11">
        <f>'Прил.№4 ведомств.'!G229</f>
        <v>10</v>
      </c>
    </row>
    <row r="248" spans="1:7" ht="31.5">
      <c r="A248" s="47" t="s">
        <v>201</v>
      </c>
      <c r="B248" s="77" t="s">
        <v>307</v>
      </c>
      <c r="C248" s="42" t="s">
        <v>297</v>
      </c>
      <c r="D248" s="42" t="s">
        <v>268</v>
      </c>
      <c r="E248" s="42"/>
      <c r="F248" s="42" t="s">
        <v>721</v>
      </c>
      <c r="G248" s="11">
        <f>G242</f>
        <v>10</v>
      </c>
    </row>
    <row r="249" spans="1:7" ht="141.75">
      <c r="A249" s="43" t="s">
        <v>654</v>
      </c>
      <c r="B249" s="204" t="s">
        <v>221</v>
      </c>
      <c r="C249" s="8"/>
      <c r="D249" s="8"/>
      <c r="E249" s="8"/>
      <c r="F249" s="8"/>
      <c r="G249" s="68">
        <f>G250+G257+G264</f>
        <v>80</v>
      </c>
    </row>
    <row r="250" spans="1:7" ht="110.25">
      <c r="A250" s="43" t="s">
        <v>222</v>
      </c>
      <c r="B250" s="204" t="s">
        <v>223</v>
      </c>
      <c r="C250" s="8"/>
      <c r="D250" s="8"/>
      <c r="E250" s="8"/>
      <c r="F250" s="8"/>
      <c r="G250" s="68">
        <f>G251</f>
        <v>15</v>
      </c>
    </row>
    <row r="251" spans="1:7" ht="15.75">
      <c r="A251" s="47" t="s">
        <v>170</v>
      </c>
      <c r="B251" s="6" t="s">
        <v>223</v>
      </c>
      <c r="C251" s="42" t="s">
        <v>171</v>
      </c>
      <c r="D251" s="42"/>
      <c r="E251" s="42"/>
      <c r="F251" s="42"/>
      <c r="G251" s="11">
        <f>G252</f>
        <v>15</v>
      </c>
    </row>
    <row r="252" spans="1:7" ht="33.75" customHeight="1">
      <c r="A252" s="78" t="s">
        <v>192</v>
      </c>
      <c r="B252" s="6" t="s">
        <v>223</v>
      </c>
      <c r="C252" s="42" t="s">
        <v>171</v>
      </c>
      <c r="D252" s="42" t="s">
        <v>193</v>
      </c>
      <c r="E252" s="42"/>
      <c r="F252" s="42"/>
      <c r="G252" s="11">
        <f>G253</f>
        <v>15</v>
      </c>
    </row>
    <row r="253" spans="1:7" ht="47.25">
      <c r="A253" s="121" t="s">
        <v>224</v>
      </c>
      <c r="B253" s="6" t="s">
        <v>225</v>
      </c>
      <c r="C253" s="42" t="s">
        <v>171</v>
      </c>
      <c r="D253" s="42" t="s">
        <v>193</v>
      </c>
      <c r="E253" s="42"/>
      <c r="F253" s="42"/>
      <c r="G253" s="11">
        <f>G254</f>
        <v>15</v>
      </c>
    </row>
    <row r="254" spans="1:7" ht="47.25">
      <c r="A254" s="31" t="s">
        <v>184</v>
      </c>
      <c r="B254" s="6" t="s">
        <v>225</v>
      </c>
      <c r="C254" s="42" t="s">
        <v>171</v>
      </c>
      <c r="D254" s="42" t="s">
        <v>193</v>
      </c>
      <c r="E254" s="42" t="s">
        <v>185</v>
      </c>
      <c r="F254" s="42"/>
      <c r="G254" s="11">
        <f>G255</f>
        <v>15</v>
      </c>
    </row>
    <row r="255" spans="1:7" ht="47.25">
      <c r="A255" s="31" t="s">
        <v>186</v>
      </c>
      <c r="B255" s="6" t="s">
        <v>225</v>
      </c>
      <c r="C255" s="42" t="s">
        <v>171</v>
      </c>
      <c r="D255" s="42" t="s">
        <v>193</v>
      </c>
      <c r="E255" s="42" t="s">
        <v>187</v>
      </c>
      <c r="F255" s="42"/>
      <c r="G255" s="11">
        <f>'Прил.№4 ведомств.'!G84</f>
        <v>15</v>
      </c>
    </row>
    <row r="256" spans="1:7" ht="31.5">
      <c r="A256" s="31" t="s">
        <v>201</v>
      </c>
      <c r="B256" s="6" t="s">
        <v>223</v>
      </c>
      <c r="C256" s="42" t="s">
        <v>171</v>
      </c>
      <c r="D256" s="42" t="s">
        <v>193</v>
      </c>
      <c r="E256" s="42"/>
      <c r="F256" s="42" t="s">
        <v>721</v>
      </c>
      <c r="G256" s="7">
        <f>G250</f>
        <v>15</v>
      </c>
    </row>
    <row r="257" spans="1:7" ht="94.5">
      <c r="A257" s="43" t="s">
        <v>226</v>
      </c>
      <c r="B257" s="204" t="s">
        <v>227</v>
      </c>
      <c r="C257" s="8"/>
      <c r="D257" s="8"/>
      <c r="E257" s="8"/>
      <c r="F257" s="8"/>
      <c r="G257" s="68">
        <f>G258</f>
        <v>50</v>
      </c>
    </row>
    <row r="258" spans="1:7" ht="15.75">
      <c r="A258" s="47" t="s">
        <v>170</v>
      </c>
      <c r="B258" s="6" t="s">
        <v>227</v>
      </c>
      <c r="C258" s="42" t="s">
        <v>171</v>
      </c>
      <c r="D258" s="42"/>
      <c r="E258" s="42"/>
      <c r="F258" s="42"/>
      <c r="G258" s="7">
        <f>G259</f>
        <v>50</v>
      </c>
    </row>
    <row r="259" spans="1:7" ht="31.5">
      <c r="A259" s="78" t="s">
        <v>192</v>
      </c>
      <c r="B259" s="6" t="s">
        <v>227</v>
      </c>
      <c r="C259" s="42" t="s">
        <v>171</v>
      </c>
      <c r="D259" s="42" t="s">
        <v>193</v>
      </c>
      <c r="E259" s="42"/>
      <c r="F259" s="42"/>
      <c r="G259" s="7">
        <f>G260</f>
        <v>50</v>
      </c>
    </row>
    <row r="260" spans="1:7" ht="31.5">
      <c r="A260" s="47" t="s">
        <v>228</v>
      </c>
      <c r="B260" s="6" t="s">
        <v>229</v>
      </c>
      <c r="C260" s="10" t="s">
        <v>171</v>
      </c>
      <c r="D260" s="10" t="s">
        <v>193</v>
      </c>
      <c r="E260" s="10"/>
      <c r="F260" s="27"/>
      <c r="G260" s="27">
        <f>G261</f>
        <v>50</v>
      </c>
    </row>
    <row r="261" spans="1:7" ht="47.25">
      <c r="A261" s="26" t="s">
        <v>184</v>
      </c>
      <c r="B261" s="6" t="s">
        <v>229</v>
      </c>
      <c r="C261" s="10" t="s">
        <v>171</v>
      </c>
      <c r="D261" s="10" t="s">
        <v>193</v>
      </c>
      <c r="E261" s="10" t="s">
        <v>185</v>
      </c>
      <c r="F261" s="27"/>
      <c r="G261" s="27">
        <f>G262</f>
        <v>50</v>
      </c>
    </row>
    <row r="262" spans="1:7" ht="47.25">
      <c r="A262" s="26" t="s">
        <v>186</v>
      </c>
      <c r="B262" s="6" t="s">
        <v>229</v>
      </c>
      <c r="C262" s="10" t="s">
        <v>171</v>
      </c>
      <c r="D262" s="10" t="s">
        <v>193</v>
      </c>
      <c r="E262" s="10" t="s">
        <v>187</v>
      </c>
      <c r="F262" s="27"/>
      <c r="G262" s="27">
        <f>'Прил.№4 ведомств.'!G88</f>
        <v>50</v>
      </c>
    </row>
    <row r="263" spans="1:7" ht="31.5">
      <c r="A263" s="31" t="s">
        <v>201</v>
      </c>
      <c r="B263" s="6" t="s">
        <v>227</v>
      </c>
      <c r="C263" s="42" t="s">
        <v>171</v>
      </c>
      <c r="D263" s="42" t="s">
        <v>193</v>
      </c>
      <c r="E263" s="42"/>
      <c r="F263" s="42" t="s">
        <v>721</v>
      </c>
      <c r="G263" s="7">
        <f>G257</f>
        <v>50</v>
      </c>
    </row>
    <row r="264" spans="1:7" ht="63">
      <c r="A264" s="24" t="s">
        <v>230</v>
      </c>
      <c r="B264" s="204" t="s">
        <v>231</v>
      </c>
      <c r="C264" s="8"/>
      <c r="D264" s="8"/>
      <c r="E264" s="8"/>
      <c r="F264" s="8"/>
      <c r="G264" s="68">
        <f>G265</f>
        <v>15</v>
      </c>
    </row>
    <row r="265" spans="1:7" ht="15.75">
      <c r="A265" s="47" t="s">
        <v>170</v>
      </c>
      <c r="B265" s="6" t="s">
        <v>231</v>
      </c>
      <c r="C265" s="42" t="s">
        <v>171</v>
      </c>
      <c r="D265" s="42"/>
      <c r="E265" s="42"/>
      <c r="F265" s="42"/>
      <c r="G265" s="11">
        <f>G266</f>
        <v>15</v>
      </c>
    </row>
    <row r="266" spans="1:7" ht="31.5">
      <c r="A266" s="78" t="s">
        <v>192</v>
      </c>
      <c r="B266" s="6" t="s">
        <v>231</v>
      </c>
      <c r="C266" s="42" t="s">
        <v>171</v>
      </c>
      <c r="D266" s="42" t="s">
        <v>193</v>
      </c>
      <c r="E266" s="42"/>
      <c r="F266" s="42"/>
      <c r="G266" s="11">
        <f>G267</f>
        <v>15</v>
      </c>
    </row>
    <row r="267" spans="1:7" ht="32.25" customHeight="1">
      <c r="A267" s="47" t="s">
        <v>232</v>
      </c>
      <c r="B267" s="6" t="s">
        <v>233</v>
      </c>
      <c r="C267" s="42" t="s">
        <v>171</v>
      </c>
      <c r="D267" s="42" t="s">
        <v>193</v>
      </c>
      <c r="E267" s="42"/>
      <c r="F267" s="42"/>
      <c r="G267" s="11">
        <f>G268</f>
        <v>15</v>
      </c>
    </row>
    <row r="268" spans="1:7" ht="47.25">
      <c r="A268" s="31" t="s">
        <v>184</v>
      </c>
      <c r="B268" s="6" t="s">
        <v>233</v>
      </c>
      <c r="C268" s="42" t="s">
        <v>171</v>
      </c>
      <c r="D268" s="42" t="s">
        <v>193</v>
      </c>
      <c r="E268" s="42" t="s">
        <v>185</v>
      </c>
      <c r="F268" s="42"/>
      <c r="G268" s="11">
        <f>G269</f>
        <v>15</v>
      </c>
    </row>
    <row r="269" spans="1:7" ht="47.25">
      <c r="A269" s="31" t="s">
        <v>186</v>
      </c>
      <c r="B269" s="6" t="s">
        <v>233</v>
      </c>
      <c r="C269" s="42" t="s">
        <v>171</v>
      </c>
      <c r="D269" s="42" t="s">
        <v>193</v>
      </c>
      <c r="E269" s="42" t="s">
        <v>187</v>
      </c>
      <c r="F269" s="42"/>
      <c r="G269" s="11">
        <f>'Прил.№4 ведомств.'!G92</f>
        <v>15</v>
      </c>
    </row>
    <row r="270" spans="1:7" ht="31.5">
      <c r="A270" s="31" t="s">
        <v>201</v>
      </c>
      <c r="B270" s="6" t="s">
        <v>231</v>
      </c>
      <c r="C270" s="42" t="s">
        <v>171</v>
      </c>
      <c r="D270" s="42" t="s">
        <v>193</v>
      </c>
      <c r="E270" s="42"/>
      <c r="F270" s="42" t="s">
        <v>721</v>
      </c>
      <c r="G270" s="11">
        <f>G264</f>
        <v>15</v>
      </c>
    </row>
    <row r="271" spans="1:7" ht="69" customHeight="1">
      <c r="A271" s="43" t="s">
        <v>535</v>
      </c>
      <c r="B271" s="3" t="s">
        <v>536</v>
      </c>
      <c r="C271" s="79"/>
      <c r="D271" s="79"/>
      <c r="E271" s="79"/>
      <c r="F271" s="79"/>
      <c r="G271" s="4">
        <f>G273+G294+G317</f>
        <v>36478.9</v>
      </c>
    </row>
    <row r="272" spans="1:7" ht="94.5">
      <c r="A272" s="43" t="s">
        <v>722</v>
      </c>
      <c r="B272" s="3" t="s">
        <v>538</v>
      </c>
      <c r="C272" s="80"/>
      <c r="D272" s="80"/>
      <c r="E272" s="80"/>
      <c r="F272" s="80"/>
      <c r="G272" s="68">
        <f>G273</f>
        <v>10758</v>
      </c>
    </row>
    <row r="273" spans="1:7" ht="15.75">
      <c r="A273" s="31" t="s">
        <v>316</v>
      </c>
      <c r="B273" s="42" t="s">
        <v>538</v>
      </c>
      <c r="C273" s="42" t="s">
        <v>317</v>
      </c>
      <c r="D273" s="79"/>
      <c r="E273" s="79"/>
      <c r="F273" s="79"/>
      <c r="G273" s="11">
        <f>G274</f>
        <v>10758</v>
      </c>
    </row>
    <row r="274" spans="1:7" ht="15.75">
      <c r="A274" s="31" t="s">
        <v>318</v>
      </c>
      <c r="B274" s="42" t="s">
        <v>538</v>
      </c>
      <c r="C274" s="42" t="s">
        <v>317</v>
      </c>
      <c r="D274" s="42" t="s">
        <v>268</v>
      </c>
      <c r="E274" s="79"/>
      <c r="F274" s="79"/>
      <c r="G274" s="11">
        <f>G275+G290</f>
        <v>10758</v>
      </c>
    </row>
    <row r="275" spans="1:7" ht="63">
      <c r="A275" s="31" t="s">
        <v>323</v>
      </c>
      <c r="B275" s="42" t="s">
        <v>539</v>
      </c>
      <c r="C275" s="42" t="s">
        <v>317</v>
      </c>
      <c r="D275" s="42" t="s">
        <v>268</v>
      </c>
      <c r="E275" s="79"/>
      <c r="F275" s="79"/>
      <c r="G275" s="11">
        <f>G276</f>
        <v>10722</v>
      </c>
    </row>
    <row r="276" spans="1:7" ht="63">
      <c r="A276" s="31" t="s">
        <v>325</v>
      </c>
      <c r="B276" s="42" t="s">
        <v>539</v>
      </c>
      <c r="C276" s="42" t="s">
        <v>317</v>
      </c>
      <c r="D276" s="42" t="s">
        <v>268</v>
      </c>
      <c r="E276" s="42" t="s">
        <v>326</v>
      </c>
      <c r="F276" s="79"/>
      <c r="G276" s="11">
        <f>G277</f>
        <v>10722</v>
      </c>
    </row>
    <row r="277" spans="1:7" ht="15.75">
      <c r="A277" s="31" t="s">
        <v>327</v>
      </c>
      <c r="B277" s="42" t="s">
        <v>539</v>
      </c>
      <c r="C277" s="42" t="s">
        <v>317</v>
      </c>
      <c r="D277" s="42" t="s">
        <v>268</v>
      </c>
      <c r="E277" s="42" t="s">
        <v>328</v>
      </c>
      <c r="F277" s="79"/>
      <c r="G277" s="11">
        <f>'Прил.№4 ведомств.'!G782</f>
        <v>10722</v>
      </c>
    </row>
    <row r="278" spans="1:7" ht="78.75" hidden="1" customHeight="1">
      <c r="A278" s="31" t="s">
        <v>660</v>
      </c>
      <c r="B278" s="42" t="s">
        <v>723</v>
      </c>
      <c r="C278" s="42" t="s">
        <v>317</v>
      </c>
      <c r="D278" s="42" t="s">
        <v>268</v>
      </c>
      <c r="E278" s="42"/>
      <c r="F278" s="79"/>
      <c r="G278" s="11">
        <f>G279</f>
        <v>0</v>
      </c>
    </row>
    <row r="279" spans="1:7" ht="63" hidden="1">
      <c r="A279" s="31" t="s">
        <v>325</v>
      </c>
      <c r="B279" s="42" t="s">
        <v>723</v>
      </c>
      <c r="C279" s="42" t="s">
        <v>317</v>
      </c>
      <c r="D279" s="42" t="s">
        <v>268</v>
      </c>
      <c r="E279" s="42" t="s">
        <v>326</v>
      </c>
      <c r="F279" s="79"/>
      <c r="G279" s="11">
        <f>G280</f>
        <v>0</v>
      </c>
    </row>
    <row r="280" spans="1:7" ht="15.75" hidden="1">
      <c r="A280" s="31" t="s">
        <v>327</v>
      </c>
      <c r="B280" s="42" t="s">
        <v>723</v>
      </c>
      <c r="C280" s="42" t="s">
        <v>317</v>
      </c>
      <c r="D280" s="42" t="s">
        <v>268</v>
      </c>
      <c r="E280" s="42" t="s">
        <v>328</v>
      </c>
      <c r="F280" s="79"/>
      <c r="G280" s="11">
        <f>G281</f>
        <v>0</v>
      </c>
    </row>
    <row r="281" spans="1:7" ht="47.25" hidden="1">
      <c r="A281" s="48" t="s">
        <v>534</v>
      </c>
      <c r="B281" s="42" t="s">
        <v>723</v>
      </c>
      <c r="C281" s="42" t="s">
        <v>317</v>
      </c>
      <c r="D281" s="42" t="s">
        <v>268</v>
      </c>
      <c r="E281" s="42"/>
      <c r="F281" s="2">
        <v>907</v>
      </c>
      <c r="G281" s="11">
        <f>1500-1500</f>
        <v>0</v>
      </c>
    </row>
    <row r="282" spans="1:7" ht="47.25" hidden="1">
      <c r="A282" s="31" t="s">
        <v>331</v>
      </c>
      <c r="B282" s="42" t="s">
        <v>724</v>
      </c>
      <c r="C282" s="42" t="s">
        <v>317</v>
      </c>
      <c r="D282" s="42" t="s">
        <v>268</v>
      </c>
      <c r="E282" s="42"/>
      <c r="F282" s="79"/>
      <c r="G282" s="11">
        <f>G283</f>
        <v>0</v>
      </c>
    </row>
    <row r="283" spans="1:7" ht="63" hidden="1">
      <c r="A283" s="31" t="s">
        <v>325</v>
      </c>
      <c r="B283" s="42" t="s">
        <v>724</v>
      </c>
      <c r="C283" s="42" t="s">
        <v>317</v>
      </c>
      <c r="D283" s="42" t="s">
        <v>268</v>
      </c>
      <c r="E283" s="42" t="s">
        <v>326</v>
      </c>
      <c r="F283" s="79"/>
      <c r="G283" s="11">
        <f>G284</f>
        <v>0</v>
      </c>
    </row>
    <row r="284" spans="1:7" ht="15.75" hidden="1">
      <c r="A284" s="31" t="s">
        <v>327</v>
      </c>
      <c r="B284" s="42" t="s">
        <v>724</v>
      </c>
      <c r="C284" s="42" t="s">
        <v>317</v>
      </c>
      <c r="D284" s="42" t="s">
        <v>268</v>
      </c>
      <c r="E284" s="42" t="s">
        <v>328</v>
      </c>
      <c r="F284" s="79"/>
      <c r="G284" s="11"/>
    </row>
    <row r="285" spans="1:7" ht="47.25" hidden="1">
      <c r="A285" s="48" t="s">
        <v>534</v>
      </c>
      <c r="B285" s="42" t="s">
        <v>724</v>
      </c>
      <c r="C285" s="42" t="s">
        <v>317</v>
      </c>
      <c r="D285" s="42" t="s">
        <v>268</v>
      </c>
      <c r="E285" s="42"/>
      <c r="F285" s="2">
        <v>907</v>
      </c>
      <c r="G285" s="11">
        <v>0</v>
      </c>
    </row>
    <row r="286" spans="1:7" ht="31.5" hidden="1">
      <c r="A286" s="31" t="s">
        <v>333</v>
      </c>
      <c r="B286" s="42" t="s">
        <v>725</v>
      </c>
      <c r="C286" s="42" t="s">
        <v>317</v>
      </c>
      <c r="D286" s="42" t="s">
        <v>268</v>
      </c>
      <c r="E286" s="42"/>
      <c r="F286" s="79"/>
      <c r="G286" s="11">
        <f>G287</f>
        <v>0</v>
      </c>
    </row>
    <row r="287" spans="1:7" ht="63" hidden="1">
      <c r="A287" s="31" t="s">
        <v>325</v>
      </c>
      <c r="B287" s="42" t="s">
        <v>725</v>
      </c>
      <c r="C287" s="42" t="s">
        <v>317</v>
      </c>
      <c r="D287" s="42" t="s">
        <v>268</v>
      </c>
      <c r="E287" s="42" t="s">
        <v>326</v>
      </c>
      <c r="F287" s="79"/>
      <c r="G287" s="11">
        <f>G288</f>
        <v>0</v>
      </c>
    </row>
    <row r="288" spans="1:7" ht="15.75" hidden="1">
      <c r="A288" s="31" t="s">
        <v>327</v>
      </c>
      <c r="B288" s="42" t="s">
        <v>725</v>
      </c>
      <c r="C288" s="42" t="s">
        <v>317</v>
      </c>
      <c r="D288" s="42" t="s">
        <v>268</v>
      </c>
      <c r="E288" s="42" t="s">
        <v>328</v>
      </c>
      <c r="F288" s="79"/>
      <c r="G288" s="11"/>
    </row>
    <row r="289" spans="1:7" ht="47.25" hidden="1">
      <c r="A289" s="48" t="s">
        <v>534</v>
      </c>
      <c r="B289" s="42" t="s">
        <v>725</v>
      </c>
      <c r="C289" s="42" t="s">
        <v>317</v>
      </c>
      <c r="D289" s="42" t="s">
        <v>268</v>
      </c>
      <c r="E289" s="42"/>
      <c r="F289" s="2">
        <v>907</v>
      </c>
      <c r="G289" s="11">
        <v>0</v>
      </c>
    </row>
    <row r="290" spans="1:7" ht="47.25">
      <c r="A290" s="31" t="s">
        <v>335</v>
      </c>
      <c r="B290" s="42" t="s">
        <v>542</v>
      </c>
      <c r="C290" s="42" t="s">
        <v>317</v>
      </c>
      <c r="D290" s="42" t="s">
        <v>268</v>
      </c>
      <c r="E290" s="42"/>
      <c r="F290" s="79"/>
      <c r="G290" s="11">
        <f>G291</f>
        <v>36</v>
      </c>
    </row>
    <row r="291" spans="1:7" ht="63">
      <c r="A291" s="31" t="s">
        <v>325</v>
      </c>
      <c r="B291" s="42" t="s">
        <v>542</v>
      </c>
      <c r="C291" s="42" t="s">
        <v>317</v>
      </c>
      <c r="D291" s="42" t="s">
        <v>268</v>
      </c>
      <c r="E291" s="42" t="s">
        <v>326</v>
      </c>
      <c r="F291" s="79"/>
      <c r="G291" s="11">
        <f>G292</f>
        <v>36</v>
      </c>
    </row>
    <row r="292" spans="1:7" ht="15.75">
      <c r="A292" s="31" t="s">
        <v>327</v>
      </c>
      <c r="B292" s="42" t="s">
        <v>542</v>
      </c>
      <c r="C292" s="42" t="s">
        <v>317</v>
      </c>
      <c r="D292" s="42" t="s">
        <v>268</v>
      </c>
      <c r="E292" s="42" t="s">
        <v>328</v>
      </c>
      <c r="F292" s="79"/>
      <c r="G292" s="11">
        <f>'Прил.№4 ведомств.'!G791</f>
        <v>36</v>
      </c>
    </row>
    <row r="293" spans="1:7" ht="58.5" customHeight="1">
      <c r="A293" s="81" t="s">
        <v>534</v>
      </c>
      <c r="B293" s="42" t="s">
        <v>538</v>
      </c>
      <c r="C293" s="42" t="s">
        <v>317</v>
      </c>
      <c r="D293" s="42" t="s">
        <v>268</v>
      </c>
      <c r="E293" s="42"/>
      <c r="F293" s="2">
        <v>907</v>
      </c>
      <c r="G293" s="11">
        <f>G272</f>
        <v>10758</v>
      </c>
    </row>
    <row r="294" spans="1:7" ht="63">
      <c r="A294" s="64" t="s">
        <v>547</v>
      </c>
      <c r="B294" s="8" t="s">
        <v>548</v>
      </c>
      <c r="C294" s="8"/>
      <c r="D294" s="8"/>
      <c r="E294" s="8"/>
      <c r="F294" s="3"/>
      <c r="G294" s="68">
        <f>G295</f>
        <v>22673.9</v>
      </c>
    </row>
    <row r="295" spans="1:7" ht="15.75">
      <c r="A295" s="31" t="s">
        <v>544</v>
      </c>
      <c r="B295" s="42" t="s">
        <v>548</v>
      </c>
      <c r="C295" s="2">
        <v>11</v>
      </c>
      <c r="D295" s="79"/>
      <c r="E295" s="79"/>
      <c r="F295" s="79"/>
      <c r="G295" s="11">
        <f>G296</f>
        <v>22673.9</v>
      </c>
    </row>
    <row r="296" spans="1:7" ht="20.25" customHeight="1">
      <c r="A296" s="31" t="s">
        <v>546</v>
      </c>
      <c r="B296" s="42" t="s">
        <v>548</v>
      </c>
      <c r="C296" s="42" t="s">
        <v>545</v>
      </c>
      <c r="D296" s="42" t="s">
        <v>171</v>
      </c>
      <c r="E296" s="82"/>
      <c r="F296" s="6"/>
      <c r="G296" s="11">
        <f>G297+G301+G305+G309+G313</f>
        <v>22673.9</v>
      </c>
    </row>
    <row r="297" spans="1:7" ht="47.25">
      <c r="A297" s="31" t="s">
        <v>549</v>
      </c>
      <c r="B297" s="42" t="s">
        <v>550</v>
      </c>
      <c r="C297" s="42" t="s">
        <v>545</v>
      </c>
      <c r="D297" s="42" t="s">
        <v>171</v>
      </c>
      <c r="E297" s="82"/>
      <c r="F297" s="6"/>
      <c r="G297" s="11">
        <f>G298</f>
        <v>22376.400000000001</v>
      </c>
    </row>
    <row r="298" spans="1:7" ht="65.25" customHeight="1">
      <c r="A298" s="31" t="s">
        <v>325</v>
      </c>
      <c r="B298" s="42" t="s">
        <v>550</v>
      </c>
      <c r="C298" s="42" t="s">
        <v>545</v>
      </c>
      <c r="D298" s="42" t="s">
        <v>171</v>
      </c>
      <c r="E298" s="42" t="s">
        <v>326</v>
      </c>
      <c r="F298" s="6"/>
      <c r="G298" s="11">
        <f>G299</f>
        <v>22376.400000000001</v>
      </c>
    </row>
    <row r="299" spans="1:7" ht="15.75">
      <c r="A299" s="31" t="s">
        <v>327</v>
      </c>
      <c r="B299" s="42" t="s">
        <v>550</v>
      </c>
      <c r="C299" s="42" t="s">
        <v>545</v>
      </c>
      <c r="D299" s="42" t="s">
        <v>171</v>
      </c>
      <c r="E299" s="42" t="s">
        <v>328</v>
      </c>
      <c r="F299" s="6"/>
      <c r="G299" s="11">
        <f>'Прил.№4 ведомств.'!G815</f>
        <v>22376.400000000001</v>
      </c>
    </row>
    <row r="300" spans="1:7" ht="47.25" hidden="1">
      <c r="A300" s="48" t="s">
        <v>534</v>
      </c>
      <c r="B300" s="42" t="s">
        <v>548</v>
      </c>
      <c r="C300" s="42" t="s">
        <v>545</v>
      </c>
      <c r="D300" s="42" t="s">
        <v>171</v>
      </c>
      <c r="E300" s="42"/>
      <c r="F300" s="6">
        <v>907</v>
      </c>
      <c r="G300" s="11">
        <f>G294</f>
        <v>22673.9</v>
      </c>
    </row>
    <row r="301" spans="1:7" ht="63" hidden="1">
      <c r="A301" s="31" t="s">
        <v>660</v>
      </c>
      <c r="B301" s="42" t="s">
        <v>726</v>
      </c>
      <c r="C301" s="42" t="s">
        <v>545</v>
      </c>
      <c r="D301" s="42" t="s">
        <v>171</v>
      </c>
      <c r="E301" s="42"/>
      <c r="F301" s="6"/>
      <c r="G301" s="11">
        <f>G302</f>
        <v>0</v>
      </c>
    </row>
    <row r="302" spans="1:7" ht="63" hidden="1">
      <c r="A302" s="31" t="s">
        <v>325</v>
      </c>
      <c r="B302" s="42" t="s">
        <v>726</v>
      </c>
      <c r="C302" s="42" t="s">
        <v>545</v>
      </c>
      <c r="D302" s="42" t="s">
        <v>171</v>
      </c>
      <c r="E302" s="42" t="s">
        <v>326</v>
      </c>
      <c r="F302" s="6"/>
      <c r="G302" s="11">
        <f>G303</f>
        <v>0</v>
      </c>
    </row>
    <row r="303" spans="1:7" ht="15.75" hidden="1">
      <c r="A303" s="31" t="s">
        <v>327</v>
      </c>
      <c r="B303" s="42" t="s">
        <v>726</v>
      </c>
      <c r="C303" s="42" t="s">
        <v>545</v>
      </c>
      <c r="D303" s="42" t="s">
        <v>171</v>
      </c>
      <c r="E303" s="42" t="s">
        <v>328</v>
      </c>
      <c r="F303" s="6"/>
      <c r="G303" s="11">
        <f>G304</f>
        <v>0</v>
      </c>
    </row>
    <row r="304" spans="1:7" ht="47.25" hidden="1">
      <c r="A304" s="81" t="s">
        <v>534</v>
      </c>
      <c r="B304" s="42" t="s">
        <v>726</v>
      </c>
      <c r="C304" s="42" t="s">
        <v>545</v>
      </c>
      <c r="D304" s="42" t="s">
        <v>171</v>
      </c>
      <c r="E304" s="42"/>
      <c r="F304" s="6">
        <v>907</v>
      </c>
      <c r="G304" s="11">
        <f>1500-1500</f>
        <v>0</v>
      </c>
    </row>
    <row r="305" spans="1:8" ht="47.25">
      <c r="A305" s="31" t="s">
        <v>331</v>
      </c>
      <c r="B305" s="42" t="s">
        <v>551</v>
      </c>
      <c r="C305" s="42" t="s">
        <v>545</v>
      </c>
      <c r="D305" s="42" t="s">
        <v>171</v>
      </c>
      <c r="E305" s="42"/>
      <c r="F305" s="6"/>
      <c r="G305" s="11">
        <f>G306</f>
        <v>297.5</v>
      </c>
    </row>
    <row r="306" spans="1:8" ht="63">
      <c r="A306" s="31" t="s">
        <v>325</v>
      </c>
      <c r="B306" s="42" t="s">
        <v>551</v>
      </c>
      <c r="C306" s="42" t="s">
        <v>545</v>
      </c>
      <c r="D306" s="42" t="s">
        <v>171</v>
      </c>
      <c r="E306" s="42" t="s">
        <v>326</v>
      </c>
      <c r="F306" s="6"/>
      <c r="G306" s="11">
        <f>G307</f>
        <v>297.5</v>
      </c>
    </row>
    <row r="307" spans="1:8" ht="15.75">
      <c r="A307" s="31" t="s">
        <v>327</v>
      </c>
      <c r="B307" s="42" t="s">
        <v>551</v>
      </c>
      <c r="C307" s="42" t="s">
        <v>545</v>
      </c>
      <c r="D307" s="42" t="s">
        <v>171</v>
      </c>
      <c r="E307" s="42" t="s">
        <v>328</v>
      </c>
      <c r="F307" s="6"/>
      <c r="G307" s="187">
        <f>'Прил.№4 ведомств.'!G818</f>
        <v>297.5</v>
      </c>
      <c r="H307" s="188" t="s">
        <v>835</v>
      </c>
    </row>
    <row r="308" spans="1:8" ht="47.25">
      <c r="A308" s="48" t="s">
        <v>534</v>
      </c>
      <c r="B308" s="42" t="s">
        <v>548</v>
      </c>
      <c r="C308" s="42" t="s">
        <v>545</v>
      </c>
      <c r="D308" s="42" t="s">
        <v>171</v>
      </c>
      <c r="E308" s="42"/>
      <c r="F308" s="6">
        <v>907</v>
      </c>
      <c r="G308" s="11">
        <f>G299+G307</f>
        <v>22673.9</v>
      </c>
    </row>
    <row r="309" spans="1:8" ht="31.5" hidden="1">
      <c r="A309" s="31" t="s">
        <v>333</v>
      </c>
      <c r="B309" s="42" t="s">
        <v>727</v>
      </c>
      <c r="C309" s="42" t="s">
        <v>545</v>
      </c>
      <c r="D309" s="42" t="s">
        <v>171</v>
      </c>
      <c r="E309" s="42"/>
      <c r="F309" s="6"/>
      <c r="G309" s="11">
        <f>G310</f>
        <v>0</v>
      </c>
    </row>
    <row r="310" spans="1:8" ht="63" hidden="1">
      <c r="A310" s="31" t="s">
        <v>325</v>
      </c>
      <c r="B310" s="42" t="s">
        <v>727</v>
      </c>
      <c r="C310" s="42" t="s">
        <v>545</v>
      </c>
      <c r="D310" s="42" t="s">
        <v>171</v>
      </c>
      <c r="E310" s="42" t="s">
        <v>326</v>
      </c>
      <c r="F310" s="6"/>
      <c r="G310" s="11">
        <f>G311</f>
        <v>0</v>
      </c>
    </row>
    <row r="311" spans="1:8" ht="15.75" hidden="1">
      <c r="A311" s="31" t="s">
        <v>327</v>
      </c>
      <c r="B311" s="42" t="s">
        <v>727</v>
      </c>
      <c r="C311" s="42" t="s">
        <v>545</v>
      </c>
      <c r="D311" s="42" t="s">
        <v>171</v>
      </c>
      <c r="E311" s="42" t="s">
        <v>328</v>
      </c>
      <c r="F311" s="6"/>
      <c r="G311" s="11"/>
    </row>
    <row r="312" spans="1:8" ht="47.25" hidden="1">
      <c r="A312" s="48" t="s">
        <v>534</v>
      </c>
      <c r="B312" s="42" t="s">
        <v>727</v>
      </c>
      <c r="C312" s="42" t="s">
        <v>545</v>
      </c>
      <c r="D312" s="42" t="s">
        <v>171</v>
      </c>
      <c r="E312" s="42"/>
      <c r="F312" s="6">
        <v>907</v>
      </c>
      <c r="G312" s="11">
        <v>0</v>
      </c>
    </row>
    <row r="313" spans="1:8" ht="71.25" hidden="1" customHeight="1">
      <c r="A313" s="31" t="s">
        <v>337</v>
      </c>
      <c r="B313" s="42" t="s">
        <v>728</v>
      </c>
      <c r="C313" s="42" t="s">
        <v>545</v>
      </c>
      <c r="D313" s="42" t="s">
        <v>171</v>
      </c>
      <c r="E313" s="42"/>
      <c r="F313" s="6"/>
      <c r="G313" s="11">
        <f>G314</f>
        <v>0</v>
      </c>
    </row>
    <row r="314" spans="1:8" ht="63" hidden="1">
      <c r="A314" s="31" t="s">
        <v>325</v>
      </c>
      <c r="B314" s="42" t="s">
        <v>728</v>
      </c>
      <c r="C314" s="42" t="s">
        <v>545</v>
      </c>
      <c r="D314" s="42" t="s">
        <v>171</v>
      </c>
      <c r="E314" s="42" t="s">
        <v>326</v>
      </c>
      <c r="F314" s="6"/>
      <c r="G314" s="11">
        <f>G315</f>
        <v>0</v>
      </c>
    </row>
    <row r="315" spans="1:8" ht="15.75" hidden="1">
      <c r="A315" s="31" t="s">
        <v>327</v>
      </c>
      <c r="B315" s="42" t="s">
        <v>728</v>
      </c>
      <c r="C315" s="42" t="s">
        <v>545</v>
      </c>
      <c r="D315" s="42" t="s">
        <v>171</v>
      </c>
      <c r="E315" s="42" t="s">
        <v>328</v>
      </c>
      <c r="F315" s="6"/>
      <c r="G315" s="11"/>
    </row>
    <row r="316" spans="1:8" ht="47.25" hidden="1">
      <c r="A316" s="48" t="s">
        <v>534</v>
      </c>
      <c r="B316" s="42" t="s">
        <v>728</v>
      </c>
      <c r="C316" s="42" t="s">
        <v>545</v>
      </c>
      <c r="D316" s="42" t="s">
        <v>171</v>
      </c>
      <c r="E316" s="42"/>
      <c r="F316" s="6">
        <v>907</v>
      </c>
      <c r="G316" s="11">
        <v>0</v>
      </c>
    </row>
    <row r="317" spans="1:8" ht="63">
      <c r="A317" s="64" t="s">
        <v>555</v>
      </c>
      <c r="B317" s="8" t="s">
        <v>556</v>
      </c>
      <c r="C317" s="8"/>
      <c r="D317" s="8"/>
      <c r="E317" s="8"/>
      <c r="F317" s="204"/>
      <c r="G317" s="4">
        <f>G318</f>
        <v>3047</v>
      </c>
    </row>
    <row r="318" spans="1:8" ht="15.75">
      <c r="A318" s="31" t="s">
        <v>544</v>
      </c>
      <c r="B318" s="42" t="s">
        <v>556</v>
      </c>
      <c r="C318" s="2">
        <v>11</v>
      </c>
      <c r="D318" s="42"/>
      <c r="E318" s="42"/>
      <c r="F318" s="6"/>
      <c r="G318" s="7">
        <f>G319</f>
        <v>3047</v>
      </c>
    </row>
    <row r="319" spans="1:8" ht="31.5">
      <c r="A319" s="26" t="s">
        <v>554</v>
      </c>
      <c r="B319" s="42" t="s">
        <v>556</v>
      </c>
      <c r="C319" s="42" t="s">
        <v>545</v>
      </c>
      <c r="D319" s="42" t="s">
        <v>287</v>
      </c>
      <c r="E319" s="42"/>
      <c r="F319" s="6"/>
      <c r="G319" s="7">
        <f>G320</f>
        <v>3047</v>
      </c>
    </row>
    <row r="320" spans="1:8" ht="47.25">
      <c r="A320" s="31" t="s">
        <v>210</v>
      </c>
      <c r="B320" s="42" t="s">
        <v>557</v>
      </c>
      <c r="C320" s="42" t="s">
        <v>545</v>
      </c>
      <c r="D320" s="42" t="s">
        <v>287</v>
      </c>
      <c r="E320" s="42"/>
      <c r="F320" s="6"/>
      <c r="G320" s="7">
        <f>G323+G321</f>
        <v>3047</v>
      </c>
    </row>
    <row r="321" spans="1:7" ht="110.25">
      <c r="A321" s="26" t="s">
        <v>180</v>
      </c>
      <c r="B321" s="42" t="s">
        <v>557</v>
      </c>
      <c r="C321" s="42" t="s">
        <v>545</v>
      </c>
      <c r="D321" s="42" t="s">
        <v>287</v>
      </c>
      <c r="E321" s="42" t="s">
        <v>181</v>
      </c>
      <c r="F321" s="6"/>
      <c r="G321" s="7">
        <f>G322</f>
        <v>2111</v>
      </c>
    </row>
    <row r="322" spans="1:7" ht="55.5" customHeight="1">
      <c r="A322" s="26" t="s">
        <v>182</v>
      </c>
      <c r="B322" s="42" t="s">
        <v>557</v>
      </c>
      <c r="C322" s="42" t="s">
        <v>545</v>
      </c>
      <c r="D322" s="42" t="s">
        <v>287</v>
      </c>
      <c r="E322" s="42" t="s">
        <v>183</v>
      </c>
      <c r="F322" s="6"/>
      <c r="G322" s="7">
        <f>'Прил.№4 ведомств.'!G842</f>
        <v>2111</v>
      </c>
    </row>
    <row r="323" spans="1:7" ht="47.25">
      <c r="A323" s="31" t="s">
        <v>184</v>
      </c>
      <c r="B323" s="42" t="s">
        <v>557</v>
      </c>
      <c r="C323" s="42" t="s">
        <v>545</v>
      </c>
      <c r="D323" s="42" t="s">
        <v>287</v>
      </c>
      <c r="E323" s="42" t="s">
        <v>185</v>
      </c>
      <c r="F323" s="6"/>
      <c r="G323" s="7">
        <f>G324</f>
        <v>936</v>
      </c>
    </row>
    <row r="324" spans="1:7" ht="47.25">
      <c r="A324" s="31" t="s">
        <v>186</v>
      </c>
      <c r="B324" s="42" t="s">
        <v>557</v>
      </c>
      <c r="C324" s="42" t="s">
        <v>545</v>
      </c>
      <c r="D324" s="42" t="s">
        <v>287</v>
      </c>
      <c r="E324" s="42" t="s">
        <v>187</v>
      </c>
      <c r="F324" s="6"/>
      <c r="G324" s="7">
        <f>'Прил.№4 ведомств.'!G844</f>
        <v>936</v>
      </c>
    </row>
    <row r="325" spans="1:7" ht="47.25">
      <c r="A325" s="81" t="s">
        <v>534</v>
      </c>
      <c r="B325" s="42" t="s">
        <v>556</v>
      </c>
      <c r="C325" s="42" t="s">
        <v>545</v>
      </c>
      <c r="D325" s="42" t="s">
        <v>287</v>
      </c>
      <c r="E325" s="42"/>
      <c r="F325" s="6">
        <v>907</v>
      </c>
      <c r="G325" s="11">
        <f>G317</f>
        <v>3047</v>
      </c>
    </row>
    <row r="326" spans="1:7" ht="63">
      <c r="A326" s="43" t="s">
        <v>319</v>
      </c>
      <c r="B326" s="8" t="s">
        <v>320</v>
      </c>
      <c r="C326" s="83"/>
      <c r="D326" s="83"/>
      <c r="E326" s="83"/>
      <c r="F326" s="3"/>
      <c r="G326" s="68">
        <f>G327+G353+G374</f>
        <v>58528.7</v>
      </c>
    </row>
    <row r="327" spans="1:7" ht="78.75">
      <c r="A327" s="43" t="s">
        <v>321</v>
      </c>
      <c r="B327" s="8" t="s">
        <v>322</v>
      </c>
      <c r="C327" s="83"/>
      <c r="D327" s="83"/>
      <c r="E327" s="83"/>
      <c r="F327" s="3"/>
      <c r="G327" s="68">
        <f>G328</f>
        <v>16445.599999999999</v>
      </c>
    </row>
    <row r="328" spans="1:7" ht="15.75">
      <c r="A328" s="31" t="s">
        <v>316</v>
      </c>
      <c r="B328" s="42" t="s">
        <v>322</v>
      </c>
      <c r="C328" s="42" t="s">
        <v>317</v>
      </c>
      <c r="D328" s="83"/>
      <c r="E328" s="83"/>
      <c r="F328" s="3"/>
      <c r="G328" s="11">
        <f>G329</f>
        <v>16445.599999999999</v>
      </c>
    </row>
    <row r="329" spans="1:7" ht="15.75">
      <c r="A329" s="31" t="s">
        <v>479</v>
      </c>
      <c r="B329" s="42" t="s">
        <v>322</v>
      </c>
      <c r="C329" s="42" t="s">
        <v>317</v>
      </c>
      <c r="D329" s="42" t="s">
        <v>268</v>
      </c>
      <c r="E329" s="83"/>
      <c r="F329" s="3"/>
      <c r="G329" s="11">
        <f>G330+G345</f>
        <v>16445.599999999999</v>
      </c>
    </row>
    <row r="330" spans="1:7" ht="63">
      <c r="A330" s="31" t="s">
        <v>323</v>
      </c>
      <c r="B330" s="42" t="s">
        <v>324</v>
      </c>
      <c r="C330" s="42" t="s">
        <v>317</v>
      </c>
      <c r="D330" s="42" t="s">
        <v>268</v>
      </c>
      <c r="E330" s="83"/>
      <c r="F330" s="3"/>
      <c r="G330" s="11">
        <f>G331</f>
        <v>16395.599999999999</v>
      </c>
    </row>
    <row r="331" spans="1:7" ht="63">
      <c r="A331" s="31" t="s">
        <v>325</v>
      </c>
      <c r="B331" s="42" t="s">
        <v>324</v>
      </c>
      <c r="C331" s="42" t="s">
        <v>317</v>
      </c>
      <c r="D331" s="42" t="s">
        <v>268</v>
      </c>
      <c r="E331" s="42" t="s">
        <v>326</v>
      </c>
      <c r="F331" s="3"/>
      <c r="G331" s="11">
        <f>G332</f>
        <v>16395.599999999999</v>
      </c>
    </row>
    <row r="332" spans="1:7" ht="15.75">
      <c r="A332" s="31" t="s">
        <v>327</v>
      </c>
      <c r="B332" s="42" t="s">
        <v>324</v>
      </c>
      <c r="C332" s="42" t="s">
        <v>317</v>
      </c>
      <c r="D332" s="42" t="s">
        <v>268</v>
      </c>
      <c r="E332" s="42" t="s">
        <v>328</v>
      </c>
      <c r="F332" s="3"/>
      <c r="G332" s="7">
        <f>'Прил.№4 ведомств.'!G289</f>
        <v>16395.599999999999</v>
      </c>
    </row>
    <row r="333" spans="1:7" ht="63" hidden="1">
      <c r="A333" s="31" t="s">
        <v>329</v>
      </c>
      <c r="B333" s="42" t="s">
        <v>729</v>
      </c>
      <c r="C333" s="42" t="s">
        <v>317</v>
      </c>
      <c r="D333" s="42" t="s">
        <v>268</v>
      </c>
      <c r="E333" s="42"/>
      <c r="F333" s="3"/>
      <c r="G333" s="11">
        <f>G334</f>
        <v>0</v>
      </c>
    </row>
    <row r="334" spans="1:7" ht="63" hidden="1">
      <c r="A334" s="31" t="s">
        <v>325</v>
      </c>
      <c r="B334" s="42" t="s">
        <v>729</v>
      </c>
      <c r="C334" s="42" t="s">
        <v>317</v>
      </c>
      <c r="D334" s="42" t="s">
        <v>268</v>
      </c>
      <c r="E334" s="42" t="s">
        <v>326</v>
      </c>
      <c r="F334" s="3"/>
      <c r="G334" s="11">
        <f>G335</f>
        <v>0</v>
      </c>
    </row>
    <row r="335" spans="1:7" ht="15.75" hidden="1">
      <c r="A335" s="31" t="s">
        <v>327</v>
      </c>
      <c r="B335" s="42" t="s">
        <v>729</v>
      </c>
      <c r="C335" s="42" t="s">
        <v>317</v>
      </c>
      <c r="D335" s="42" t="s">
        <v>268</v>
      </c>
      <c r="E335" s="42" t="s">
        <v>328</v>
      </c>
      <c r="F335" s="3"/>
      <c r="G335" s="11"/>
    </row>
    <row r="336" spans="1:7" ht="63" hidden="1">
      <c r="A336" s="47" t="s">
        <v>314</v>
      </c>
      <c r="B336" s="42" t="s">
        <v>729</v>
      </c>
      <c r="C336" s="42" t="s">
        <v>317</v>
      </c>
      <c r="D336" s="42" t="s">
        <v>268</v>
      </c>
      <c r="E336" s="42"/>
      <c r="F336" s="2">
        <v>903</v>
      </c>
      <c r="G336" s="11">
        <v>0</v>
      </c>
    </row>
    <row r="337" spans="1:7" ht="47.25" hidden="1">
      <c r="A337" s="31" t="s">
        <v>331</v>
      </c>
      <c r="B337" s="42" t="s">
        <v>730</v>
      </c>
      <c r="C337" s="42" t="s">
        <v>317</v>
      </c>
      <c r="D337" s="42" t="s">
        <v>268</v>
      </c>
      <c r="E337" s="42"/>
      <c r="F337" s="3"/>
      <c r="G337" s="11">
        <f>G338</f>
        <v>0</v>
      </c>
    </row>
    <row r="338" spans="1:7" ht="63" hidden="1">
      <c r="A338" s="31" t="s">
        <v>325</v>
      </c>
      <c r="B338" s="42" t="s">
        <v>730</v>
      </c>
      <c r="C338" s="42" t="s">
        <v>317</v>
      </c>
      <c r="D338" s="42" t="s">
        <v>268</v>
      </c>
      <c r="E338" s="42" t="s">
        <v>326</v>
      </c>
      <c r="F338" s="3"/>
      <c r="G338" s="11">
        <f>G339</f>
        <v>0</v>
      </c>
    </row>
    <row r="339" spans="1:7" ht="15.75" hidden="1">
      <c r="A339" s="31" t="s">
        <v>327</v>
      </c>
      <c r="B339" s="42" t="s">
        <v>730</v>
      </c>
      <c r="C339" s="42" t="s">
        <v>317</v>
      </c>
      <c r="D339" s="42" t="s">
        <v>268</v>
      </c>
      <c r="E339" s="42" t="s">
        <v>328</v>
      </c>
      <c r="F339" s="3"/>
      <c r="G339" s="11"/>
    </row>
    <row r="340" spans="1:7" ht="63" hidden="1">
      <c r="A340" s="47" t="s">
        <v>314</v>
      </c>
      <c r="B340" s="42" t="s">
        <v>730</v>
      </c>
      <c r="C340" s="42" t="s">
        <v>317</v>
      </c>
      <c r="D340" s="42" t="s">
        <v>268</v>
      </c>
      <c r="E340" s="42"/>
      <c r="F340" s="2">
        <v>903</v>
      </c>
      <c r="G340" s="11">
        <v>0</v>
      </c>
    </row>
    <row r="341" spans="1:7" ht="31.5" hidden="1">
      <c r="A341" s="31" t="s">
        <v>333</v>
      </c>
      <c r="B341" s="42" t="s">
        <v>731</v>
      </c>
      <c r="C341" s="42" t="s">
        <v>317</v>
      </c>
      <c r="D341" s="42" t="s">
        <v>268</v>
      </c>
      <c r="E341" s="42"/>
      <c r="F341" s="3"/>
      <c r="G341" s="11">
        <f>G342</f>
        <v>0</v>
      </c>
    </row>
    <row r="342" spans="1:7" ht="69" hidden="1" customHeight="1">
      <c r="A342" s="31" t="s">
        <v>325</v>
      </c>
      <c r="B342" s="42" t="s">
        <v>731</v>
      </c>
      <c r="C342" s="42" t="s">
        <v>317</v>
      </c>
      <c r="D342" s="42" t="s">
        <v>268</v>
      </c>
      <c r="E342" s="42" t="s">
        <v>326</v>
      </c>
      <c r="F342" s="3"/>
      <c r="G342" s="11">
        <f>G343</f>
        <v>0</v>
      </c>
    </row>
    <row r="343" spans="1:7" ht="15.75" hidden="1">
      <c r="A343" s="31" t="s">
        <v>327</v>
      </c>
      <c r="B343" s="42" t="s">
        <v>731</v>
      </c>
      <c r="C343" s="42" t="s">
        <v>317</v>
      </c>
      <c r="D343" s="42" t="s">
        <v>268</v>
      </c>
      <c r="E343" s="42" t="s">
        <v>328</v>
      </c>
      <c r="F343" s="3"/>
      <c r="G343" s="11"/>
    </row>
    <row r="344" spans="1:7" ht="63" hidden="1">
      <c r="A344" s="47" t="s">
        <v>314</v>
      </c>
      <c r="B344" s="42" t="s">
        <v>731</v>
      </c>
      <c r="C344" s="42" t="s">
        <v>317</v>
      </c>
      <c r="D344" s="42" t="s">
        <v>268</v>
      </c>
      <c r="E344" s="42"/>
      <c r="F344" s="2">
        <v>903</v>
      </c>
      <c r="G344" s="11">
        <v>0</v>
      </c>
    </row>
    <row r="345" spans="1:7" ht="47.25">
      <c r="A345" s="31" t="s">
        <v>335</v>
      </c>
      <c r="B345" s="42" t="s">
        <v>336</v>
      </c>
      <c r="C345" s="42" t="s">
        <v>317</v>
      </c>
      <c r="D345" s="42" t="s">
        <v>268</v>
      </c>
      <c r="E345" s="42"/>
      <c r="F345" s="3"/>
      <c r="G345" s="11">
        <f>G346</f>
        <v>50</v>
      </c>
    </row>
    <row r="346" spans="1:7" ht="63">
      <c r="A346" s="31" t="s">
        <v>325</v>
      </c>
      <c r="B346" s="42" t="s">
        <v>336</v>
      </c>
      <c r="C346" s="42" t="s">
        <v>317</v>
      </c>
      <c r="D346" s="42" t="s">
        <v>268</v>
      </c>
      <c r="E346" s="42" t="s">
        <v>326</v>
      </c>
      <c r="F346" s="3"/>
      <c r="G346" s="11">
        <f>G347</f>
        <v>50</v>
      </c>
    </row>
    <row r="347" spans="1:7" ht="15.75">
      <c r="A347" s="31" t="s">
        <v>327</v>
      </c>
      <c r="B347" s="42" t="s">
        <v>336</v>
      </c>
      <c r="C347" s="42" t="s">
        <v>317</v>
      </c>
      <c r="D347" s="42" t="s">
        <v>268</v>
      </c>
      <c r="E347" s="42" t="s">
        <v>328</v>
      </c>
      <c r="F347" s="3"/>
      <c r="G347" s="7">
        <f>'Прил.№4 ведомств.'!G301</f>
        <v>50</v>
      </c>
    </row>
    <row r="348" spans="1:7" ht="63">
      <c r="A348" s="47" t="s">
        <v>314</v>
      </c>
      <c r="B348" s="42" t="s">
        <v>322</v>
      </c>
      <c r="C348" s="42" t="s">
        <v>317</v>
      </c>
      <c r="D348" s="42" t="s">
        <v>268</v>
      </c>
      <c r="E348" s="42"/>
      <c r="F348" s="2">
        <v>903</v>
      </c>
      <c r="G348" s="11">
        <f>G327</f>
        <v>16445.599999999999</v>
      </c>
    </row>
    <row r="349" spans="1:7" ht="47.25" hidden="1">
      <c r="A349" s="31" t="s">
        <v>673</v>
      </c>
      <c r="B349" s="42" t="s">
        <v>674</v>
      </c>
      <c r="C349" s="42" t="s">
        <v>317</v>
      </c>
      <c r="D349" s="42" t="s">
        <v>266</v>
      </c>
      <c r="E349" s="42"/>
      <c r="F349" s="3"/>
      <c r="G349" s="11">
        <f>G350</f>
        <v>0</v>
      </c>
    </row>
    <row r="350" spans="1:7" ht="63" hidden="1">
      <c r="A350" s="31" t="s">
        <v>325</v>
      </c>
      <c r="B350" s="42" t="s">
        <v>674</v>
      </c>
      <c r="C350" s="42" t="s">
        <v>317</v>
      </c>
      <c r="D350" s="42" t="s">
        <v>266</v>
      </c>
      <c r="E350" s="42" t="s">
        <v>326</v>
      </c>
      <c r="F350" s="3"/>
      <c r="G350" s="11">
        <f>G351</f>
        <v>0</v>
      </c>
    </row>
    <row r="351" spans="1:7" ht="15.75" hidden="1">
      <c r="A351" s="31" t="s">
        <v>327</v>
      </c>
      <c r="B351" s="42" t="s">
        <v>674</v>
      </c>
      <c r="C351" s="42" t="s">
        <v>317</v>
      </c>
      <c r="D351" s="42" t="s">
        <v>266</v>
      </c>
      <c r="E351" s="42" t="s">
        <v>328</v>
      </c>
      <c r="F351" s="3"/>
      <c r="G351" s="11"/>
    </row>
    <row r="352" spans="1:7" ht="63" hidden="1">
      <c r="A352" s="47" t="s">
        <v>314</v>
      </c>
      <c r="B352" s="42" t="s">
        <v>674</v>
      </c>
      <c r="C352" s="42" t="s">
        <v>317</v>
      </c>
      <c r="D352" s="42" t="s">
        <v>266</v>
      </c>
      <c r="E352" s="83"/>
      <c r="F352" s="2">
        <v>903</v>
      </c>
      <c r="G352" s="11">
        <v>0</v>
      </c>
    </row>
    <row r="353" spans="1:7" ht="79.5" customHeight="1">
      <c r="A353" s="43" t="s">
        <v>354</v>
      </c>
      <c r="B353" s="8" t="s">
        <v>355</v>
      </c>
      <c r="C353" s="8"/>
      <c r="D353" s="8"/>
      <c r="E353" s="83"/>
      <c r="F353" s="3"/>
      <c r="G353" s="68">
        <f>G354</f>
        <v>25326.400000000001</v>
      </c>
    </row>
    <row r="354" spans="1:7" ht="15.75">
      <c r="A354" s="84" t="s">
        <v>351</v>
      </c>
      <c r="B354" s="42" t="s">
        <v>355</v>
      </c>
      <c r="C354" s="42" t="s">
        <v>352</v>
      </c>
      <c r="D354" s="84"/>
      <c r="E354" s="84"/>
      <c r="F354" s="2"/>
      <c r="G354" s="11">
        <f>G355</f>
        <v>25326.400000000001</v>
      </c>
    </row>
    <row r="355" spans="1:7" ht="15.75">
      <c r="A355" s="84" t="s">
        <v>353</v>
      </c>
      <c r="B355" s="42" t="s">
        <v>355</v>
      </c>
      <c r="C355" s="42" t="s">
        <v>352</v>
      </c>
      <c r="D355" s="42" t="s">
        <v>171</v>
      </c>
      <c r="E355" s="84"/>
      <c r="F355" s="2"/>
      <c r="G355" s="11">
        <f>G356+G363+G366</f>
        <v>25326.400000000001</v>
      </c>
    </row>
    <row r="356" spans="1:7" ht="63">
      <c r="A356" s="31" t="s">
        <v>356</v>
      </c>
      <c r="B356" s="42" t="s">
        <v>357</v>
      </c>
      <c r="C356" s="42" t="s">
        <v>352</v>
      </c>
      <c r="D356" s="42" t="s">
        <v>171</v>
      </c>
      <c r="E356" s="84"/>
      <c r="F356" s="2"/>
      <c r="G356" s="11">
        <f>G357</f>
        <v>23654.800000000003</v>
      </c>
    </row>
    <row r="357" spans="1:7" ht="63">
      <c r="A357" s="31" t="s">
        <v>325</v>
      </c>
      <c r="B357" s="42" t="s">
        <v>357</v>
      </c>
      <c r="C357" s="42" t="s">
        <v>352</v>
      </c>
      <c r="D357" s="42" t="s">
        <v>171</v>
      </c>
      <c r="E357" s="42" t="s">
        <v>326</v>
      </c>
      <c r="F357" s="2"/>
      <c r="G357" s="11">
        <f>G358</f>
        <v>23654.800000000003</v>
      </c>
    </row>
    <row r="358" spans="1:7" ht="15.75">
      <c r="A358" s="31" t="s">
        <v>327</v>
      </c>
      <c r="B358" s="42" t="s">
        <v>357</v>
      </c>
      <c r="C358" s="42" t="s">
        <v>352</v>
      </c>
      <c r="D358" s="42" t="s">
        <v>171</v>
      </c>
      <c r="E358" s="42" t="s">
        <v>328</v>
      </c>
      <c r="F358" s="2"/>
      <c r="G358" s="11">
        <f>'Прил.№4 ведомств.'!G334</f>
        <v>23654.800000000003</v>
      </c>
    </row>
    <row r="359" spans="1:7" ht="63" hidden="1">
      <c r="A359" s="31" t="s">
        <v>329</v>
      </c>
      <c r="B359" s="42" t="s">
        <v>678</v>
      </c>
      <c r="C359" s="42" t="s">
        <v>352</v>
      </c>
      <c r="D359" s="42" t="s">
        <v>171</v>
      </c>
      <c r="E359" s="42"/>
      <c r="F359" s="2"/>
      <c r="G359" s="11">
        <f>G360</f>
        <v>0</v>
      </c>
    </row>
    <row r="360" spans="1:7" ht="63" hidden="1">
      <c r="A360" s="31" t="s">
        <v>325</v>
      </c>
      <c r="B360" s="42" t="s">
        <v>678</v>
      </c>
      <c r="C360" s="42" t="s">
        <v>352</v>
      </c>
      <c r="D360" s="42" t="s">
        <v>171</v>
      </c>
      <c r="E360" s="42" t="s">
        <v>326</v>
      </c>
      <c r="F360" s="2"/>
      <c r="G360" s="11">
        <f>G361</f>
        <v>0</v>
      </c>
    </row>
    <row r="361" spans="1:7" ht="15.75" hidden="1">
      <c r="A361" s="31" t="s">
        <v>327</v>
      </c>
      <c r="B361" s="42" t="s">
        <v>678</v>
      </c>
      <c r="C361" s="42" t="s">
        <v>352</v>
      </c>
      <c r="D361" s="42" t="s">
        <v>171</v>
      </c>
      <c r="E361" s="42" t="s">
        <v>328</v>
      </c>
      <c r="F361" s="2"/>
      <c r="G361" s="11"/>
    </row>
    <row r="362" spans="1:7" ht="63" hidden="1">
      <c r="A362" s="47" t="s">
        <v>314</v>
      </c>
      <c r="B362" s="42" t="s">
        <v>678</v>
      </c>
      <c r="C362" s="42" t="s">
        <v>352</v>
      </c>
      <c r="D362" s="42" t="s">
        <v>171</v>
      </c>
      <c r="E362" s="42"/>
      <c r="F362" s="2">
        <v>903</v>
      </c>
      <c r="G362" s="11">
        <v>0</v>
      </c>
    </row>
    <row r="363" spans="1:7" ht="31.5">
      <c r="A363" s="31" t="s">
        <v>682</v>
      </c>
      <c r="B363" s="42" t="s">
        <v>359</v>
      </c>
      <c r="C363" s="42" t="s">
        <v>352</v>
      </c>
      <c r="D363" s="42" t="s">
        <v>171</v>
      </c>
      <c r="E363" s="42"/>
      <c r="F363" s="2"/>
      <c r="G363" s="11">
        <f>G364</f>
        <v>142.1</v>
      </c>
    </row>
    <row r="364" spans="1:7" ht="71.25" customHeight="1">
      <c r="A364" s="31" t="s">
        <v>325</v>
      </c>
      <c r="B364" s="42" t="s">
        <v>359</v>
      </c>
      <c r="C364" s="42" t="s">
        <v>352</v>
      </c>
      <c r="D364" s="42" t="s">
        <v>171</v>
      </c>
      <c r="E364" s="42" t="s">
        <v>326</v>
      </c>
      <c r="F364" s="2"/>
      <c r="G364" s="11">
        <f>G365</f>
        <v>142.1</v>
      </c>
    </row>
    <row r="365" spans="1:7" ht="15.75">
      <c r="A365" s="31" t="s">
        <v>327</v>
      </c>
      <c r="B365" s="42" t="s">
        <v>359</v>
      </c>
      <c r="C365" s="42" t="s">
        <v>352</v>
      </c>
      <c r="D365" s="42" t="s">
        <v>171</v>
      </c>
      <c r="E365" s="42" t="s">
        <v>328</v>
      </c>
      <c r="F365" s="2"/>
      <c r="G365" s="11">
        <f>'Прил.№4 ведомств.'!G340</f>
        <v>142.1</v>
      </c>
    </row>
    <row r="366" spans="1:7" ht="31.5">
      <c r="A366" s="31" t="s">
        <v>360</v>
      </c>
      <c r="B366" s="42" t="s">
        <v>361</v>
      </c>
      <c r="C366" s="42" t="s">
        <v>352</v>
      </c>
      <c r="D366" s="42" t="s">
        <v>171</v>
      </c>
      <c r="E366" s="42"/>
      <c r="F366" s="2"/>
      <c r="G366" s="11">
        <f>G367</f>
        <v>1529.5</v>
      </c>
    </row>
    <row r="367" spans="1:7" ht="63">
      <c r="A367" s="31" t="s">
        <v>325</v>
      </c>
      <c r="B367" s="42" t="s">
        <v>361</v>
      </c>
      <c r="C367" s="42" t="s">
        <v>352</v>
      </c>
      <c r="D367" s="42" t="s">
        <v>171</v>
      </c>
      <c r="E367" s="42" t="s">
        <v>326</v>
      </c>
      <c r="F367" s="2"/>
      <c r="G367" s="11">
        <f>G368</f>
        <v>1529.5</v>
      </c>
    </row>
    <row r="368" spans="1:7" ht="15.75">
      <c r="A368" s="31" t="s">
        <v>327</v>
      </c>
      <c r="B368" s="42" t="s">
        <v>361</v>
      </c>
      <c r="C368" s="42" t="s">
        <v>352</v>
      </c>
      <c r="D368" s="42" t="s">
        <v>171</v>
      </c>
      <c r="E368" s="42" t="s">
        <v>328</v>
      </c>
      <c r="F368" s="2"/>
      <c r="G368" s="11">
        <f>'Прил.№4 ведомств.'!G343</f>
        <v>1529.5</v>
      </c>
    </row>
    <row r="369" spans="1:7" ht="63">
      <c r="A369" s="47" t="s">
        <v>314</v>
      </c>
      <c r="B369" s="42" t="s">
        <v>355</v>
      </c>
      <c r="C369" s="42" t="s">
        <v>352</v>
      </c>
      <c r="D369" s="42" t="s">
        <v>171</v>
      </c>
      <c r="E369" s="42"/>
      <c r="F369" s="2">
        <v>903</v>
      </c>
      <c r="G369" s="11">
        <f>G353</f>
        <v>25326.400000000001</v>
      </c>
    </row>
    <row r="370" spans="1:7" ht="31.5" hidden="1">
      <c r="A370" s="31" t="s">
        <v>337</v>
      </c>
      <c r="B370" s="42" t="s">
        <v>681</v>
      </c>
      <c r="C370" s="42" t="s">
        <v>352</v>
      </c>
      <c r="D370" s="42" t="s">
        <v>171</v>
      </c>
      <c r="E370" s="42"/>
      <c r="F370" s="2"/>
      <c r="G370" s="11">
        <f>G371</f>
        <v>0</v>
      </c>
    </row>
    <row r="371" spans="1:7" ht="63" hidden="1">
      <c r="A371" s="31" t="s">
        <v>325</v>
      </c>
      <c r="B371" s="42" t="s">
        <v>681</v>
      </c>
      <c r="C371" s="42" t="s">
        <v>352</v>
      </c>
      <c r="D371" s="42" t="s">
        <v>171</v>
      </c>
      <c r="E371" s="42" t="s">
        <v>326</v>
      </c>
      <c r="F371" s="2"/>
      <c r="G371" s="11">
        <f>G372</f>
        <v>0</v>
      </c>
    </row>
    <row r="372" spans="1:7" ht="15.75" hidden="1">
      <c r="A372" s="31" t="s">
        <v>327</v>
      </c>
      <c r="B372" s="42" t="s">
        <v>681</v>
      </c>
      <c r="C372" s="42" t="s">
        <v>352</v>
      </c>
      <c r="D372" s="42" t="s">
        <v>171</v>
      </c>
      <c r="E372" s="42" t="s">
        <v>328</v>
      </c>
      <c r="F372" s="2"/>
      <c r="G372" s="11"/>
    </row>
    <row r="373" spans="1:7" ht="63" hidden="1">
      <c r="A373" s="47" t="s">
        <v>314</v>
      </c>
      <c r="B373" s="42" t="s">
        <v>681</v>
      </c>
      <c r="C373" s="42" t="s">
        <v>352</v>
      </c>
      <c r="D373" s="42" t="s">
        <v>171</v>
      </c>
      <c r="E373" s="42"/>
      <c r="F373" s="2">
        <v>903</v>
      </c>
      <c r="G373" s="11">
        <v>0</v>
      </c>
    </row>
    <row r="374" spans="1:7" ht="63">
      <c r="A374" s="43" t="s">
        <v>365</v>
      </c>
      <c r="B374" s="8" t="s">
        <v>366</v>
      </c>
      <c r="C374" s="8"/>
      <c r="D374" s="8"/>
      <c r="E374" s="8"/>
      <c r="F374" s="86"/>
      <c r="G374" s="68">
        <f>G375</f>
        <v>16756.7</v>
      </c>
    </row>
    <row r="375" spans="1:7" ht="15.75">
      <c r="A375" s="84" t="s">
        <v>351</v>
      </c>
      <c r="B375" s="42" t="s">
        <v>366</v>
      </c>
      <c r="C375" s="42" t="s">
        <v>352</v>
      </c>
      <c r="D375" s="42"/>
      <c r="E375" s="8"/>
      <c r="F375" s="86"/>
      <c r="G375" s="11">
        <f>G376</f>
        <v>16756.7</v>
      </c>
    </row>
    <row r="376" spans="1:7" ht="15.75">
      <c r="A376" s="84" t="s">
        <v>353</v>
      </c>
      <c r="B376" s="42" t="s">
        <v>366</v>
      </c>
      <c r="C376" s="42" t="s">
        <v>352</v>
      </c>
      <c r="D376" s="42" t="s">
        <v>171</v>
      </c>
      <c r="E376" s="8"/>
      <c r="F376" s="86"/>
      <c r="G376" s="11">
        <f>G377+G396+G401+G380</f>
        <v>16756.7</v>
      </c>
    </row>
    <row r="377" spans="1:7" ht="63">
      <c r="A377" s="31" t="s">
        <v>356</v>
      </c>
      <c r="B377" s="42" t="s">
        <v>367</v>
      </c>
      <c r="C377" s="42" t="s">
        <v>352</v>
      </c>
      <c r="D377" s="42" t="s">
        <v>171</v>
      </c>
      <c r="E377" s="42"/>
      <c r="F377" s="85"/>
      <c r="G377" s="11">
        <f>G378</f>
        <v>16655.2</v>
      </c>
    </row>
    <row r="378" spans="1:7" ht="63">
      <c r="A378" s="31" t="s">
        <v>325</v>
      </c>
      <c r="B378" s="42" t="s">
        <v>367</v>
      </c>
      <c r="C378" s="42" t="s">
        <v>352</v>
      </c>
      <c r="D378" s="42" t="s">
        <v>171</v>
      </c>
      <c r="E378" s="42" t="s">
        <v>326</v>
      </c>
      <c r="F378" s="85"/>
      <c r="G378" s="11">
        <f>G379</f>
        <v>16655.2</v>
      </c>
    </row>
    <row r="379" spans="1:7" ht="15.75">
      <c r="A379" s="31" t="s">
        <v>327</v>
      </c>
      <c r="B379" s="42" t="s">
        <v>367</v>
      </c>
      <c r="C379" s="42" t="s">
        <v>352</v>
      </c>
      <c r="D379" s="42" t="s">
        <v>171</v>
      </c>
      <c r="E379" s="42" t="s">
        <v>328</v>
      </c>
      <c r="F379" s="85"/>
      <c r="G379" s="7">
        <f>'Прил.№4 ведомств.'!G363</f>
        <v>16655.2</v>
      </c>
    </row>
    <row r="380" spans="1:7" ht="63">
      <c r="A380" s="31" t="s">
        <v>329</v>
      </c>
      <c r="B380" s="42" t="s">
        <v>370</v>
      </c>
      <c r="C380" s="42" t="s">
        <v>352</v>
      </c>
      <c r="D380" s="42" t="s">
        <v>171</v>
      </c>
      <c r="E380" s="42"/>
      <c r="F380" s="85"/>
      <c r="G380" s="11">
        <f>G381</f>
        <v>96.1</v>
      </c>
    </row>
    <row r="381" spans="1:7" ht="63">
      <c r="A381" s="31" t="s">
        <v>325</v>
      </c>
      <c r="B381" s="42" t="s">
        <v>370</v>
      </c>
      <c r="C381" s="42" t="s">
        <v>352</v>
      </c>
      <c r="D381" s="42" t="s">
        <v>171</v>
      </c>
      <c r="E381" s="42" t="s">
        <v>326</v>
      </c>
      <c r="F381" s="85"/>
      <c r="G381" s="11">
        <f>G382</f>
        <v>96.1</v>
      </c>
    </row>
    <row r="382" spans="1:7" ht="15.75">
      <c r="A382" s="31" t="s">
        <v>327</v>
      </c>
      <c r="B382" s="42" t="s">
        <v>370</v>
      </c>
      <c r="C382" s="42" t="s">
        <v>352</v>
      </c>
      <c r="D382" s="42" t="s">
        <v>171</v>
      </c>
      <c r="E382" s="42" t="s">
        <v>328</v>
      </c>
      <c r="F382" s="85"/>
      <c r="G382" s="11">
        <f>'Прил.№4 ведомств.'!G337</f>
        <v>96.1</v>
      </c>
    </row>
    <row r="383" spans="1:7" ht="63" hidden="1">
      <c r="A383" s="47" t="s">
        <v>314</v>
      </c>
      <c r="B383" s="42" t="s">
        <v>732</v>
      </c>
      <c r="C383" s="42" t="s">
        <v>352</v>
      </c>
      <c r="D383" s="42" t="s">
        <v>171</v>
      </c>
      <c r="E383" s="42"/>
      <c r="F383" s="2">
        <v>903</v>
      </c>
      <c r="G383" s="11">
        <f>G380</f>
        <v>96.1</v>
      </c>
    </row>
    <row r="384" spans="1:7" ht="47.25" hidden="1">
      <c r="A384" s="26" t="s">
        <v>331</v>
      </c>
      <c r="B384" s="42" t="s">
        <v>371</v>
      </c>
      <c r="C384" s="42" t="s">
        <v>352</v>
      </c>
      <c r="D384" s="42" t="s">
        <v>171</v>
      </c>
      <c r="E384" s="42"/>
      <c r="F384" s="85"/>
      <c r="G384" s="11">
        <f>G385</f>
        <v>0</v>
      </c>
    </row>
    <row r="385" spans="1:7" ht="63" hidden="1">
      <c r="A385" s="31" t="s">
        <v>325</v>
      </c>
      <c r="B385" s="42" t="s">
        <v>371</v>
      </c>
      <c r="C385" s="42" t="s">
        <v>352</v>
      </c>
      <c r="D385" s="42" t="s">
        <v>171</v>
      </c>
      <c r="E385" s="42" t="s">
        <v>326</v>
      </c>
      <c r="F385" s="85"/>
      <c r="G385" s="11">
        <f>G386</f>
        <v>0</v>
      </c>
    </row>
    <row r="386" spans="1:7" ht="35.25" hidden="1" customHeight="1">
      <c r="A386" s="31" t="s">
        <v>327</v>
      </c>
      <c r="B386" s="42" t="s">
        <v>371</v>
      </c>
      <c r="C386" s="42" t="s">
        <v>352</v>
      </c>
      <c r="D386" s="42" t="s">
        <v>171</v>
      </c>
      <c r="E386" s="42" t="s">
        <v>328</v>
      </c>
      <c r="F386" s="85"/>
      <c r="G386" s="11"/>
    </row>
    <row r="387" spans="1:7" ht="63" hidden="1">
      <c r="A387" s="47" t="s">
        <v>314</v>
      </c>
      <c r="B387" s="42" t="s">
        <v>371</v>
      </c>
      <c r="C387" s="42" t="s">
        <v>352</v>
      </c>
      <c r="D387" s="42" t="s">
        <v>171</v>
      </c>
      <c r="E387" s="42"/>
      <c r="F387" s="2">
        <v>903</v>
      </c>
      <c r="G387" s="11">
        <f>G384</f>
        <v>0</v>
      </c>
    </row>
    <row r="388" spans="1:7" ht="31.5" hidden="1">
      <c r="A388" s="31" t="s">
        <v>733</v>
      </c>
      <c r="B388" s="42" t="s">
        <v>372</v>
      </c>
      <c r="C388" s="42" t="s">
        <v>352</v>
      </c>
      <c r="D388" s="42" t="s">
        <v>171</v>
      </c>
      <c r="E388" s="42"/>
      <c r="F388" s="85"/>
      <c r="G388" s="11">
        <f>G389</f>
        <v>0</v>
      </c>
    </row>
    <row r="389" spans="1:7" ht="63" hidden="1">
      <c r="A389" s="31" t="s">
        <v>325</v>
      </c>
      <c r="B389" s="42" t="s">
        <v>372</v>
      </c>
      <c r="C389" s="42" t="s">
        <v>352</v>
      </c>
      <c r="D389" s="42" t="s">
        <v>171</v>
      </c>
      <c r="E389" s="42" t="s">
        <v>326</v>
      </c>
      <c r="F389" s="85"/>
      <c r="G389" s="11">
        <f>G390</f>
        <v>0</v>
      </c>
    </row>
    <row r="390" spans="1:7" ht="15.75" hidden="1">
      <c r="A390" s="31" t="s">
        <v>327</v>
      </c>
      <c r="B390" s="42" t="s">
        <v>372</v>
      </c>
      <c r="C390" s="42" t="s">
        <v>352</v>
      </c>
      <c r="D390" s="42" t="s">
        <v>171</v>
      </c>
      <c r="E390" s="42" t="s">
        <v>328</v>
      </c>
      <c r="F390" s="85"/>
      <c r="G390" s="11"/>
    </row>
    <row r="391" spans="1:7" ht="63" hidden="1">
      <c r="A391" s="47" t="s">
        <v>314</v>
      </c>
      <c r="B391" s="42" t="s">
        <v>372</v>
      </c>
      <c r="C391" s="42" t="s">
        <v>352</v>
      </c>
      <c r="D391" s="42" t="s">
        <v>171</v>
      </c>
      <c r="E391" s="42"/>
      <c r="F391" s="2">
        <v>903</v>
      </c>
      <c r="G391" s="11">
        <f>G388</f>
        <v>0</v>
      </c>
    </row>
    <row r="392" spans="1:7" ht="31.5" hidden="1">
      <c r="A392" s="31" t="s">
        <v>337</v>
      </c>
      <c r="B392" s="42" t="s">
        <v>686</v>
      </c>
      <c r="C392" s="42" t="s">
        <v>352</v>
      </c>
      <c r="D392" s="42" t="s">
        <v>171</v>
      </c>
      <c r="E392" s="42"/>
      <c r="F392" s="85"/>
      <c r="G392" s="11">
        <f>G393</f>
        <v>0</v>
      </c>
    </row>
    <row r="393" spans="1:7" ht="63" hidden="1">
      <c r="A393" s="31" t="s">
        <v>325</v>
      </c>
      <c r="B393" s="42" t="s">
        <v>686</v>
      </c>
      <c r="C393" s="42" t="s">
        <v>352</v>
      </c>
      <c r="D393" s="42" t="s">
        <v>171</v>
      </c>
      <c r="E393" s="42" t="s">
        <v>326</v>
      </c>
      <c r="F393" s="85"/>
      <c r="G393" s="11">
        <f>G394</f>
        <v>0</v>
      </c>
    </row>
    <row r="394" spans="1:7" ht="15.75" hidden="1">
      <c r="A394" s="31" t="s">
        <v>327</v>
      </c>
      <c r="B394" s="42" t="s">
        <v>686</v>
      </c>
      <c r="C394" s="42" t="s">
        <v>352</v>
      </c>
      <c r="D394" s="42" t="s">
        <v>171</v>
      </c>
      <c r="E394" s="42" t="s">
        <v>328</v>
      </c>
      <c r="F394" s="85"/>
      <c r="G394" s="11"/>
    </row>
    <row r="395" spans="1:7" ht="63" hidden="1">
      <c r="A395" s="47" t="s">
        <v>314</v>
      </c>
      <c r="B395" s="42" t="s">
        <v>686</v>
      </c>
      <c r="C395" s="42" t="s">
        <v>352</v>
      </c>
      <c r="D395" s="42" t="s">
        <v>171</v>
      </c>
      <c r="E395" s="42"/>
      <c r="F395" s="2">
        <v>903</v>
      </c>
      <c r="G395" s="11">
        <f>G392</f>
        <v>0</v>
      </c>
    </row>
    <row r="396" spans="1:7" ht="31.5">
      <c r="A396" s="87" t="s">
        <v>734</v>
      </c>
      <c r="B396" s="42" t="s">
        <v>369</v>
      </c>
      <c r="C396" s="42" t="s">
        <v>352</v>
      </c>
      <c r="D396" s="42" t="s">
        <v>171</v>
      </c>
      <c r="E396" s="42"/>
      <c r="F396" s="2"/>
      <c r="G396" s="11">
        <f>G397+G399</f>
        <v>5</v>
      </c>
    </row>
    <row r="397" spans="1:7" ht="47.25" hidden="1">
      <c r="A397" s="31" t="s">
        <v>184</v>
      </c>
      <c r="B397" s="42" t="s">
        <v>369</v>
      </c>
      <c r="C397" s="42" t="s">
        <v>352</v>
      </c>
      <c r="D397" s="42" t="s">
        <v>171</v>
      </c>
      <c r="E397" s="42" t="s">
        <v>185</v>
      </c>
      <c r="F397" s="2"/>
      <c r="G397" s="11">
        <f>G398</f>
        <v>0</v>
      </c>
    </row>
    <row r="398" spans="1:7" ht="47.25" hidden="1">
      <c r="A398" s="31" t="s">
        <v>186</v>
      </c>
      <c r="B398" s="42" t="s">
        <v>369</v>
      </c>
      <c r="C398" s="42" t="s">
        <v>352</v>
      </c>
      <c r="D398" s="42" t="s">
        <v>171</v>
      </c>
      <c r="E398" s="42" t="s">
        <v>187</v>
      </c>
      <c r="F398" s="2"/>
      <c r="G398" s="11">
        <v>0</v>
      </c>
    </row>
    <row r="399" spans="1:7" ht="62.25" customHeight="1">
      <c r="A399" s="31" t="s">
        <v>325</v>
      </c>
      <c r="B399" s="42" t="s">
        <v>369</v>
      </c>
      <c r="C399" s="42" t="s">
        <v>352</v>
      </c>
      <c r="D399" s="42" t="s">
        <v>171</v>
      </c>
      <c r="E399" s="42" t="s">
        <v>326</v>
      </c>
      <c r="F399" s="2"/>
      <c r="G399" s="11">
        <f>G400</f>
        <v>5</v>
      </c>
    </row>
    <row r="400" spans="1:7" ht="15.75">
      <c r="A400" s="31" t="s">
        <v>327</v>
      </c>
      <c r="B400" s="42" t="s">
        <v>369</v>
      </c>
      <c r="C400" s="42" t="s">
        <v>352</v>
      </c>
      <c r="D400" s="42" t="s">
        <v>171</v>
      </c>
      <c r="E400" s="42" t="s">
        <v>328</v>
      </c>
      <c r="F400" s="2"/>
      <c r="G400" s="11">
        <f>'Прил.№4 ведомств.'!G368</f>
        <v>5</v>
      </c>
    </row>
    <row r="401" spans="1:7" ht="15.75">
      <c r="A401" s="26" t="s">
        <v>767</v>
      </c>
      <c r="B401" s="21" t="s">
        <v>768</v>
      </c>
      <c r="C401" s="42" t="s">
        <v>352</v>
      </c>
      <c r="D401" s="42" t="s">
        <v>171</v>
      </c>
      <c r="E401" s="42"/>
      <c r="F401" s="2"/>
      <c r="G401" s="11">
        <f>G402</f>
        <v>0.4</v>
      </c>
    </row>
    <row r="402" spans="1:7" ht="63">
      <c r="A402" s="26" t="s">
        <v>325</v>
      </c>
      <c r="B402" s="21" t="s">
        <v>768</v>
      </c>
      <c r="C402" s="42" t="s">
        <v>352</v>
      </c>
      <c r="D402" s="42" t="s">
        <v>171</v>
      </c>
      <c r="E402" s="42" t="s">
        <v>326</v>
      </c>
      <c r="F402" s="2"/>
      <c r="G402" s="11">
        <f>G403</f>
        <v>0.4</v>
      </c>
    </row>
    <row r="403" spans="1:7" ht="15.75">
      <c r="A403" s="26" t="s">
        <v>327</v>
      </c>
      <c r="B403" s="21" t="s">
        <v>768</v>
      </c>
      <c r="C403" s="42" t="s">
        <v>352</v>
      </c>
      <c r="D403" s="42" t="s">
        <v>171</v>
      </c>
      <c r="E403" s="42" t="s">
        <v>328</v>
      </c>
      <c r="F403" s="2"/>
      <c r="G403" s="11">
        <f>'Прил.№4 ведомств.'!G371</f>
        <v>0.4</v>
      </c>
    </row>
    <row r="404" spans="1:7" ht="63">
      <c r="A404" s="47" t="s">
        <v>314</v>
      </c>
      <c r="B404" s="42" t="s">
        <v>366</v>
      </c>
      <c r="C404" s="42" t="s">
        <v>352</v>
      </c>
      <c r="D404" s="42" t="s">
        <v>171</v>
      </c>
      <c r="E404" s="42"/>
      <c r="F404" s="2">
        <v>903</v>
      </c>
      <c r="G404" s="11">
        <f>G374</f>
        <v>16756.7</v>
      </c>
    </row>
    <row r="405" spans="1:7" ht="47.25" hidden="1">
      <c r="A405" s="70" t="s">
        <v>374</v>
      </c>
      <c r="B405" s="42" t="s">
        <v>375</v>
      </c>
      <c r="C405" s="42" t="s">
        <v>352</v>
      </c>
      <c r="D405" s="42" t="s">
        <v>171</v>
      </c>
      <c r="E405" s="42"/>
      <c r="F405" s="2"/>
      <c r="G405" s="11">
        <f>G406</f>
        <v>0</v>
      </c>
    </row>
    <row r="406" spans="1:7" ht="63" hidden="1">
      <c r="A406" s="31" t="s">
        <v>325</v>
      </c>
      <c r="B406" s="42" t="s">
        <v>375</v>
      </c>
      <c r="C406" s="42" t="s">
        <v>352</v>
      </c>
      <c r="D406" s="42" t="s">
        <v>171</v>
      </c>
      <c r="E406" s="42" t="s">
        <v>326</v>
      </c>
      <c r="F406" s="2"/>
      <c r="G406" s="11"/>
    </row>
    <row r="407" spans="1:7" ht="15.75" hidden="1">
      <c r="A407" s="31" t="s">
        <v>327</v>
      </c>
      <c r="B407" s="42" t="s">
        <v>375</v>
      </c>
      <c r="C407" s="42" t="s">
        <v>352</v>
      </c>
      <c r="D407" s="42" t="s">
        <v>171</v>
      </c>
      <c r="E407" s="42" t="s">
        <v>328</v>
      </c>
      <c r="F407" s="2"/>
      <c r="G407" s="11"/>
    </row>
    <row r="408" spans="1:7" ht="63" hidden="1">
      <c r="A408" s="47" t="s">
        <v>314</v>
      </c>
      <c r="B408" s="42" t="s">
        <v>375</v>
      </c>
      <c r="C408" s="42" t="s">
        <v>352</v>
      </c>
      <c r="D408" s="42" t="s">
        <v>171</v>
      </c>
      <c r="E408" s="42"/>
      <c r="F408" s="2">
        <v>903</v>
      </c>
      <c r="G408" s="11">
        <f>G407</f>
        <v>0</v>
      </c>
    </row>
    <row r="409" spans="1:7" ht="78.75">
      <c r="A409" s="43" t="s">
        <v>376</v>
      </c>
      <c r="B409" s="8" t="s">
        <v>377</v>
      </c>
      <c r="C409" s="83"/>
      <c r="D409" s="83"/>
      <c r="E409" s="83"/>
      <c r="F409" s="83"/>
      <c r="G409" s="68">
        <f>G410</f>
        <v>200</v>
      </c>
    </row>
    <row r="410" spans="1:7" ht="15.75">
      <c r="A410" s="84" t="s">
        <v>351</v>
      </c>
      <c r="B410" s="42" t="s">
        <v>377</v>
      </c>
      <c r="C410" s="42" t="s">
        <v>352</v>
      </c>
      <c r="D410" s="84"/>
      <c r="E410" s="84"/>
      <c r="F410" s="84"/>
      <c r="G410" s="11">
        <f>G411</f>
        <v>200</v>
      </c>
    </row>
    <row r="411" spans="1:7" ht="15.75">
      <c r="A411" s="84" t="s">
        <v>353</v>
      </c>
      <c r="B411" s="42" t="s">
        <v>377</v>
      </c>
      <c r="C411" s="42" t="s">
        <v>352</v>
      </c>
      <c r="D411" s="42" t="s">
        <v>171</v>
      </c>
      <c r="E411" s="84"/>
      <c r="F411" s="84"/>
      <c r="G411" s="11">
        <f>G412</f>
        <v>200</v>
      </c>
    </row>
    <row r="412" spans="1:7" ht="63">
      <c r="A412" s="31" t="s">
        <v>378</v>
      </c>
      <c r="B412" s="42" t="s">
        <v>379</v>
      </c>
      <c r="C412" s="42" t="s">
        <v>352</v>
      </c>
      <c r="D412" s="42" t="s">
        <v>171</v>
      </c>
      <c r="E412" s="84"/>
      <c r="F412" s="84"/>
      <c r="G412" s="11">
        <f>G413</f>
        <v>200</v>
      </c>
    </row>
    <row r="413" spans="1:7" ht="63">
      <c r="A413" s="26" t="s">
        <v>325</v>
      </c>
      <c r="B413" s="42" t="s">
        <v>379</v>
      </c>
      <c r="C413" s="42" t="s">
        <v>352</v>
      </c>
      <c r="D413" s="42" t="s">
        <v>171</v>
      </c>
      <c r="E413" s="42" t="s">
        <v>326</v>
      </c>
      <c r="F413" s="84"/>
      <c r="G413" s="11">
        <f>G414</f>
        <v>200</v>
      </c>
    </row>
    <row r="414" spans="1:7" ht="15.75">
      <c r="A414" s="26" t="s">
        <v>327</v>
      </c>
      <c r="B414" s="42" t="s">
        <v>379</v>
      </c>
      <c r="C414" s="42" t="s">
        <v>352</v>
      </c>
      <c r="D414" s="42" t="s">
        <v>171</v>
      </c>
      <c r="E414" s="42" t="s">
        <v>328</v>
      </c>
      <c r="F414" s="84"/>
      <c r="G414" s="11">
        <f>'Прил.№4 ведомств.'!G393</f>
        <v>200</v>
      </c>
    </row>
    <row r="415" spans="1:7" ht="63" hidden="1">
      <c r="A415" s="47" t="s">
        <v>735</v>
      </c>
      <c r="B415" s="42" t="s">
        <v>379</v>
      </c>
      <c r="C415" s="42" t="s">
        <v>352</v>
      </c>
      <c r="D415" s="42" t="s">
        <v>171</v>
      </c>
      <c r="E415" s="42"/>
      <c r="F415" s="84"/>
      <c r="G415" s="11">
        <f>G416</f>
        <v>0</v>
      </c>
    </row>
    <row r="416" spans="1:7" ht="63" hidden="1">
      <c r="A416" s="31" t="s">
        <v>325</v>
      </c>
      <c r="B416" s="42" t="s">
        <v>379</v>
      </c>
      <c r="C416" s="42" t="s">
        <v>352</v>
      </c>
      <c r="D416" s="42" t="s">
        <v>171</v>
      </c>
      <c r="E416" s="42" t="s">
        <v>326</v>
      </c>
      <c r="F416" s="84"/>
      <c r="G416" s="11">
        <f>G417</f>
        <v>0</v>
      </c>
    </row>
    <row r="417" spans="1:7" ht="15.75" hidden="1">
      <c r="A417" s="31" t="s">
        <v>327</v>
      </c>
      <c r="B417" s="42" t="s">
        <v>379</v>
      </c>
      <c r="C417" s="42" t="s">
        <v>352</v>
      </c>
      <c r="D417" s="42" t="s">
        <v>171</v>
      </c>
      <c r="E417" s="42" t="s">
        <v>328</v>
      </c>
      <c r="F417" s="84"/>
      <c r="G417" s="11"/>
    </row>
    <row r="418" spans="1:7" ht="63">
      <c r="A418" s="47" t="s">
        <v>314</v>
      </c>
      <c r="B418" s="42" t="s">
        <v>377</v>
      </c>
      <c r="C418" s="42" t="s">
        <v>352</v>
      </c>
      <c r="D418" s="42" t="s">
        <v>171</v>
      </c>
      <c r="E418" s="84"/>
      <c r="F418" s="2">
        <v>903</v>
      </c>
      <c r="G418" s="11">
        <f>G409</f>
        <v>200</v>
      </c>
    </row>
    <row r="419" spans="1:7" ht="63">
      <c r="A419" s="43" t="s">
        <v>596</v>
      </c>
      <c r="B419" s="8" t="s">
        <v>597</v>
      </c>
      <c r="C419" s="2"/>
      <c r="D419" s="2"/>
      <c r="E419" s="2"/>
      <c r="F419" s="2"/>
      <c r="G419" s="68">
        <f>G420+G433</f>
        <v>12375.499999999998</v>
      </c>
    </row>
    <row r="420" spans="1:7" ht="78.75">
      <c r="A420" s="43" t="s">
        <v>598</v>
      </c>
      <c r="B420" s="8" t="s">
        <v>599</v>
      </c>
      <c r="C420" s="8"/>
      <c r="D420" s="8"/>
      <c r="E420" s="3"/>
      <c r="F420" s="3"/>
      <c r="G420" s="68">
        <f>G421</f>
        <v>8697.2999999999993</v>
      </c>
    </row>
    <row r="421" spans="1:7" ht="15.75">
      <c r="A421" s="84" t="s">
        <v>444</v>
      </c>
      <c r="B421" s="42" t="s">
        <v>599</v>
      </c>
      <c r="C421" s="42" t="s">
        <v>287</v>
      </c>
      <c r="D421" s="42"/>
      <c r="E421" s="2"/>
      <c r="F421" s="2"/>
      <c r="G421" s="11">
        <f>G422</f>
        <v>8697.2999999999993</v>
      </c>
    </row>
    <row r="422" spans="1:7" ht="15.75">
      <c r="A422" s="84" t="s">
        <v>595</v>
      </c>
      <c r="B422" s="42" t="s">
        <v>599</v>
      </c>
      <c r="C422" s="42" t="s">
        <v>287</v>
      </c>
      <c r="D422" s="42" t="s">
        <v>268</v>
      </c>
      <c r="E422" s="2"/>
      <c r="F422" s="2"/>
      <c r="G422" s="11">
        <f>G423+G426+G429</f>
        <v>8697.2999999999993</v>
      </c>
    </row>
    <row r="423" spans="1:7" ht="31.5">
      <c r="A423" s="26" t="s">
        <v>600</v>
      </c>
      <c r="B423" s="21" t="s">
        <v>601</v>
      </c>
      <c r="C423" s="42" t="s">
        <v>287</v>
      </c>
      <c r="D423" s="42" t="s">
        <v>268</v>
      </c>
      <c r="E423" s="2"/>
      <c r="F423" s="2"/>
      <c r="G423" s="11">
        <f>G424</f>
        <v>253.4</v>
      </c>
    </row>
    <row r="424" spans="1:7" ht="51" customHeight="1">
      <c r="A424" s="26" t="s">
        <v>184</v>
      </c>
      <c r="B424" s="21" t="s">
        <v>601</v>
      </c>
      <c r="C424" s="42" t="s">
        <v>287</v>
      </c>
      <c r="D424" s="42" t="s">
        <v>268</v>
      </c>
      <c r="E424" s="2">
        <v>200</v>
      </c>
      <c r="F424" s="2"/>
      <c r="G424" s="11">
        <f>G425</f>
        <v>253.4</v>
      </c>
    </row>
    <row r="425" spans="1:7" ht="47.25">
      <c r="A425" s="26" t="s">
        <v>186</v>
      </c>
      <c r="B425" s="21" t="s">
        <v>601</v>
      </c>
      <c r="C425" s="42" t="s">
        <v>287</v>
      </c>
      <c r="D425" s="42" t="s">
        <v>268</v>
      </c>
      <c r="E425" s="2">
        <v>240</v>
      </c>
      <c r="F425" s="2"/>
      <c r="G425" s="11">
        <f>'Прил.№4 ведомств.'!G970</f>
        <v>253.4</v>
      </c>
    </row>
    <row r="426" spans="1:7" ht="31.5" customHeight="1">
      <c r="A426" s="26" t="s">
        <v>602</v>
      </c>
      <c r="B426" s="21" t="s">
        <v>603</v>
      </c>
      <c r="C426" s="42" t="s">
        <v>287</v>
      </c>
      <c r="D426" s="42" t="s">
        <v>268</v>
      </c>
      <c r="E426" s="2"/>
      <c r="F426" s="2"/>
      <c r="G426" s="11">
        <f>G427</f>
        <v>5258.6</v>
      </c>
    </row>
    <row r="427" spans="1:7" ht="47.25">
      <c r="A427" s="26" t="s">
        <v>184</v>
      </c>
      <c r="B427" s="21" t="s">
        <v>603</v>
      </c>
      <c r="C427" s="42" t="s">
        <v>287</v>
      </c>
      <c r="D427" s="42" t="s">
        <v>268</v>
      </c>
      <c r="E427" s="2">
        <v>200</v>
      </c>
      <c r="F427" s="2"/>
      <c r="G427" s="11">
        <f>G428</f>
        <v>5258.6</v>
      </c>
    </row>
    <row r="428" spans="1:7" ht="47.25">
      <c r="A428" s="26" t="s">
        <v>186</v>
      </c>
      <c r="B428" s="21" t="s">
        <v>603</v>
      </c>
      <c r="C428" s="42" t="s">
        <v>287</v>
      </c>
      <c r="D428" s="42" t="s">
        <v>268</v>
      </c>
      <c r="E428" s="2">
        <v>240</v>
      </c>
      <c r="F428" s="2"/>
      <c r="G428" s="11">
        <f>'Прил.№4 ведомств.'!G973</f>
        <v>5258.6</v>
      </c>
    </row>
    <row r="429" spans="1:7" ht="31.5">
      <c r="A429" s="26" t="s">
        <v>604</v>
      </c>
      <c r="B429" s="21" t="s">
        <v>605</v>
      </c>
      <c r="C429" s="42" t="s">
        <v>287</v>
      </c>
      <c r="D429" s="42" t="s">
        <v>268</v>
      </c>
      <c r="E429" s="2"/>
      <c r="F429" s="2"/>
      <c r="G429" s="11">
        <f>G430</f>
        <v>3185.3</v>
      </c>
    </row>
    <row r="430" spans="1:7" ht="47.25">
      <c r="A430" s="26" t="s">
        <v>184</v>
      </c>
      <c r="B430" s="21" t="s">
        <v>605</v>
      </c>
      <c r="C430" s="42" t="s">
        <v>287</v>
      </c>
      <c r="D430" s="42" t="s">
        <v>268</v>
      </c>
      <c r="E430" s="2">
        <v>200</v>
      </c>
      <c r="F430" s="2"/>
      <c r="G430" s="11">
        <f>G431</f>
        <v>3185.3</v>
      </c>
    </row>
    <row r="431" spans="1:7" ht="47.25">
      <c r="A431" s="26" t="s">
        <v>186</v>
      </c>
      <c r="B431" s="21" t="s">
        <v>605</v>
      </c>
      <c r="C431" s="42" t="s">
        <v>287</v>
      </c>
      <c r="D431" s="42" t="s">
        <v>268</v>
      </c>
      <c r="E431" s="2">
        <v>240</v>
      </c>
      <c r="F431" s="2"/>
      <c r="G431" s="11">
        <f>'Прил.№4 ведомств.'!G978</f>
        <v>3185.3</v>
      </c>
    </row>
    <row r="432" spans="1:7" ht="47.25">
      <c r="A432" s="47" t="s">
        <v>703</v>
      </c>
      <c r="B432" s="42" t="s">
        <v>599</v>
      </c>
      <c r="C432" s="42" t="s">
        <v>287</v>
      </c>
      <c r="D432" s="42" t="s">
        <v>268</v>
      </c>
      <c r="E432" s="2"/>
      <c r="F432" s="2">
        <v>908</v>
      </c>
      <c r="G432" s="11">
        <f>G420</f>
        <v>8697.2999999999993</v>
      </c>
    </row>
    <row r="433" spans="1:7" ht="63">
      <c r="A433" s="24" t="s">
        <v>606</v>
      </c>
      <c r="B433" s="8" t="s">
        <v>607</v>
      </c>
      <c r="C433" s="8"/>
      <c r="D433" s="8"/>
      <c r="E433" s="3"/>
      <c r="F433" s="3"/>
      <c r="G433" s="68">
        <f>G434</f>
        <v>3678.1999999999994</v>
      </c>
    </row>
    <row r="434" spans="1:7" ht="15.75">
      <c r="A434" s="84" t="s">
        <v>444</v>
      </c>
      <c r="B434" s="42" t="s">
        <v>607</v>
      </c>
      <c r="C434" s="42" t="s">
        <v>287</v>
      </c>
      <c r="D434" s="42"/>
      <c r="E434" s="2"/>
      <c r="F434" s="2"/>
      <c r="G434" s="11">
        <f>G435</f>
        <v>3678.1999999999994</v>
      </c>
    </row>
    <row r="435" spans="1:7" ht="15.75">
      <c r="A435" s="84" t="s">
        <v>595</v>
      </c>
      <c r="B435" s="42" t="s">
        <v>607</v>
      </c>
      <c r="C435" s="42" t="s">
        <v>287</v>
      </c>
      <c r="D435" s="42" t="s">
        <v>268</v>
      </c>
      <c r="E435" s="2"/>
      <c r="F435" s="2"/>
      <c r="G435" s="11">
        <f>G436+G441+G444+G447</f>
        <v>3678.1999999999994</v>
      </c>
    </row>
    <row r="436" spans="1:7" ht="31.5">
      <c r="A436" s="26" t="s">
        <v>604</v>
      </c>
      <c r="B436" s="21" t="s">
        <v>608</v>
      </c>
      <c r="C436" s="42" t="s">
        <v>287</v>
      </c>
      <c r="D436" s="42" t="s">
        <v>268</v>
      </c>
      <c r="E436" s="2"/>
      <c r="F436" s="2"/>
      <c r="G436" s="11">
        <f>G437+G439</f>
        <v>1112.3999999999999</v>
      </c>
    </row>
    <row r="437" spans="1:7" ht="110.25">
      <c r="A437" s="26" t="s">
        <v>180</v>
      </c>
      <c r="B437" s="21" t="s">
        <v>608</v>
      </c>
      <c r="C437" s="42" t="s">
        <v>287</v>
      </c>
      <c r="D437" s="42" t="s">
        <v>268</v>
      </c>
      <c r="E437" s="2">
        <v>100</v>
      </c>
      <c r="F437" s="2"/>
      <c r="G437" s="11">
        <f>G438</f>
        <v>892.8</v>
      </c>
    </row>
    <row r="438" spans="1:7" ht="31.5">
      <c r="A438" s="48" t="s">
        <v>395</v>
      </c>
      <c r="B438" s="21" t="s">
        <v>608</v>
      </c>
      <c r="C438" s="42" t="s">
        <v>287</v>
      </c>
      <c r="D438" s="42" t="s">
        <v>268</v>
      </c>
      <c r="E438" s="2">
        <v>110</v>
      </c>
      <c r="F438" s="2"/>
      <c r="G438" s="11">
        <f>'Прил.№4 ведомств.'!G985</f>
        <v>892.8</v>
      </c>
    </row>
    <row r="439" spans="1:7" ht="47.25">
      <c r="A439" s="26" t="s">
        <v>184</v>
      </c>
      <c r="B439" s="21" t="s">
        <v>608</v>
      </c>
      <c r="C439" s="42" t="s">
        <v>287</v>
      </c>
      <c r="D439" s="42" t="s">
        <v>268</v>
      </c>
      <c r="E439" s="2">
        <v>200</v>
      </c>
      <c r="F439" s="2"/>
      <c r="G439" s="11">
        <f>G440</f>
        <v>219.6</v>
      </c>
    </row>
    <row r="440" spans="1:7" ht="47.25">
      <c r="A440" s="26" t="s">
        <v>186</v>
      </c>
      <c r="B440" s="21" t="s">
        <v>608</v>
      </c>
      <c r="C440" s="42" t="s">
        <v>287</v>
      </c>
      <c r="D440" s="42" t="s">
        <v>268</v>
      </c>
      <c r="E440" s="2">
        <v>240</v>
      </c>
      <c r="F440" s="2"/>
      <c r="G440" s="11">
        <f>'Прил.№4 ведомств.'!G987</f>
        <v>219.6</v>
      </c>
    </row>
    <row r="441" spans="1:7" ht="15.75">
      <c r="A441" s="26" t="s">
        <v>609</v>
      </c>
      <c r="B441" s="21" t="s">
        <v>610</v>
      </c>
      <c r="C441" s="42" t="s">
        <v>287</v>
      </c>
      <c r="D441" s="42" t="s">
        <v>268</v>
      </c>
      <c r="E441" s="2"/>
      <c r="F441" s="2"/>
      <c r="G441" s="11">
        <f>G442</f>
        <v>86.6</v>
      </c>
    </row>
    <row r="442" spans="1:7" ht="47.25">
      <c r="A442" s="26" t="s">
        <v>184</v>
      </c>
      <c r="B442" s="21" t="s">
        <v>610</v>
      </c>
      <c r="C442" s="42" t="s">
        <v>287</v>
      </c>
      <c r="D442" s="42" t="s">
        <v>268</v>
      </c>
      <c r="E442" s="2">
        <v>200</v>
      </c>
      <c r="F442" s="2"/>
      <c r="G442" s="11">
        <f>G443</f>
        <v>86.6</v>
      </c>
    </row>
    <row r="443" spans="1:7" ht="47.25">
      <c r="A443" s="26" t="s">
        <v>186</v>
      </c>
      <c r="B443" s="21" t="s">
        <v>610</v>
      </c>
      <c r="C443" s="42" t="s">
        <v>287</v>
      </c>
      <c r="D443" s="42" t="s">
        <v>268</v>
      </c>
      <c r="E443" s="2">
        <v>240</v>
      </c>
      <c r="F443" s="2"/>
      <c r="G443" s="11">
        <f>'Прил.№4 ведомств.'!G990</f>
        <v>86.6</v>
      </c>
    </row>
    <row r="444" spans="1:7" ht="63">
      <c r="A444" s="123" t="s">
        <v>611</v>
      </c>
      <c r="B444" s="21" t="s">
        <v>612</v>
      </c>
      <c r="C444" s="42" t="s">
        <v>287</v>
      </c>
      <c r="D444" s="42" t="s">
        <v>268</v>
      </c>
      <c r="E444" s="2"/>
      <c r="F444" s="2"/>
      <c r="G444" s="11">
        <f>G445</f>
        <v>2130.6</v>
      </c>
    </row>
    <row r="445" spans="1:7" ht="47.25">
      <c r="A445" s="26" t="s">
        <v>184</v>
      </c>
      <c r="B445" s="21" t="s">
        <v>612</v>
      </c>
      <c r="C445" s="42" t="s">
        <v>287</v>
      </c>
      <c r="D445" s="42" t="s">
        <v>268</v>
      </c>
      <c r="E445" s="2">
        <v>200</v>
      </c>
      <c r="F445" s="2"/>
      <c r="G445" s="11">
        <f>G446</f>
        <v>2130.6</v>
      </c>
    </row>
    <row r="446" spans="1:7" ht="47.25">
      <c r="A446" s="26" t="s">
        <v>186</v>
      </c>
      <c r="B446" s="21" t="s">
        <v>612</v>
      </c>
      <c r="C446" s="42" t="s">
        <v>287</v>
      </c>
      <c r="D446" s="42" t="s">
        <v>268</v>
      </c>
      <c r="E446" s="2">
        <v>240</v>
      </c>
      <c r="F446" s="2"/>
      <c r="G446" s="11">
        <f>'Прил.№4 ведомств.'!G993</f>
        <v>2130.6</v>
      </c>
    </row>
    <row r="447" spans="1:7" ht="31.5">
      <c r="A447" s="123" t="s">
        <v>613</v>
      </c>
      <c r="B447" s="21" t="s">
        <v>614</v>
      </c>
      <c r="C447" s="42" t="s">
        <v>287</v>
      </c>
      <c r="D447" s="42" t="s">
        <v>268</v>
      </c>
      <c r="E447" s="2"/>
      <c r="F447" s="2"/>
      <c r="G447" s="11">
        <f>G448</f>
        <v>348.6</v>
      </c>
    </row>
    <row r="448" spans="1:7" ht="47.25">
      <c r="A448" s="26" t="s">
        <v>184</v>
      </c>
      <c r="B448" s="21" t="s">
        <v>614</v>
      </c>
      <c r="C448" s="42" t="s">
        <v>287</v>
      </c>
      <c r="D448" s="42" t="s">
        <v>268</v>
      </c>
      <c r="E448" s="2">
        <v>200</v>
      </c>
      <c r="F448" s="2"/>
      <c r="G448" s="11">
        <f>G449</f>
        <v>348.6</v>
      </c>
    </row>
    <row r="449" spans="1:7" ht="47.25">
      <c r="A449" s="26" t="s">
        <v>186</v>
      </c>
      <c r="B449" s="21" t="s">
        <v>614</v>
      </c>
      <c r="C449" s="42" t="s">
        <v>287</v>
      </c>
      <c r="D449" s="42" t="s">
        <v>268</v>
      </c>
      <c r="E449" s="2">
        <v>240</v>
      </c>
      <c r="F449" s="2"/>
      <c r="G449" s="11">
        <f>'Прил.№4 ведомств.'!G996</f>
        <v>348.6</v>
      </c>
    </row>
    <row r="450" spans="1:7" ht="47.25">
      <c r="A450" s="47" t="s">
        <v>703</v>
      </c>
      <c r="B450" s="21" t="s">
        <v>607</v>
      </c>
      <c r="C450" s="42" t="s">
        <v>287</v>
      </c>
      <c r="D450" s="42" t="s">
        <v>268</v>
      </c>
      <c r="E450" s="2"/>
      <c r="F450" s="2">
        <v>908</v>
      </c>
      <c r="G450" s="11">
        <f>G433</f>
        <v>3678.1999999999994</v>
      </c>
    </row>
    <row r="451" spans="1:7" ht="78.75">
      <c r="A451" s="36" t="s">
        <v>234</v>
      </c>
      <c r="B451" s="204" t="s">
        <v>235</v>
      </c>
      <c r="C451" s="8"/>
      <c r="D451" s="8"/>
      <c r="E451" s="8"/>
      <c r="F451" s="3"/>
      <c r="G451" s="68">
        <f>G452</f>
        <v>120</v>
      </c>
    </row>
    <row r="452" spans="1:7" ht="15.75">
      <c r="A452" s="26" t="s">
        <v>170</v>
      </c>
      <c r="B452" s="6" t="s">
        <v>235</v>
      </c>
      <c r="C452" s="42" t="s">
        <v>171</v>
      </c>
      <c r="D452" s="42"/>
      <c r="E452" s="42"/>
      <c r="F452" s="2"/>
      <c r="G452" s="11">
        <f>G453</f>
        <v>120</v>
      </c>
    </row>
    <row r="453" spans="1:7" ht="31.5">
      <c r="A453" s="26" t="s">
        <v>192</v>
      </c>
      <c r="B453" s="32" t="s">
        <v>235</v>
      </c>
      <c r="C453" s="42" t="s">
        <v>171</v>
      </c>
      <c r="D453" s="42" t="s">
        <v>193</v>
      </c>
      <c r="E453" s="42"/>
      <c r="F453" s="2"/>
      <c r="G453" s="11">
        <f>G454</f>
        <v>120</v>
      </c>
    </row>
    <row r="454" spans="1:7" ht="47.25">
      <c r="A454" s="31" t="s">
        <v>210</v>
      </c>
      <c r="B454" s="21" t="s">
        <v>236</v>
      </c>
      <c r="C454" s="42" t="s">
        <v>171</v>
      </c>
      <c r="D454" s="42" t="s">
        <v>193</v>
      </c>
      <c r="E454" s="42"/>
      <c r="F454" s="2"/>
      <c r="G454" s="11">
        <f>G455</f>
        <v>120</v>
      </c>
    </row>
    <row r="455" spans="1:7" ht="47.25">
      <c r="A455" s="31" t="s">
        <v>184</v>
      </c>
      <c r="B455" s="21" t="s">
        <v>236</v>
      </c>
      <c r="C455" s="42" t="s">
        <v>171</v>
      </c>
      <c r="D455" s="42" t="s">
        <v>193</v>
      </c>
      <c r="E455" s="42" t="s">
        <v>198</v>
      </c>
      <c r="F455" s="2"/>
      <c r="G455" s="11">
        <f>G456</f>
        <v>120</v>
      </c>
    </row>
    <row r="456" spans="1:7" ht="78.75">
      <c r="A456" s="31" t="s">
        <v>237</v>
      </c>
      <c r="B456" s="21" t="s">
        <v>236</v>
      </c>
      <c r="C456" s="42" t="s">
        <v>171</v>
      </c>
      <c r="D456" s="42" t="s">
        <v>193</v>
      </c>
      <c r="E456" s="42" t="s">
        <v>213</v>
      </c>
      <c r="F456" s="2"/>
      <c r="G456" s="11">
        <f>'Прил.№4 ведомств.'!G96</f>
        <v>120</v>
      </c>
    </row>
    <row r="457" spans="1:7" ht="31.5">
      <c r="A457" s="31" t="s">
        <v>201</v>
      </c>
      <c r="B457" s="32" t="s">
        <v>235</v>
      </c>
      <c r="C457" s="42" t="s">
        <v>171</v>
      </c>
      <c r="D457" s="42" t="s">
        <v>193</v>
      </c>
      <c r="E457" s="42"/>
      <c r="F457" s="2">
        <v>902</v>
      </c>
      <c r="G457" s="11">
        <f>G451</f>
        <v>120</v>
      </c>
    </row>
    <row r="458" spans="1:7" ht="94.5">
      <c r="A458" s="43" t="s">
        <v>736</v>
      </c>
      <c r="B458" s="8" t="s">
        <v>572</v>
      </c>
      <c r="C458" s="8"/>
      <c r="D458" s="8"/>
      <c r="E458" s="83"/>
      <c r="F458" s="3"/>
      <c r="G458" s="68">
        <f>G459</f>
        <v>5427.9</v>
      </c>
    </row>
    <row r="459" spans="1:7" ht="15.75">
      <c r="A459" s="31" t="s">
        <v>444</v>
      </c>
      <c r="B459" s="42" t="s">
        <v>572</v>
      </c>
      <c r="C459" s="42" t="s">
        <v>287</v>
      </c>
      <c r="D459" s="42"/>
      <c r="E459" s="84"/>
      <c r="F459" s="2"/>
      <c r="G459" s="11">
        <f>G460</f>
        <v>5427.9</v>
      </c>
    </row>
    <row r="460" spans="1:7" ht="15.75">
      <c r="A460" s="31" t="s">
        <v>571</v>
      </c>
      <c r="B460" s="42" t="s">
        <v>572</v>
      </c>
      <c r="C460" s="42" t="s">
        <v>287</v>
      </c>
      <c r="D460" s="42" t="s">
        <v>266</v>
      </c>
      <c r="E460" s="84"/>
      <c r="F460" s="2"/>
      <c r="G460" s="11">
        <f>G465+G468+G471+G474+G477+G480+G483</f>
        <v>5427.9</v>
      </c>
    </row>
    <row r="461" spans="1:7" ht="63" hidden="1">
      <c r="A461" s="37" t="s">
        <v>573</v>
      </c>
      <c r="B461" s="21" t="s">
        <v>574</v>
      </c>
      <c r="C461" s="42" t="s">
        <v>287</v>
      </c>
      <c r="D461" s="42" t="s">
        <v>266</v>
      </c>
      <c r="E461" s="84"/>
      <c r="F461" s="2"/>
      <c r="G461" s="11">
        <f>G462</f>
        <v>0</v>
      </c>
    </row>
    <row r="462" spans="1:7" ht="47.25" hidden="1">
      <c r="A462" s="31" t="s">
        <v>184</v>
      </c>
      <c r="B462" s="21" t="s">
        <v>574</v>
      </c>
      <c r="C462" s="42" t="s">
        <v>287</v>
      </c>
      <c r="D462" s="42" t="s">
        <v>266</v>
      </c>
      <c r="E462" s="42" t="s">
        <v>185</v>
      </c>
      <c r="F462" s="2"/>
      <c r="G462" s="11">
        <f>G463</f>
        <v>0</v>
      </c>
    </row>
    <row r="463" spans="1:7" ht="47.25" hidden="1">
      <c r="A463" s="31" t="s">
        <v>186</v>
      </c>
      <c r="B463" s="21" t="s">
        <v>574</v>
      </c>
      <c r="C463" s="42" t="s">
        <v>287</v>
      </c>
      <c r="D463" s="42" t="s">
        <v>266</v>
      </c>
      <c r="E463" s="42" t="s">
        <v>187</v>
      </c>
      <c r="F463" s="2"/>
      <c r="G463" s="11"/>
    </row>
    <row r="464" spans="1:7" ht="47.25" hidden="1">
      <c r="A464" s="47" t="s">
        <v>703</v>
      </c>
      <c r="B464" s="21" t="s">
        <v>574</v>
      </c>
      <c r="C464" s="42"/>
      <c r="D464" s="42"/>
      <c r="E464" s="42"/>
      <c r="F464" s="2">
        <v>908</v>
      </c>
      <c r="G464" s="11">
        <f>G461</f>
        <v>0</v>
      </c>
    </row>
    <row r="465" spans="1:7" ht="15.75">
      <c r="A465" s="123" t="s">
        <v>575</v>
      </c>
      <c r="B465" s="21" t="s">
        <v>576</v>
      </c>
      <c r="C465" s="42" t="s">
        <v>287</v>
      </c>
      <c r="D465" s="42" t="s">
        <v>266</v>
      </c>
      <c r="E465" s="42"/>
      <c r="F465" s="2"/>
      <c r="G465" s="11">
        <f>G466</f>
        <v>450</v>
      </c>
    </row>
    <row r="466" spans="1:7" ht="47.25">
      <c r="A466" s="33" t="s">
        <v>184</v>
      </c>
      <c r="B466" s="21" t="s">
        <v>576</v>
      </c>
      <c r="C466" s="42" t="s">
        <v>287</v>
      </c>
      <c r="D466" s="42" t="s">
        <v>266</v>
      </c>
      <c r="E466" s="42" t="s">
        <v>185</v>
      </c>
      <c r="F466" s="2"/>
      <c r="G466" s="11">
        <f>G467</f>
        <v>450</v>
      </c>
    </row>
    <row r="467" spans="1:7" ht="47.25">
      <c r="A467" s="33" t="s">
        <v>186</v>
      </c>
      <c r="B467" s="21" t="s">
        <v>576</v>
      </c>
      <c r="C467" s="42" t="s">
        <v>287</v>
      </c>
      <c r="D467" s="42" t="s">
        <v>266</v>
      </c>
      <c r="E467" s="42" t="s">
        <v>187</v>
      </c>
      <c r="F467" s="2"/>
      <c r="G467" s="11">
        <f>'Прил.№4 ведомств.'!G920</f>
        <v>450</v>
      </c>
    </row>
    <row r="468" spans="1:7" ht="15.75">
      <c r="A468" s="123" t="s">
        <v>577</v>
      </c>
      <c r="B468" s="21" t="s">
        <v>578</v>
      </c>
      <c r="C468" s="42" t="s">
        <v>287</v>
      </c>
      <c r="D468" s="42" t="s">
        <v>266</v>
      </c>
      <c r="E468" s="42"/>
      <c r="F468" s="2"/>
      <c r="G468" s="11">
        <f>G469</f>
        <v>3107</v>
      </c>
    </row>
    <row r="469" spans="1:7" ht="47.25">
      <c r="A469" s="33" t="s">
        <v>184</v>
      </c>
      <c r="B469" s="21" t="s">
        <v>578</v>
      </c>
      <c r="C469" s="42" t="s">
        <v>287</v>
      </c>
      <c r="D469" s="42" t="s">
        <v>266</v>
      </c>
      <c r="E469" s="42" t="s">
        <v>185</v>
      </c>
      <c r="F469" s="2"/>
      <c r="G469" s="11">
        <f>G470</f>
        <v>3107</v>
      </c>
    </row>
    <row r="470" spans="1:7" ht="47.25">
      <c r="A470" s="33" t="s">
        <v>186</v>
      </c>
      <c r="B470" s="21" t="s">
        <v>578</v>
      </c>
      <c r="C470" s="42" t="s">
        <v>287</v>
      </c>
      <c r="D470" s="42" t="s">
        <v>266</v>
      </c>
      <c r="E470" s="42" t="s">
        <v>187</v>
      </c>
      <c r="F470" s="2"/>
      <c r="G470" s="11">
        <f>'Прил.№4 ведомств.'!G923</f>
        <v>3107</v>
      </c>
    </row>
    <row r="471" spans="1:7" ht="15.75">
      <c r="A471" s="123" t="s">
        <v>579</v>
      </c>
      <c r="B471" s="21" t="s">
        <v>580</v>
      </c>
      <c r="C471" s="42" t="s">
        <v>287</v>
      </c>
      <c r="D471" s="42" t="s">
        <v>266</v>
      </c>
      <c r="E471" s="42"/>
      <c r="F471" s="2"/>
      <c r="G471" s="11">
        <f>G472</f>
        <v>1389.8999999999999</v>
      </c>
    </row>
    <row r="472" spans="1:7" ht="47.25">
      <c r="A472" s="33" t="s">
        <v>184</v>
      </c>
      <c r="B472" s="21" t="s">
        <v>580</v>
      </c>
      <c r="C472" s="42" t="s">
        <v>287</v>
      </c>
      <c r="D472" s="42" t="s">
        <v>266</v>
      </c>
      <c r="E472" s="42" t="s">
        <v>185</v>
      </c>
      <c r="F472" s="2"/>
      <c r="G472" s="11">
        <f>G473</f>
        <v>1389.8999999999999</v>
      </c>
    </row>
    <row r="473" spans="1:7" ht="47.25">
      <c r="A473" s="33" t="s">
        <v>186</v>
      </c>
      <c r="B473" s="21" t="s">
        <v>580</v>
      </c>
      <c r="C473" s="42" t="s">
        <v>287</v>
      </c>
      <c r="D473" s="42" t="s">
        <v>266</v>
      </c>
      <c r="E473" s="42" t="s">
        <v>187</v>
      </c>
      <c r="F473" s="2"/>
      <c r="G473" s="11">
        <f>'Прил.№4 ведомств.'!G926</f>
        <v>1389.8999999999999</v>
      </c>
    </row>
    <row r="474" spans="1:7" ht="31.5">
      <c r="A474" s="123" t="s">
        <v>581</v>
      </c>
      <c r="B474" s="21" t="s">
        <v>582</v>
      </c>
      <c r="C474" s="42" t="s">
        <v>287</v>
      </c>
      <c r="D474" s="42" t="s">
        <v>266</v>
      </c>
      <c r="E474" s="42"/>
      <c r="F474" s="2"/>
      <c r="G474" s="11">
        <f>G475</f>
        <v>159.10000000000002</v>
      </c>
    </row>
    <row r="475" spans="1:7" ht="47.25">
      <c r="A475" s="33" t="s">
        <v>184</v>
      </c>
      <c r="B475" s="21" t="s">
        <v>582</v>
      </c>
      <c r="C475" s="42" t="s">
        <v>287</v>
      </c>
      <c r="D475" s="42" t="s">
        <v>266</v>
      </c>
      <c r="E475" s="42" t="s">
        <v>185</v>
      </c>
      <c r="F475" s="2"/>
      <c r="G475" s="11">
        <f>G476</f>
        <v>159.10000000000002</v>
      </c>
    </row>
    <row r="476" spans="1:7" ht="47.25">
      <c r="A476" s="33" t="s">
        <v>186</v>
      </c>
      <c r="B476" s="21" t="s">
        <v>582</v>
      </c>
      <c r="C476" s="42" t="s">
        <v>287</v>
      </c>
      <c r="D476" s="42" t="s">
        <v>266</v>
      </c>
      <c r="E476" s="42" t="s">
        <v>187</v>
      </c>
      <c r="F476" s="2"/>
      <c r="G476" s="11">
        <f>'Прил.№4 ведомств.'!G931</f>
        <v>159.10000000000002</v>
      </c>
    </row>
    <row r="477" spans="1:7" ht="15.75">
      <c r="A477" s="123" t="s">
        <v>583</v>
      </c>
      <c r="B477" s="21" t="s">
        <v>584</v>
      </c>
      <c r="C477" s="42" t="s">
        <v>287</v>
      </c>
      <c r="D477" s="42" t="s">
        <v>266</v>
      </c>
      <c r="E477" s="42"/>
      <c r="F477" s="2"/>
      <c r="G477" s="11">
        <f>G478</f>
        <v>272.89999999999998</v>
      </c>
    </row>
    <row r="478" spans="1:7" ht="47.25">
      <c r="A478" s="33" t="s">
        <v>184</v>
      </c>
      <c r="B478" s="21" t="s">
        <v>584</v>
      </c>
      <c r="C478" s="42" t="s">
        <v>287</v>
      </c>
      <c r="D478" s="42" t="s">
        <v>266</v>
      </c>
      <c r="E478" s="42" t="s">
        <v>185</v>
      </c>
      <c r="F478" s="2"/>
      <c r="G478" s="11">
        <f>G479</f>
        <v>272.89999999999998</v>
      </c>
    </row>
    <row r="479" spans="1:7" ht="47.25">
      <c r="A479" s="33" t="s">
        <v>186</v>
      </c>
      <c r="B479" s="21" t="s">
        <v>584</v>
      </c>
      <c r="C479" s="42" t="s">
        <v>287</v>
      </c>
      <c r="D479" s="42" t="s">
        <v>266</v>
      </c>
      <c r="E479" s="42" t="s">
        <v>187</v>
      </c>
      <c r="F479" s="2"/>
      <c r="G479" s="11">
        <f>'Прил.№4 ведомств.'!G934</f>
        <v>272.89999999999998</v>
      </c>
    </row>
    <row r="480" spans="1:7" ht="31.5" hidden="1">
      <c r="A480" s="121" t="s">
        <v>585</v>
      </c>
      <c r="B480" s="21" t="s">
        <v>586</v>
      </c>
      <c r="C480" s="42" t="s">
        <v>287</v>
      </c>
      <c r="D480" s="42" t="s">
        <v>266</v>
      </c>
      <c r="E480" s="42"/>
      <c r="F480" s="2"/>
      <c r="G480" s="11">
        <f>G481</f>
        <v>0</v>
      </c>
    </row>
    <row r="481" spans="1:7" ht="47.25" hidden="1">
      <c r="A481" s="33" t="s">
        <v>184</v>
      </c>
      <c r="B481" s="21" t="s">
        <v>586</v>
      </c>
      <c r="C481" s="42" t="s">
        <v>287</v>
      </c>
      <c r="D481" s="42" t="s">
        <v>266</v>
      </c>
      <c r="E481" s="42"/>
      <c r="F481" s="2"/>
      <c r="G481" s="11">
        <f>G482</f>
        <v>0</v>
      </c>
    </row>
    <row r="482" spans="1:7" ht="47.25" hidden="1">
      <c r="A482" s="33" t="s">
        <v>186</v>
      </c>
      <c r="B482" s="21" t="s">
        <v>586</v>
      </c>
      <c r="C482" s="42" t="s">
        <v>287</v>
      </c>
      <c r="D482" s="42" t="s">
        <v>266</v>
      </c>
      <c r="E482" s="42"/>
      <c r="F482" s="2"/>
      <c r="G482" s="11"/>
    </row>
    <row r="483" spans="1:7" ht="31.5">
      <c r="A483" s="121" t="s">
        <v>587</v>
      </c>
      <c r="B483" s="21" t="s">
        <v>588</v>
      </c>
      <c r="C483" s="42" t="s">
        <v>287</v>
      </c>
      <c r="D483" s="42" t="s">
        <v>266</v>
      </c>
      <c r="E483" s="42"/>
      <c r="F483" s="2"/>
      <c r="G483" s="11">
        <f>G484</f>
        <v>49</v>
      </c>
    </row>
    <row r="484" spans="1:7" ht="47.25">
      <c r="A484" s="26" t="s">
        <v>184</v>
      </c>
      <c r="B484" s="21" t="s">
        <v>588</v>
      </c>
      <c r="C484" s="42" t="s">
        <v>287</v>
      </c>
      <c r="D484" s="42" t="s">
        <v>266</v>
      </c>
      <c r="E484" s="2">
        <v>200</v>
      </c>
      <c r="F484" s="88"/>
      <c r="G484" s="7">
        <f>G485</f>
        <v>49</v>
      </c>
    </row>
    <row r="485" spans="1:7" ht="47.25">
      <c r="A485" s="26" t="s">
        <v>186</v>
      </c>
      <c r="B485" s="21" t="s">
        <v>588</v>
      </c>
      <c r="C485" s="42" t="s">
        <v>287</v>
      </c>
      <c r="D485" s="42" t="s">
        <v>266</v>
      </c>
      <c r="E485" s="2">
        <v>240</v>
      </c>
      <c r="F485" s="88"/>
      <c r="G485" s="7">
        <f>'Прил.№4 ведомств.'!G940</f>
        <v>49</v>
      </c>
    </row>
    <row r="486" spans="1:7" ht="47.25">
      <c r="A486" s="47" t="s">
        <v>703</v>
      </c>
      <c r="B486" s="21" t="s">
        <v>572</v>
      </c>
      <c r="C486" s="42"/>
      <c r="D486" s="42"/>
      <c r="E486" s="2"/>
      <c r="F486" s="2">
        <v>908</v>
      </c>
      <c r="G486" s="7">
        <f>G458</f>
        <v>5427.9</v>
      </c>
    </row>
    <row r="487" spans="1:7" ht="63">
      <c r="A487" s="24" t="s">
        <v>387</v>
      </c>
      <c r="B487" s="25" t="s">
        <v>388</v>
      </c>
      <c r="C487" s="8"/>
      <c r="D487" s="8"/>
      <c r="E487" s="3"/>
      <c r="F487" s="3"/>
      <c r="G487" s="4">
        <f>G488+G499</f>
        <v>145</v>
      </c>
    </row>
    <row r="488" spans="1:7" ht="15.75">
      <c r="A488" s="26" t="s">
        <v>316</v>
      </c>
      <c r="B488" s="21" t="s">
        <v>388</v>
      </c>
      <c r="C488" s="42" t="s">
        <v>317</v>
      </c>
      <c r="D488" s="42"/>
      <c r="E488" s="2"/>
      <c r="F488" s="2"/>
      <c r="G488" s="7">
        <f>G489</f>
        <v>20</v>
      </c>
    </row>
    <row r="489" spans="1:7" ht="31.5">
      <c r="A489" s="26" t="s">
        <v>348</v>
      </c>
      <c r="B489" s="21" t="s">
        <v>388</v>
      </c>
      <c r="C489" s="42" t="s">
        <v>317</v>
      </c>
      <c r="D489" s="42" t="s">
        <v>272</v>
      </c>
      <c r="E489" s="2"/>
      <c r="F489" s="2"/>
      <c r="G489" s="7">
        <f>G490+G493</f>
        <v>20</v>
      </c>
    </row>
    <row r="490" spans="1:7" ht="47.25">
      <c r="A490" s="26" t="s">
        <v>389</v>
      </c>
      <c r="B490" s="21" t="s">
        <v>390</v>
      </c>
      <c r="C490" s="42" t="s">
        <v>317</v>
      </c>
      <c r="D490" s="42" t="s">
        <v>272</v>
      </c>
      <c r="E490" s="2"/>
      <c r="F490" s="2"/>
      <c r="G490" s="7">
        <f>G491</f>
        <v>0</v>
      </c>
    </row>
    <row r="491" spans="1:7" ht="47.25">
      <c r="A491" s="26" t="s">
        <v>184</v>
      </c>
      <c r="B491" s="21" t="s">
        <v>390</v>
      </c>
      <c r="C491" s="42" t="s">
        <v>317</v>
      </c>
      <c r="D491" s="42" t="s">
        <v>272</v>
      </c>
      <c r="E491" s="2">
        <v>200</v>
      </c>
      <c r="F491" s="2"/>
      <c r="G491" s="7">
        <f>G492</f>
        <v>0</v>
      </c>
    </row>
    <row r="492" spans="1:7" ht="47.25">
      <c r="A492" s="26" t="s">
        <v>186</v>
      </c>
      <c r="B492" s="21" t="s">
        <v>390</v>
      </c>
      <c r="C492" s="42" t="s">
        <v>317</v>
      </c>
      <c r="D492" s="42" t="s">
        <v>272</v>
      </c>
      <c r="E492" s="2">
        <v>240</v>
      </c>
      <c r="F492" s="2"/>
      <c r="G492" s="7">
        <f>'Прил.№4 ведомств.'!G745</f>
        <v>0</v>
      </c>
    </row>
    <row r="493" spans="1:7" ht="78.75">
      <c r="A493" s="26" t="s">
        <v>530</v>
      </c>
      <c r="B493" s="21" t="s">
        <v>531</v>
      </c>
      <c r="C493" s="42" t="s">
        <v>317</v>
      </c>
      <c r="D493" s="42" t="s">
        <v>272</v>
      </c>
      <c r="E493" s="2"/>
      <c r="F493" s="2"/>
      <c r="G493" s="7">
        <f>G494+G496</f>
        <v>20</v>
      </c>
    </row>
    <row r="494" spans="1:7" ht="110.25">
      <c r="A494" s="26" t="s">
        <v>180</v>
      </c>
      <c r="B494" s="21" t="s">
        <v>531</v>
      </c>
      <c r="C494" s="42" t="s">
        <v>317</v>
      </c>
      <c r="D494" s="42" t="s">
        <v>272</v>
      </c>
      <c r="E494" s="2">
        <v>100</v>
      </c>
      <c r="F494" s="2"/>
      <c r="G494" s="7">
        <f>G495</f>
        <v>5</v>
      </c>
    </row>
    <row r="495" spans="1:7" ht="31.5">
      <c r="A495" s="26" t="s">
        <v>395</v>
      </c>
      <c r="B495" s="21" t="s">
        <v>531</v>
      </c>
      <c r="C495" s="42" t="s">
        <v>317</v>
      </c>
      <c r="D495" s="42" t="s">
        <v>272</v>
      </c>
      <c r="E495" s="2">
        <v>110</v>
      </c>
      <c r="F495" s="2"/>
      <c r="G495" s="7">
        <f>'Прил.№4 ведомств.'!G748</f>
        <v>5</v>
      </c>
    </row>
    <row r="496" spans="1:7" ht="47.25">
      <c r="A496" s="26" t="s">
        <v>184</v>
      </c>
      <c r="B496" s="21" t="s">
        <v>531</v>
      </c>
      <c r="C496" s="42" t="s">
        <v>317</v>
      </c>
      <c r="D496" s="42" t="s">
        <v>272</v>
      </c>
      <c r="E496" s="2">
        <v>200</v>
      </c>
      <c r="F496" s="2"/>
      <c r="G496" s="7">
        <f>G497</f>
        <v>15</v>
      </c>
    </row>
    <row r="497" spans="1:9" ht="47.25">
      <c r="A497" s="26" t="s">
        <v>186</v>
      </c>
      <c r="B497" s="21" t="s">
        <v>531</v>
      </c>
      <c r="C497" s="42" t="s">
        <v>317</v>
      </c>
      <c r="D497" s="42" t="s">
        <v>272</v>
      </c>
      <c r="E497" s="2">
        <v>240</v>
      </c>
      <c r="F497" s="2"/>
      <c r="G497" s="7">
        <f>'Прил.№4 ведомств.'!G750</f>
        <v>15</v>
      </c>
    </row>
    <row r="498" spans="1:9" ht="47.25">
      <c r="A498" s="31" t="s">
        <v>457</v>
      </c>
      <c r="B498" s="21" t="s">
        <v>388</v>
      </c>
      <c r="C498" s="42" t="s">
        <v>317</v>
      </c>
      <c r="D498" s="42" t="s">
        <v>272</v>
      </c>
      <c r="E498" s="2"/>
      <c r="F498" s="2">
        <v>906</v>
      </c>
      <c r="G498" s="7">
        <f>G490+G493</f>
        <v>20</v>
      </c>
    </row>
    <row r="499" spans="1:9" ht="15.75">
      <c r="A499" s="84" t="s">
        <v>351</v>
      </c>
      <c r="B499" s="21" t="s">
        <v>388</v>
      </c>
      <c r="C499" s="42" t="s">
        <v>352</v>
      </c>
      <c r="D499" s="42"/>
      <c r="E499" s="2"/>
      <c r="F499" s="2"/>
      <c r="G499" s="7">
        <f>G500</f>
        <v>125</v>
      </c>
    </row>
    <row r="500" spans="1:9" ht="31.5">
      <c r="A500" s="26" t="s">
        <v>386</v>
      </c>
      <c r="B500" s="21" t="s">
        <v>388</v>
      </c>
      <c r="C500" s="42" t="s">
        <v>352</v>
      </c>
      <c r="D500" s="42" t="s">
        <v>203</v>
      </c>
      <c r="E500" s="2"/>
      <c r="F500" s="2"/>
      <c r="G500" s="7">
        <f>G501+G504+G507</f>
        <v>125</v>
      </c>
    </row>
    <row r="501" spans="1:9" ht="47.25" hidden="1">
      <c r="A501" s="26" t="s">
        <v>389</v>
      </c>
      <c r="B501" s="21" t="s">
        <v>390</v>
      </c>
      <c r="C501" s="42" t="s">
        <v>352</v>
      </c>
      <c r="D501" s="42" t="s">
        <v>203</v>
      </c>
      <c r="E501" s="2"/>
      <c r="F501" s="2"/>
      <c r="G501" s="7">
        <f>G502</f>
        <v>0</v>
      </c>
    </row>
    <row r="502" spans="1:9" ht="47.25" hidden="1">
      <c r="A502" s="26" t="s">
        <v>184</v>
      </c>
      <c r="B502" s="21" t="s">
        <v>390</v>
      </c>
      <c r="C502" s="42" t="s">
        <v>352</v>
      </c>
      <c r="D502" s="42" t="s">
        <v>203</v>
      </c>
      <c r="E502" s="2">
        <v>200</v>
      </c>
      <c r="F502" s="2"/>
      <c r="G502" s="7">
        <f>G503</f>
        <v>0</v>
      </c>
    </row>
    <row r="503" spans="1:9" ht="47.25" hidden="1">
      <c r="A503" s="26" t="s">
        <v>186</v>
      </c>
      <c r="B503" s="21" t="s">
        <v>390</v>
      </c>
      <c r="C503" s="42" t="s">
        <v>352</v>
      </c>
      <c r="D503" s="42" t="s">
        <v>203</v>
      </c>
      <c r="E503" s="2">
        <v>240</v>
      </c>
      <c r="F503" s="2"/>
      <c r="G503" s="7">
        <f>'Прил.№4 ведомств.'!G419</f>
        <v>0</v>
      </c>
    </row>
    <row r="504" spans="1:9" ht="31.5">
      <c r="A504" s="26" t="s">
        <v>391</v>
      </c>
      <c r="B504" s="21" t="s">
        <v>392</v>
      </c>
      <c r="C504" s="42" t="s">
        <v>352</v>
      </c>
      <c r="D504" s="42" t="s">
        <v>203</v>
      </c>
      <c r="E504" s="2"/>
      <c r="F504" s="2"/>
      <c r="G504" s="7">
        <f>G505</f>
        <v>20</v>
      </c>
    </row>
    <row r="505" spans="1:9" ht="47.25">
      <c r="A505" s="26" t="s">
        <v>184</v>
      </c>
      <c r="B505" s="21" t="s">
        <v>392</v>
      </c>
      <c r="C505" s="42" t="s">
        <v>352</v>
      </c>
      <c r="D505" s="42" t="s">
        <v>203</v>
      </c>
      <c r="E505" s="2">
        <v>200</v>
      </c>
      <c r="F505" s="2"/>
      <c r="G505" s="7">
        <f>G506</f>
        <v>20</v>
      </c>
    </row>
    <row r="506" spans="1:9" ht="47.25">
      <c r="A506" s="26" t="s">
        <v>186</v>
      </c>
      <c r="B506" s="21" t="s">
        <v>392</v>
      </c>
      <c r="C506" s="42" t="s">
        <v>352</v>
      </c>
      <c r="D506" s="42" t="s">
        <v>203</v>
      </c>
      <c r="E506" s="2">
        <v>240</v>
      </c>
      <c r="F506" s="2"/>
      <c r="G506" s="7">
        <f>'Прил.№4 ведомств.'!G425</f>
        <v>20</v>
      </c>
    </row>
    <row r="507" spans="1:9" ht="47.25">
      <c r="A507" s="26" t="s">
        <v>763</v>
      </c>
      <c r="B507" s="21" t="s">
        <v>764</v>
      </c>
      <c r="C507" s="42" t="s">
        <v>352</v>
      </c>
      <c r="D507" s="42" t="s">
        <v>203</v>
      </c>
      <c r="E507" s="2"/>
      <c r="F507" s="2"/>
      <c r="G507" s="7">
        <f>G508</f>
        <v>105</v>
      </c>
    </row>
    <row r="508" spans="1:9" ht="47.25">
      <c r="A508" s="26" t="s">
        <v>184</v>
      </c>
      <c r="B508" s="21" t="s">
        <v>764</v>
      </c>
      <c r="C508" s="42" t="s">
        <v>352</v>
      </c>
      <c r="D508" s="42" t="s">
        <v>203</v>
      </c>
      <c r="E508" s="2">
        <v>200</v>
      </c>
      <c r="F508" s="2"/>
      <c r="G508" s="7">
        <f>G509</f>
        <v>105</v>
      </c>
    </row>
    <row r="509" spans="1:9" ht="47.25">
      <c r="A509" s="26" t="s">
        <v>186</v>
      </c>
      <c r="B509" s="21" t="s">
        <v>764</v>
      </c>
      <c r="C509" s="42" t="s">
        <v>352</v>
      </c>
      <c r="D509" s="42" t="s">
        <v>203</v>
      </c>
      <c r="E509" s="2">
        <v>240</v>
      </c>
      <c r="F509" s="2"/>
      <c r="G509" s="7">
        <f>'Прил.№4 ведомств.'!G431</f>
        <v>105</v>
      </c>
    </row>
    <row r="510" spans="1:9" ht="63">
      <c r="A510" s="47" t="s">
        <v>314</v>
      </c>
      <c r="B510" s="21" t="s">
        <v>388</v>
      </c>
      <c r="C510" s="42" t="s">
        <v>352</v>
      </c>
      <c r="D510" s="42" t="s">
        <v>203</v>
      </c>
      <c r="E510" s="2"/>
      <c r="F510" s="2">
        <v>903</v>
      </c>
      <c r="G510" s="7">
        <f>G499</f>
        <v>125</v>
      </c>
    </row>
    <row r="511" spans="1:9" ht="78.75">
      <c r="A511" s="43" t="s">
        <v>807</v>
      </c>
      <c r="B511" s="25" t="s">
        <v>805</v>
      </c>
      <c r="C511" s="8"/>
      <c r="D511" s="8"/>
      <c r="E511" s="3"/>
      <c r="F511" s="3"/>
      <c r="G511" s="4">
        <f>G512+G521</f>
        <v>34</v>
      </c>
    </row>
    <row r="512" spans="1:9" s="146" customFormat="1" ht="15.75">
      <c r="A512" s="31" t="s">
        <v>170</v>
      </c>
      <c r="B512" s="21" t="s">
        <v>805</v>
      </c>
      <c r="C512" s="42" t="s">
        <v>171</v>
      </c>
      <c r="D512" s="42"/>
      <c r="E512" s="2"/>
      <c r="F512" s="2"/>
      <c r="G512" s="7">
        <f>G513</f>
        <v>29</v>
      </c>
      <c r="I512" s="147"/>
    </row>
    <row r="513" spans="1:9" s="146" customFormat="1" ht="31.5">
      <c r="A513" s="31" t="s">
        <v>192</v>
      </c>
      <c r="B513" s="21" t="s">
        <v>805</v>
      </c>
      <c r="C513" s="42" t="s">
        <v>171</v>
      </c>
      <c r="D513" s="42" t="s">
        <v>193</v>
      </c>
      <c r="E513" s="2"/>
      <c r="F513" s="2"/>
      <c r="G513" s="7">
        <f>G514+G517</f>
        <v>29</v>
      </c>
      <c r="I513" s="147"/>
    </row>
    <row r="514" spans="1:9" ht="47.25">
      <c r="A514" s="33" t="s">
        <v>210</v>
      </c>
      <c r="B514" s="21" t="s">
        <v>813</v>
      </c>
      <c r="C514" s="42" t="s">
        <v>171</v>
      </c>
      <c r="D514" s="42" t="s">
        <v>193</v>
      </c>
      <c r="E514" s="2"/>
      <c r="F514" s="2"/>
      <c r="G514" s="7">
        <f>G515</f>
        <v>29</v>
      </c>
    </row>
    <row r="515" spans="1:9" ht="47.25">
      <c r="A515" s="26" t="s">
        <v>184</v>
      </c>
      <c r="B515" s="21" t="s">
        <v>813</v>
      </c>
      <c r="C515" s="42" t="s">
        <v>171</v>
      </c>
      <c r="D515" s="42" t="s">
        <v>193</v>
      </c>
      <c r="E515" s="2">
        <v>200</v>
      </c>
      <c r="F515" s="2"/>
      <c r="G515" s="7">
        <f>G516</f>
        <v>29</v>
      </c>
    </row>
    <row r="516" spans="1:9" ht="47.25">
      <c r="A516" s="26" t="s">
        <v>186</v>
      </c>
      <c r="B516" s="21" t="s">
        <v>813</v>
      </c>
      <c r="C516" s="42" t="s">
        <v>171</v>
      </c>
      <c r="D516" s="42" t="s">
        <v>193</v>
      </c>
      <c r="E516" s="2">
        <v>240</v>
      </c>
      <c r="F516" s="2"/>
      <c r="G516" s="7">
        <f>'Прил.№4 ведомств.'!G100</f>
        <v>29</v>
      </c>
    </row>
    <row r="517" spans="1:9" ht="66" hidden="1" customHeight="1">
      <c r="A517" s="31"/>
      <c r="B517" s="21" t="s">
        <v>806</v>
      </c>
      <c r="C517" s="42" t="s">
        <v>171</v>
      </c>
      <c r="D517" s="42" t="s">
        <v>193</v>
      </c>
      <c r="E517" s="2"/>
      <c r="F517" s="2"/>
      <c r="G517" s="7">
        <f>G518</f>
        <v>0</v>
      </c>
    </row>
    <row r="518" spans="1:9" ht="47.25" hidden="1">
      <c r="A518" s="26" t="s">
        <v>184</v>
      </c>
      <c r="B518" s="21" t="s">
        <v>806</v>
      </c>
      <c r="C518" s="42" t="s">
        <v>171</v>
      </c>
      <c r="D518" s="42" t="s">
        <v>193</v>
      </c>
      <c r="E518" s="2">
        <v>200</v>
      </c>
      <c r="F518" s="2"/>
      <c r="G518" s="7">
        <f>G519</f>
        <v>0</v>
      </c>
    </row>
    <row r="519" spans="1:9" ht="47.25" hidden="1">
      <c r="A519" s="26" t="s">
        <v>186</v>
      </c>
      <c r="B519" s="21" t="s">
        <v>806</v>
      </c>
      <c r="C519" s="42" t="s">
        <v>171</v>
      </c>
      <c r="D519" s="42" t="s">
        <v>193</v>
      </c>
      <c r="E519" s="2">
        <v>240</v>
      </c>
      <c r="F519" s="2"/>
      <c r="G519" s="7">
        <f>'Прил.№4 ведомств.'!G103</f>
        <v>0</v>
      </c>
    </row>
    <row r="520" spans="1:9" ht="31.5">
      <c r="A520" s="31" t="s">
        <v>201</v>
      </c>
      <c r="B520" s="21" t="s">
        <v>805</v>
      </c>
      <c r="C520" s="42" t="s">
        <v>171</v>
      </c>
      <c r="D520" s="42" t="s">
        <v>193</v>
      </c>
      <c r="E520" s="2"/>
      <c r="F520" s="2">
        <v>902</v>
      </c>
      <c r="G520" s="7">
        <f>G511</f>
        <v>34</v>
      </c>
    </row>
    <row r="521" spans="1:9" s="146" customFormat="1" ht="15.75">
      <c r="A521" s="26" t="s">
        <v>351</v>
      </c>
      <c r="B521" s="21" t="s">
        <v>805</v>
      </c>
      <c r="C521" s="42" t="s">
        <v>352</v>
      </c>
      <c r="D521" s="42"/>
      <c r="E521" s="2"/>
      <c r="F521" s="2"/>
      <c r="G521" s="7">
        <f>G522</f>
        <v>5</v>
      </c>
      <c r="I521" s="147"/>
    </row>
    <row r="522" spans="1:9" ht="31.5">
      <c r="A522" s="43" t="s">
        <v>386</v>
      </c>
      <c r="B522" s="21" t="s">
        <v>805</v>
      </c>
      <c r="C522" s="42" t="s">
        <v>352</v>
      </c>
      <c r="D522" s="42" t="s">
        <v>203</v>
      </c>
      <c r="E522" s="2"/>
      <c r="F522" s="2"/>
      <c r="G522" s="7">
        <f>G523</f>
        <v>5</v>
      </c>
    </row>
    <row r="523" spans="1:9" ht="47.25">
      <c r="A523" s="33" t="s">
        <v>210</v>
      </c>
      <c r="B523" s="21" t="s">
        <v>813</v>
      </c>
      <c r="C523" s="42" t="s">
        <v>352</v>
      </c>
      <c r="D523" s="42" t="s">
        <v>203</v>
      </c>
      <c r="E523" s="2"/>
      <c r="F523" s="2"/>
      <c r="G523" s="7">
        <f>G524</f>
        <v>5</v>
      </c>
    </row>
    <row r="524" spans="1:9" ht="47.25">
      <c r="A524" s="26" t="s">
        <v>184</v>
      </c>
      <c r="B524" s="21" t="s">
        <v>813</v>
      </c>
      <c r="C524" s="42" t="s">
        <v>352</v>
      </c>
      <c r="D524" s="42" t="s">
        <v>203</v>
      </c>
      <c r="E524" s="2">
        <v>200</v>
      </c>
      <c r="F524" s="2"/>
      <c r="G524" s="7">
        <f>G525</f>
        <v>5</v>
      </c>
    </row>
    <row r="525" spans="1:9" ht="47.25">
      <c r="A525" s="26" t="s">
        <v>186</v>
      </c>
      <c r="B525" s="21" t="s">
        <v>813</v>
      </c>
      <c r="C525" s="42" t="s">
        <v>352</v>
      </c>
      <c r="D525" s="42" t="s">
        <v>203</v>
      </c>
      <c r="E525" s="2">
        <v>240</v>
      </c>
      <c r="F525" s="2"/>
      <c r="G525" s="7">
        <f>'Прил.№4 ведомств.'!G438</f>
        <v>5</v>
      </c>
    </row>
    <row r="526" spans="1:9" ht="63">
      <c r="A526" s="47" t="s">
        <v>314</v>
      </c>
      <c r="B526" s="21" t="s">
        <v>805</v>
      </c>
      <c r="C526" s="42" t="s">
        <v>352</v>
      </c>
      <c r="D526" s="42" t="s">
        <v>203</v>
      </c>
      <c r="E526" s="2"/>
      <c r="F526" s="2">
        <v>903</v>
      </c>
      <c r="G526" s="7">
        <f>G522</f>
        <v>5</v>
      </c>
    </row>
    <row r="527" spans="1:9" ht="78.75">
      <c r="A527" s="24" t="s">
        <v>809</v>
      </c>
      <c r="B527" s="25" t="s">
        <v>811</v>
      </c>
      <c r="C527" s="8"/>
      <c r="D527" s="8"/>
      <c r="E527" s="3"/>
      <c r="F527" s="3"/>
      <c r="G527" s="4">
        <f>G528</f>
        <v>600</v>
      </c>
    </row>
    <row r="528" spans="1:9" ht="15.75">
      <c r="A528" s="26" t="s">
        <v>444</v>
      </c>
      <c r="B528" s="21" t="s">
        <v>811</v>
      </c>
      <c r="C528" s="42" t="s">
        <v>287</v>
      </c>
      <c r="D528" s="42"/>
      <c r="E528" s="2"/>
      <c r="F528" s="2"/>
      <c r="G528" s="7">
        <f>G529</f>
        <v>600</v>
      </c>
    </row>
    <row r="529" spans="1:7" ht="15.75">
      <c r="A529" s="26" t="s">
        <v>595</v>
      </c>
      <c r="B529" s="21" t="s">
        <v>811</v>
      </c>
      <c r="C529" s="42" t="s">
        <v>287</v>
      </c>
      <c r="D529" s="42" t="s">
        <v>268</v>
      </c>
      <c r="E529" s="2"/>
      <c r="F529" s="2"/>
      <c r="G529" s="7">
        <f>G530</f>
        <v>600</v>
      </c>
    </row>
    <row r="530" spans="1:7" ht="31.5">
      <c r="A530" s="151" t="s">
        <v>810</v>
      </c>
      <c r="B530" s="21" t="s">
        <v>812</v>
      </c>
      <c r="C530" s="42" t="s">
        <v>287</v>
      </c>
      <c r="D530" s="42" t="s">
        <v>268</v>
      </c>
      <c r="E530" s="2"/>
      <c r="F530" s="2"/>
      <c r="G530" s="7">
        <f>G531</f>
        <v>600</v>
      </c>
    </row>
    <row r="531" spans="1:7" ht="47.25">
      <c r="A531" s="26" t="s">
        <v>184</v>
      </c>
      <c r="B531" s="21" t="s">
        <v>812</v>
      </c>
      <c r="C531" s="42" t="s">
        <v>287</v>
      </c>
      <c r="D531" s="42" t="s">
        <v>268</v>
      </c>
      <c r="E531" s="2">
        <v>200</v>
      </c>
      <c r="F531" s="2"/>
      <c r="G531" s="7">
        <f>G532</f>
        <v>600</v>
      </c>
    </row>
    <row r="532" spans="1:7" ht="47.25">
      <c r="A532" s="26" t="s">
        <v>186</v>
      </c>
      <c r="B532" s="21" t="s">
        <v>812</v>
      </c>
      <c r="C532" s="42" t="s">
        <v>287</v>
      </c>
      <c r="D532" s="42" t="s">
        <v>268</v>
      </c>
      <c r="E532" s="2">
        <v>240</v>
      </c>
      <c r="F532" s="2"/>
      <c r="G532" s="7">
        <f>'Прил.№4 ведомств.'!G1000</f>
        <v>600</v>
      </c>
    </row>
    <row r="533" spans="1:7" ht="47.25">
      <c r="A533" s="47" t="s">
        <v>703</v>
      </c>
      <c r="B533" s="21" t="s">
        <v>811</v>
      </c>
      <c r="C533" s="42" t="s">
        <v>287</v>
      </c>
      <c r="D533" s="42" t="s">
        <v>268</v>
      </c>
      <c r="E533" s="2"/>
      <c r="F533" s="2">
        <v>908</v>
      </c>
      <c r="G533" s="7">
        <f>G527</f>
        <v>600</v>
      </c>
    </row>
    <row r="534" spans="1:7" ht="15.75">
      <c r="A534" s="83" t="s">
        <v>737</v>
      </c>
      <c r="B534" s="83"/>
      <c r="C534" s="83"/>
      <c r="D534" s="89"/>
      <c r="E534" s="89"/>
      <c r="F534" s="89"/>
      <c r="G534" s="145">
        <f>G10+G19+G102+G217+G224+G242+G249+G271+G326+G409+G419+G451+G458+G487+G511+G527</f>
        <v>222940.79999999996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60" zoomScaleNormal="100" workbookViewId="0">
      <selection activeCell="G4" sqref="G4"/>
    </sheetView>
  </sheetViews>
  <sheetFormatPr defaultRowHeight="15"/>
  <cols>
    <col min="1" max="1" width="33.28515625" customWidth="1"/>
    <col min="2" max="2" width="7.7109375" customWidth="1"/>
    <col min="4" max="4" width="8" customWidth="1"/>
    <col min="5" max="5" width="15.85546875" customWidth="1"/>
    <col min="7" max="7" width="11.28515625" customWidth="1"/>
    <col min="8" max="8" width="13.5703125" customWidth="1"/>
    <col min="9" max="9" width="14.7109375" customWidth="1"/>
  </cols>
  <sheetData>
    <row r="1" spans="1:9" ht="18.75">
      <c r="H1" s="277" t="s">
        <v>696</v>
      </c>
    </row>
    <row r="2" spans="1:9" ht="18.75">
      <c r="H2" s="277" t="s">
        <v>999</v>
      </c>
    </row>
    <row r="3" spans="1:9" ht="18.75" customHeight="1">
      <c r="A3" s="315"/>
      <c r="B3" s="315"/>
      <c r="C3" s="315"/>
      <c r="D3" s="13"/>
      <c r="G3" s="73"/>
      <c r="H3" s="277" t="s">
        <v>1000</v>
      </c>
      <c r="I3" s="73"/>
    </row>
    <row r="4" spans="1:9" ht="18.75" customHeight="1">
      <c r="A4" s="315"/>
      <c r="B4" s="315"/>
      <c r="C4" s="315"/>
      <c r="D4" s="13"/>
      <c r="G4" s="73"/>
      <c r="H4" s="277" t="s">
        <v>1001</v>
      </c>
      <c r="I4" s="73"/>
    </row>
    <row r="5" spans="1:9" ht="18.75">
      <c r="A5" s="13"/>
      <c r="B5" s="13"/>
      <c r="C5" s="13"/>
      <c r="D5" s="13"/>
      <c r="E5" s="13"/>
      <c r="G5" s="73"/>
      <c r="H5" s="277" t="s">
        <v>1021</v>
      </c>
      <c r="I5" s="73"/>
    </row>
    <row r="6" spans="1:9" ht="18.75">
      <c r="A6" s="13"/>
      <c r="B6" s="13"/>
      <c r="C6" s="13"/>
      <c r="D6" s="13"/>
      <c r="E6" s="13"/>
      <c r="F6" s="280"/>
      <c r="G6" s="73"/>
      <c r="H6" s="73"/>
      <c r="I6" s="73"/>
    </row>
    <row r="7" spans="1:9" ht="15" customHeight="1">
      <c r="A7" s="319" t="s">
        <v>1015</v>
      </c>
      <c r="B7" s="319"/>
      <c r="C7" s="319"/>
      <c r="D7" s="319"/>
      <c r="E7" s="319"/>
      <c r="F7" s="319"/>
      <c r="G7" s="319"/>
      <c r="H7" s="319"/>
      <c r="I7" s="319"/>
    </row>
    <row r="8" spans="1:9" ht="15" customHeight="1">
      <c r="A8" s="319"/>
      <c r="B8" s="319"/>
      <c r="C8" s="319"/>
      <c r="D8" s="319"/>
      <c r="E8" s="319"/>
      <c r="F8" s="319"/>
      <c r="G8" s="319"/>
      <c r="H8" s="319"/>
      <c r="I8" s="319"/>
    </row>
    <row r="9" spans="1:9" ht="15.75">
      <c r="A9" s="13"/>
      <c r="B9" s="13"/>
      <c r="C9" s="13"/>
      <c r="D9" s="13"/>
      <c r="E9" s="90"/>
      <c r="F9" s="90"/>
      <c r="G9" s="76"/>
      <c r="H9" s="76"/>
      <c r="I9" s="76"/>
    </row>
    <row r="10" spans="1:9" ht="63">
      <c r="A10" s="91" t="s">
        <v>647</v>
      </c>
      <c r="B10" s="91" t="s">
        <v>701</v>
      </c>
      <c r="C10" s="91" t="s">
        <v>698</v>
      </c>
      <c r="D10" s="91" t="s">
        <v>699</v>
      </c>
      <c r="E10" s="91" t="s">
        <v>697</v>
      </c>
      <c r="F10" s="91" t="s">
        <v>700</v>
      </c>
      <c r="G10" s="279" t="s">
        <v>1004</v>
      </c>
      <c r="H10" s="279" t="s">
        <v>1005</v>
      </c>
      <c r="I10" s="279" t="s">
        <v>1006</v>
      </c>
    </row>
    <row r="11" spans="1:9" ht="95.25" hidden="1" customHeight="1">
      <c r="A11" s="313" t="s">
        <v>738</v>
      </c>
      <c r="B11" s="313"/>
      <c r="C11" s="313"/>
      <c r="D11" s="313"/>
      <c r="E11" s="313"/>
      <c r="F11" s="313"/>
      <c r="G11" s="92">
        <f>G13</f>
        <v>0</v>
      </c>
      <c r="H11" s="92">
        <f t="shared" ref="H11:I11" si="0">H13</f>
        <v>0</v>
      </c>
      <c r="I11" s="92">
        <f t="shared" si="0"/>
        <v>0</v>
      </c>
    </row>
    <row r="12" spans="1:9" ht="78.75" hidden="1">
      <c r="A12" s="5" t="s">
        <v>739</v>
      </c>
      <c r="B12" s="5">
        <v>903</v>
      </c>
      <c r="C12" s="5"/>
      <c r="D12" s="5"/>
      <c r="E12" s="5"/>
      <c r="F12" s="5"/>
      <c r="G12" s="92">
        <f>G13</f>
        <v>0</v>
      </c>
      <c r="H12" s="92">
        <f t="shared" ref="H12:I13" si="1">H13</f>
        <v>0</v>
      </c>
      <c r="I12" s="92">
        <f t="shared" si="1"/>
        <v>0</v>
      </c>
    </row>
    <row r="13" spans="1:9" ht="15.75" hidden="1">
      <c r="A13" s="47" t="s">
        <v>296</v>
      </c>
      <c r="B13" s="6">
        <v>903</v>
      </c>
      <c r="C13" s="42" t="s">
        <v>297</v>
      </c>
      <c r="D13" s="42"/>
      <c r="E13" s="42"/>
      <c r="F13" s="42"/>
      <c r="G13" s="93">
        <f>G14</f>
        <v>0</v>
      </c>
      <c r="H13" s="93">
        <f t="shared" si="1"/>
        <v>0</v>
      </c>
      <c r="I13" s="93">
        <f t="shared" si="1"/>
        <v>0</v>
      </c>
    </row>
    <row r="14" spans="1:9" ht="15.75" hidden="1">
      <c r="A14" s="31" t="s">
        <v>174</v>
      </c>
      <c r="B14" s="6">
        <v>903</v>
      </c>
      <c r="C14" s="42" t="s">
        <v>297</v>
      </c>
      <c r="D14" s="42" t="s">
        <v>268</v>
      </c>
      <c r="E14" s="42" t="s">
        <v>175</v>
      </c>
      <c r="F14" s="42"/>
      <c r="G14" s="93">
        <f>G16</f>
        <v>0</v>
      </c>
      <c r="H14" s="93">
        <f t="shared" ref="H14:I14" si="2">H16</f>
        <v>0</v>
      </c>
      <c r="I14" s="93">
        <f t="shared" si="2"/>
        <v>0</v>
      </c>
    </row>
    <row r="15" spans="1:9" ht="31.5" hidden="1">
      <c r="A15" s="31" t="s">
        <v>194</v>
      </c>
      <c r="B15" s="6">
        <v>903</v>
      </c>
      <c r="C15" s="42" t="s">
        <v>297</v>
      </c>
      <c r="D15" s="42" t="s">
        <v>268</v>
      </c>
      <c r="E15" s="42" t="s">
        <v>195</v>
      </c>
      <c r="F15" s="42"/>
      <c r="G15" s="93">
        <f>G16</f>
        <v>0</v>
      </c>
      <c r="H15" s="93">
        <f t="shared" ref="H15:I17" si="3">H16</f>
        <v>0</v>
      </c>
      <c r="I15" s="93">
        <f t="shared" si="3"/>
        <v>0</v>
      </c>
    </row>
    <row r="16" spans="1:9" ht="31.5" hidden="1">
      <c r="A16" s="31" t="s">
        <v>254</v>
      </c>
      <c r="B16" s="6">
        <v>903</v>
      </c>
      <c r="C16" s="42" t="s">
        <v>297</v>
      </c>
      <c r="D16" s="42" t="s">
        <v>268</v>
      </c>
      <c r="E16" s="42" t="s">
        <v>255</v>
      </c>
      <c r="F16" s="42"/>
      <c r="G16" s="93">
        <f>G17</f>
        <v>0</v>
      </c>
      <c r="H16" s="93">
        <f t="shared" si="3"/>
        <v>0</v>
      </c>
      <c r="I16" s="93">
        <f t="shared" si="3"/>
        <v>0</v>
      </c>
    </row>
    <row r="17" spans="1:9" ht="31.5" hidden="1">
      <c r="A17" s="31" t="s">
        <v>301</v>
      </c>
      <c r="B17" s="6">
        <v>903</v>
      </c>
      <c r="C17" s="42" t="s">
        <v>297</v>
      </c>
      <c r="D17" s="42" t="s">
        <v>268</v>
      </c>
      <c r="E17" s="42" t="s">
        <v>255</v>
      </c>
      <c r="F17" s="42" t="s">
        <v>302</v>
      </c>
      <c r="G17" s="93">
        <f>G18</f>
        <v>0</v>
      </c>
      <c r="H17" s="93">
        <f t="shared" si="3"/>
        <v>0</v>
      </c>
      <c r="I17" s="93">
        <f t="shared" si="3"/>
        <v>0</v>
      </c>
    </row>
    <row r="18" spans="1:9" ht="47.25" hidden="1">
      <c r="A18" s="31" t="s">
        <v>401</v>
      </c>
      <c r="B18" s="6">
        <v>903</v>
      </c>
      <c r="C18" s="42" t="s">
        <v>297</v>
      </c>
      <c r="D18" s="42" t="s">
        <v>268</v>
      </c>
      <c r="E18" s="42" t="s">
        <v>255</v>
      </c>
      <c r="F18" s="42" t="s">
        <v>402</v>
      </c>
      <c r="G18" s="93"/>
      <c r="H18" s="93"/>
      <c r="I18" s="93"/>
    </row>
    <row r="19" spans="1:9" ht="64.5" hidden="1" customHeight="1">
      <c r="A19" s="316" t="s">
        <v>928</v>
      </c>
      <c r="B19" s="317"/>
      <c r="C19" s="317"/>
      <c r="D19" s="317"/>
      <c r="E19" s="317"/>
      <c r="F19" s="318"/>
      <c r="G19" s="92">
        <f t="shared" ref="G19:I26" si="4">G20</f>
        <v>9066.4</v>
      </c>
      <c r="H19" s="92">
        <f t="shared" si="4"/>
        <v>2266.6</v>
      </c>
      <c r="I19" s="92">
        <f t="shared" si="4"/>
        <v>25</v>
      </c>
    </row>
    <row r="20" spans="1:9" ht="50.25" hidden="1" customHeight="1">
      <c r="A20" s="242" t="s">
        <v>201</v>
      </c>
      <c r="B20" s="242">
        <v>902</v>
      </c>
      <c r="C20" s="242"/>
      <c r="D20" s="242"/>
      <c r="E20" s="242"/>
      <c r="F20" s="242"/>
      <c r="G20" s="92">
        <f t="shared" si="4"/>
        <v>9066.4</v>
      </c>
      <c r="H20" s="92">
        <f t="shared" si="4"/>
        <v>2266.6</v>
      </c>
      <c r="I20" s="92">
        <f t="shared" si="4"/>
        <v>25</v>
      </c>
    </row>
    <row r="21" spans="1:9" ht="15.75" hidden="1">
      <c r="A21" s="24" t="s">
        <v>296</v>
      </c>
      <c r="B21" s="20">
        <v>902</v>
      </c>
      <c r="C21" s="25" t="s">
        <v>297</v>
      </c>
      <c r="D21" s="25"/>
      <c r="E21" s="25"/>
      <c r="F21" s="25"/>
      <c r="G21" s="92">
        <f t="shared" si="4"/>
        <v>9066.4</v>
      </c>
      <c r="H21" s="92">
        <f t="shared" si="4"/>
        <v>2266.6</v>
      </c>
      <c r="I21" s="92">
        <f t="shared" si="4"/>
        <v>25</v>
      </c>
    </row>
    <row r="22" spans="1:9" ht="15.75" hidden="1">
      <c r="A22" s="24" t="s">
        <v>298</v>
      </c>
      <c r="B22" s="20">
        <v>902</v>
      </c>
      <c r="C22" s="25" t="s">
        <v>297</v>
      </c>
      <c r="D22" s="25" t="s">
        <v>171</v>
      </c>
      <c r="E22" s="25"/>
      <c r="F22" s="25"/>
      <c r="G22" s="92">
        <f t="shared" si="4"/>
        <v>9066.4</v>
      </c>
      <c r="H22" s="92">
        <f t="shared" si="4"/>
        <v>2266.6</v>
      </c>
      <c r="I22" s="92">
        <f t="shared" si="4"/>
        <v>25</v>
      </c>
    </row>
    <row r="23" spans="1:9" ht="15.75" hidden="1">
      <c r="A23" s="26" t="s">
        <v>174</v>
      </c>
      <c r="B23" s="17">
        <v>902</v>
      </c>
      <c r="C23" s="21" t="s">
        <v>297</v>
      </c>
      <c r="D23" s="21" t="s">
        <v>171</v>
      </c>
      <c r="E23" s="21" t="s">
        <v>175</v>
      </c>
      <c r="F23" s="21"/>
      <c r="G23" s="93">
        <f t="shared" si="4"/>
        <v>9066.4</v>
      </c>
      <c r="H23" s="93">
        <f t="shared" si="4"/>
        <v>2266.6</v>
      </c>
      <c r="I23" s="93">
        <f t="shared" si="4"/>
        <v>25</v>
      </c>
    </row>
    <row r="24" spans="1:9" ht="31.5" hidden="1">
      <c r="A24" s="26" t="s">
        <v>194</v>
      </c>
      <c r="B24" s="17">
        <v>902</v>
      </c>
      <c r="C24" s="21" t="s">
        <v>297</v>
      </c>
      <c r="D24" s="21" t="s">
        <v>171</v>
      </c>
      <c r="E24" s="21" t="s">
        <v>195</v>
      </c>
      <c r="F24" s="21"/>
      <c r="G24" s="93">
        <f t="shared" si="4"/>
        <v>9066.4</v>
      </c>
      <c r="H24" s="93">
        <f t="shared" si="4"/>
        <v>2266.6</v>
      </c>
      <c r="I24" s="93">
        <f t="shared" si="4"/>
        <v>25</v>
      </c>
    </row>
    <row r="25" spans="1:9" ht="31.5" hidden="1">
      <c r="A25" s="26" t="s">
        <v>299</v>
      </c>
      <c r="B25" s="17">
        <v>902</v>
      </c>
      <c r="C25" s="21" t="s">
        <v>297</v>
      </c>
      <c r="D25" s="21" t="s">
        <v>171</v>
      </c>
      <c r="E25" s="21" t="s">
        <v>300</v>
      </c>
      <c r="F25" s="21"/>
      <c r="G25" s="93">
        <f t="shared" si="4"/>
        <v>9066.4</v>
      </c>
      <c r="H25" s="93">
        <f t="shared" si="4"/>
        <v>2266.6</v>
      </c>
      <c r="I25" s="93">
        <f t="shared" si="4"/>
        <v>25</v>
      </c>
    </row>
    <row r="26" spans="1:9" ht="31.5" hidden="1">
      <c r="A26" s="26" t="s">
        <v>301</v>
      </c>
      <c r="B26" s="17">
        <v>902</v>
      </c>
      <c r="C26" s="21" t="s">
        <v>297</v>
      </c>
      <c r="D26" s="21" t="s">
        <v>171</v>
      </c>
      <c r="E26" s="21" t="s">
        <v>300</v>
      </c>
      <c r="F26" s="21" t="s">
        <v>302</v>
      </c>
      <c r="G26" s="93">
        <f t="shared" si="4"/>
        <v>9066.4</v>
      </c>
      <c r="H26" s="93">
        <f t="shared" si="4"/>
        <v>2266.6</v>
      </c>
      <c r="I26" s="93">
        <f t="shared" si="4"/>
        <v>25</v>
      </c>
    </row>
    <row r="27" spans="1:9" ht="63" hidden="1">
      <c r="A27" s="26" t="s">
        <v>303</v>
      </c>
      <c r="B27" s="17">
        <v>902</v>
      </c>
      <c r="C27" s="21" t="s">
        <v>297</v>
      </c>
      <c r="D27" s="21" t="s">
        <v>171</v>
      </c>
      <c r="E27" s="21" t="s">
        <v>300</v>
      </c>
      <c r="F27" s="21" t="s">
        <v>402</v>
      </c>
      <c r="G27" s="93">
        <f>'Прил.№4 ведомств.'!M224</f>
        <v>9066.4</v>
      </c>
      <c r="H27" s="93">
        <f>'Прил.№4 ведомств.'!N224</f>
        <v>2266.6</v>
      </c>
      <c r="I27" s="93">
        <f>'Прил.№4 ведомств.'!O224</f>
        <v>25</v>
      </c>
    </row>
    <row r="28" spans="1:9" ht="59.25" customHeight="1">
      <c r="A28" s="314" t="s">
        <v>740</v>
      </c>
      <c r="B28" s="314"/>
      <c r="C28" s="314"/>
      <c r="D28" s="314"/>
      <c r="E28" s="314"/>
      <c r="F28" s="314"/>
      <c r="G28" s="92">
        <f>G30</f>
        <v>1743</v>
      </c>
      <c r="H28" s="92">
        <f t="shared" ref="H28" si="5">H30</f>
        <v>586.20000000000005</v>
      </c>
      <c r="I28" s="92">
        <f>H28/G28*100</f>
        <v>33.631669535283997</v>
      </c>
    </row>
    <row r="29" spans="1:9" ht="78.75">
      <c r="A29" s="5" t="s">
        <v>739</v>
      </c>
      <c r="B29" s="5">
        <v>903</v>
      </c>
      <c r="C29" s="5"/>
      <c r="D29" s="5"/>
      <c r="E29" s="5"/>
      <c r="F29" s="5"/>
      <c r="G29" s="92">
        <f>G30</f>
        <v>1743</v>
      </c>
      <c r="H29" s="92">
        <f t="shared" ref="H29:H31" si="6">H30</f>
        <v>586.20000000000005</v>
      </c>
      <c r="I29" s="92">
        <f t="shared" ref="I29:I48" si="7">H29/G29*100</f>
        <v>33.631669535283997</v>
      </c>
    </row>
    <row r="30" spans="1:9" ht="15.75">
      <c r="A30" s="94" t="s">
        <v>296</v>
      </c>
      <c r="B30" s="10" t="s">
        <v>707</v>
      </c>
      <c r="C30" s="10" t="s">
        <v>297</v>
      </c>
      <c r="D30" s="10"/>
      <c r="E30" s="10"/>
      <c r="F30" s="10"/>
      <c r="G30" s="95">
        <f>G31</f>
        <v>1743</v>
      </c>
      <c r="H30" s="95">
        <f t="shared" si="6"/>
        <v>586.20000000000005</v>
      </c>
      <c r="I30" s="93">
        <f t="shared" si="7"/>
        <v>33.631669535283997</v>
      </c>
    </row>
    <row r="31" spans="1:9" ht="31.5">
      <c r="A31" s="31" t="s">
        <v>305</v>
      </c>
      <c r="B31" s="6">
        <v>903</v>
      </c>
      <c r="C31" s="42" t="s">
        <v>297</v>
      </c>
      <c r="D31" s="42" t="s">
        <v>268</v>
      </c>
      <c r="E31" s="42"/>
      <c r="F31" s="42"/>
      <c r="G31" s="93">
        <f>G32</f>
        <v>1743</v>
      </c>
      <c r="H31" s="93">
        <f t="shared" si="6"/>
        <v>586.20000000000005</v>
      </c>
      <c r="I31" s="93">
        <f t="shared" si="7"/>
        <v>33.631669535283997</v>
      </c>
    </row>
    <row r="32" spans="1:9" ht="78.75">
      <c r="A32" s="31" t="s">
        <v>741</v>
      </c>
      <c r="B32" s="6">
        <v>903</v>
      </c>
      <c r="C32" s="42" t="s">
        <v>297</v>
      </c>
      <c r="D32" s="42" t="s">
        <v>268</v>
      </c>
      <c r="E32" s="42" t="s">
        <v>397</v>
      </c>
      <c r="F32" s="42"/>
      <c r="G32" s="93">
        <f>G36+G33+G40+G44</f>
        <v>1743</v>
      </c>
      <c r="H32" s="93">
        <f t="shared" ref="H32" si="8">H36+H33+H40+H44</f>
        <v>586.20000000000005</v>
      </c>
      <c r="I32" s="93">
        <f t="shared" si="7"/>
        <v>33.631669535283997</v>
      </c>
    </row>
    <row r="33" spans="1:9" ht="47.25">
      <c r="A33" s="31" t="s">
        <v>398</v>
      </c>
      <c r="B33" s="6">
        <v>903</v>
      </c>
      <c r="C33" s="42" t="s">
        <v>297</v>
      </c>
      <c r="D33" s="42" t="s">
        <v>268</v>
      </c>
      <c r="E33" s="42" t="s">
        <v>399</v>
      </c>
      <c r="F33" s="42"/>
      <c r="G33" s="93">
        <f>G34</f>
        <v>25</v>
      </c>
      <c r="H33" s="93">
        <f t="shared" ref="H33:H34" si="9">H34</f>
        <v>25</v>
      </c>
      <c r="I33" s="93">
        <f t="shared" si="7"/>
        <v>100</v>
      </c>
    </row>
    <row r="34" spans="1:9" ht="31.5">
      <c r="A34" s="31" t="s">
        <v>301</v>
      </c>
      <c r="B34" s="6">
        <v>903</v>
      </c>
      <c r="C34" s="42" t="s">
        <v>297</v>
      </c>
      <c r="D34" s="42" t="s">
        <v>268</v>
      </c>
      <c r="E34" s="42" t="s">
        <v>400</v>
      </c>
      <c r="F34" s="42" t="s">
        <v>302</v>
      </c>
      <c r="G34" s="93">
        <f>G35</f>
        <v>25</v>
      </c>
      <c r="H34" s="93">
        <f t="shared" si="9"/>
        <v>25</v>
      </c>
      <c r="I34" s="93">
        <f t="shared" si="7"/>
        <v>100</v>
      </c>
    </row>
    <row r="35" spans="1:9" ht="47.25">
      <c r="A35" s="31" t="s">
        <v>401</v>
      </c>
      <c r="B35" s="6">
        <v>903</v>
      </c>
      <c r="C35" s="42" t="s">
        <v>297</v>
      </c>
      <c r="D35" s="42" t="s">
        <v>268</v>
      </c>
      <c r="E35" s="42" t="s">
        <v>400</v>
      </c>
      <c r="F35" s="42" t="s">
        <v>402</v>
      </c>
      <c r="G35" s="93">
        <f>'Прил.№4 ведомств.'!M464</f>
        <v>25</v>
      </c>
      <c r="H35" s="93">
        <f>'Прил.№4 ведомств.'!N464</f>
        <v>25</v>
      </c>
      <c r="I35" s="93">
        <f t="shared" si="7"/>
        <v>100</v>
      </c>
    </row>
    <row r="36" spans="1:9" ht="63">
      <c r="A36" s="47" t="s">
        <v>709</v>
      </c>
      <c r="B36" s="6">
        <v>903</v>
      </c>
      <c r="C36" s="42" t="s">
        <v>297</v>
      </c>
      <c r="D36" s="42" t="s">
        <v>268</v>
      </c>
      <c r="E36" s="42" t="s">
        <v>409</v>
      </c>
      <c r="F36" s="42"/>
      <c r="G36" s="93">
        <f>G37</f>
        <v>420</v>
      </c>
      <c r="H36" s="93">
        <f t="shared" ref="H36:H38" si="10">H37</f>
        <v>110</v>
      </c>
      <c r="I36" s="93">
        <f t="shared" si="7"/>
        <v>26.190476190476193</v>
      </c>
    </row>
    <row r="37" spans="1:9" ht="47.25">
      <c r="A37" s="31" t="s">
        <v>210</v>
      </c>
      <c r="B37" s="6">
        <v>903</v>
      </c>
      <c r="C37" s="42" t="s">
        <v>297</v>
      </c>
      <c r="D37" s="42" t="s">
        <v>268</v>
      </c>
      <c r="E37" s="42" t="s">
        <v>410</v>
      </c>
      <c r="F37" s="42"/>
      <c r="G37" s="93">
        <f>G38</f>
        <v>420</v>
      </c>
      <c r="H37" s="93">
        <f t="shared" si="10"/>
        <v>110</v>
      </c>
      <c r="I37" s="93">
        <f t="shared" si="7"/>
        <v>26.190476190476193</v>
      </c>
    </row>
    <row r="38" spans="1:9" ht="31.5">
      <c r="A38" s="31" t="s">
        <v>301</v>
      </c>
      <c r="B38" s="6">
        <v>903</v>
      </c>
      <c r="C38" s="42" t="s">
        <v>297</v>
      </c>
      <c r="D38" s="42" t="s">
        <v>268</v>
      </c>
      <c r="E38" s="42" t="s">
        <v>410</v>
      </c>
      <c r="F38" s="42" t="s">
        <v>302</v>
      </c>
      <c r="G38" s="93">
        <f>G39</f>
        <v>420</v>
      </c>
      <c r="H38" s="93">
        <f t="shared" si="10"/>
        <v>110</v>
      </c>
      <c r="I38" s="93">
        <f t="shared" si="7"/>
        <v>26.190476190476193</v>
      </c>
    </row>
    <row r="39" spans="1:9" ht="47.25">
      <c r="A39" s="31" t="s">
        <v>401</v>
      </c>
      <c r="B39" s="96">
        <v>903</v>
      </c>
      <c r="C39" s="42" t="s">
        <v>297</v>
      </c>
      <c r="D39" s="42" t="s">
        <v>268</v>
      </c>
      <c r="E39" s="42" t="s">
        <v>410</v>
      </c>
      <c r="F39" s="97" t="s">
        <v>402</v>
      </c>
      <c r="G39" s="93">
        <f>'Прил.№4 ведомств.'!M475</f>
        <v>420</v>
      </c>
      <c r="H39" s="93">
        <f>'Прил.№4 ведомств.'!N475</f>
        <v>110</v>
      </c>
      <c r="I39" s="93">
        <f t="shared" si="7"/>
        <v>26.190476190476193</v>
      </c>
    </row>
    <row r="40" spans="1:9" ht="31.5">
      <c r="A40" s="47" t="s">
        <v>711</v>
      </c>
      <c r="B40" s="6">
        <v>903</v>
      </c>
      <c r="C40" s="42" t="s">
        <v>297</v>
      </c>
      <c r="D40" s="42" t="s">
        <v>268</v>
      </c>
      <c r="E40" s="42" t="s">
        <v>412</v>
      </c>
      <c r="F40" s="42"/>
      <c r="G40" s="85">
        <f>G41</f>
        <v>1048</v>
      </c>
      <c r="H40" s="85">
        <f t="shared" ref="H40:H42" si="11">H41</f>
        <v>331.2</v>
      </c>
      <c r="I40" s="93">
        <f t="shared" si="7"/>
        <v>31.603053435114504</v>
      </c>
    </row>
    <row r="41" spans="1:9" ht="47.25">
      <c r="A41" s="31" t="s">
        <v>210</v>
      </c>
      <c r="B41" s="6">
        <v>903</v>
      </c>
      <c r="C41" s="98" t="s">
        <v>297</v>
      </c>
      <c r="D41" s="98" t="s">
        <v>268</v>
      </c>
      <c r="E41" s="42" t="s">
        <v>413</v>
      </c>
      <c r="F41" s="98"/>
      <c r="G41" s="85">
        <f>G42</f>
        <v>1048</v>
      </c>
      <c r="H41" s="85">
        <f t="shared" si="11"/>
        <v>331.2</v>
      </c>
      <c r="I41" s="93">
        <f t="shared" si="7"/>
        <v>31.603053435114504</v>
      </c>
    </row>
    <row r="42" spans="1:9" ht="31.5">
      <c r="A42" s="31" t="s">
        <v>301</v>
      </c>
      <c r="B42" s="6">
        <v>903</v>
      </c>
      <c r="C42" s="42" t="s">
        <v>297</v>
      </c>
      <c r="D42" s="42" t="s">
        <v>268</v>
      </c>
      <c r="E42" s="42" t="s">
        <v>413</v>
      </c>
      <c r="F42" s="42" t="s">
        <v>302</v>
      </c>
      <c r="G42" s="85">
        <f>G43</f>
        <v>1048</v>
      </c>
      <c r="H42" s="85">
        <f t="shared" si="11"/>
        <v>331.2</v>
      </c>
      <c r="I42" s="93">
        <f t="shared" si="7"/>
        <v>31.603053435114504</v>
      </c>
    </row>
    <row r="43" spans="1:9" ht="39" customHeight="1">
      <c r="A43" s="31" t="s">
        <v>401</v>
      </c>
      <c r="B43" s="6">
        <v>903</v>
      </c>
      <c r="C43" s="42" t="s">
        <v>297</v>
      </c>
      <c r="D43" s="42" t="s">
        <v>268</v>
      </c>
      <c r="E43" s="42" t="s">
        <v>413</v>
      </c>
      <c r="F43" s="42" t="s">
        <v>402</v>
      </c>
      <c r="G43" s="85">
        <f>'Прил.№4 ведомств.'!M481</f>
        <v>1048</v>
      </c>
      <c r="H43" s="85">
        <f>'Прил.№4 ведомств.'!N481</f>
        <v>331.2</v>
      </c>
      <c r="I43" s="93">
        <f t="shared" si="7"/>
        <v>31.603053435114504</v>
      </c>
    </row>
    <row r="44" spans="1:9" ht="47.25">
      <c r="A44" s="31" t="s">
        <v>414</v>
      </c>
      <c r="B44" s="66">
        <v>903</v>
      </c>
      <c r="C44" s="98" t="s">
        <v>297</v>
      </c>
      <c r="D44" s="98" t="s">
        <v>268</v>
      </c>
      <c r="E44" s="98" t="s">
        <v>415</v>
      </c>
      <c r="F44" s="98"/>
      <c r="G44" s="93">
        <f>G45</f>
        <v>250</v>
      </c>
      <c r="H44" s="93">
        <f t="shared" ref="H44:H46" si="12">H45</f>
        <v>120</v>
      </c>
      <c r="I44" s="93">
        <f t="shared" si="7"/>
        <v>48</v>
      </c>
    </row>
    <row r="45" spans="1:9" ht="47.25">
      <c r="A45" s="31" t="s">
        <v>210</v>
      </c>
      <c r="B45" s="6">
        <v>903</v>
      </c>
      <c r="C45" s="98" t="s">
        <v>297</v>
      </c>
      <c r="D45" s="98" t="s">
        <v>268</v>
      </c>
      <c r="E45" s="98" t="s">
        <v>416</v>
      </c>
      <c r="F45" s="98"/>
      <c r="G45" s="93">
        <f>G46</f>
        <v>250</v>
      </c>
      <c r="H45" s="93">
        <f t="shared" si="12"/>
        <v>120</v>
      </c>
      <c r="I45" s="93">
        <f t="shared" si="7"/>
        <v>48</v>
      </c>
    </row>
    <row r="46" spans="1:9" ht="31.5">
      <c r="A46" s="31" t="s">
        <v>301</v>
      </c>
      <c r="B46" s="6">
        <v>903</v>
      </c>
      <c r="C46" s="98" t="s">
        <v>297</v>
      </c>
      <c r="D46" s="98" t="s">
        <v>268</v>
      </c>
      <c r="E46" s="98" t="s">
        <v>416</v>
      </c>
      <c r="F46" s="98" t="s">
        <v>302</v>
      </c>
      <c r="G46" s="93">
        <f>G47</f>
        <v>250</v>
      </c>
      <c r="H46" s="93">
        <f t="shared" si="12"/>
        <v>120</v>
      </c>
      <c r="I46" s="93">
        <f t="shared" si="7"/>
        <v>48</v>
      </c>
    </row>
    <row r="47" spans="1:9" ht="47.25">
      <c r="A47" s="31" t="s">
        <v>401</v>
      </c>
      <c r="B47" s="6">
        <v>903</v>
      </c>
      <c r="C47" s="98" t="s">
        <v>297</v>
      </c>
      <c r="D47" s="98" t="s">
        <v>268</v>
      </c>
      <c r="E47" s="98" t="s">
        <v>416</v>
      </c>
      <c r="F47" s="98" t="s">
        <v>402</v>
      </c>
      <c r="G47" s="99">
        <f>'Прил.№4 ведомств.'!M485</f>
        <v>250</v>
      </c>
      <c r="H47" s="99">
        <f>'Прил.№4 ведомств.'!N485</f>
        <v>120</v>
      </c>
      <c r="I47" s="93">
        <f t="shared" si="7"/>
        <v>48</v>
      </c>
    </row>
    <row r="48" spans="1:9" ht="15.75">
      <c r="A48" s="43" t="s">
        <v>737</v>
      </c>
      <c r="B48" s="43"/>
      <c r="C48" s="100"/>
      <c r="D48" s="100"/>
      <c r="E48" s="100"/>
      <c r="F48" s="100"/>
      <c r="G48" s="101">
        <f>G28</f>
        <v>1743</v>
      </c>
      <c r="H48" s="101">
        <f t="shared" ref="H48" si="13">H28</f>
        <v>586.20000000000005</v>
      </c>
      <c r="I48" s="92">
        <f t="shared" si="7"/>
        <v>33.631669535283997</v>
      </c>
    </row>
  </sheetData>
  <mergeCells count="5">
    <mergeCell ref="A11:F11"/>
    <mergeCell ref="A28:F28"/>
    <mergeCell ref="A3:C4"/>
    <mergeCell ref="A19:F19"/>
    <mergeCell ref="A7:I8"/>
  </mergeCells>
  <pageMargins left="0.39370078740157483" right="0.39370078740157483" top="1.1811023622047245" bottom="0.3937007874015748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="93" zoomScaleNormal="100" zoomScaleSheetLayoutView="93" workbookViewId="0">
      <selection activeCell="B3" sqref="B3"/>
    </sheetView>
  </sheetViews>
  <sheetFormatPr defaultRowHeight="1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11.5703125" customWidth="1"/>
    <col min="11" max="11" width="11.42578125" customWidth="1"/>
  </cols>
  <sheetData>
    <row r="1" spans="1:19" ht="18.75">
      <c r="A1" s="13"/>
      <c r="B1" s="285"/>
      <c r="J1" s="277" t="s">
        <v>1011</v>
      </c>
    </row>
    <row r="2" spans="1:19" ht="18.75">
      <c r="A2" s="13"/>
      <c r="B2" s="285"/>
      <c r="J2" s="277" t="s">
        <v>999</v>
      </c>
    </row>
    <row r="3" spans="1:19" ht="18.75">
      <c r="A3" s="13"/>
      <c r="B3" s="285"/>
      <c r="J3" s="277" t="s">
        <v>1000</v>
      </c>
    </row>
    <row r="4" spans="1:19" ht="18.75">
      <c r="A4" s="13"/>
      <c r="B4" s="285"/>
      <c r="J4" s="277" t="s">
        <v>1001</v>
      </c>
    </row>
    <row r="5" spans="1:19" ht="18.75">
      <c r="A5" s="13"/>
      <c r="B5" s="280"/>
      <c r="C5" s="13"/>
      <c r="J5" s="277" t="s">
        <v>1021</v>
      </c>
    </row>
    <row r="6" spans="1:19" ht="15.75">
      <c r="A6" s="13"/>
      <c r="B6" s="13"/>
      <c r="C6" s="13"/>
    </row>
    <row r="7" spans="1:19" ht="16.5">
      <c r="A7" s="302" t="s">
        <v>1009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</row>
    <row r="8" spans="1:19" ht="16.5">
      <c r="A8" s="302" t="s">
        <v>1010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</row>
    <row r="9" spans="1:19" ht="15.75">
      <c r="A9" s="102"/>
      <c r="B9" s="102"/>
      <c r="C9" s="102"/>
    </row>
    <row r="10" spans="1:19" ht="15.75">
      <c r="A10" s="13"/>
      <c r="B10" s="13"/>
      <c r="J10" s="103"/>
    </row>
    <row r="11" spans="1:19" ht="78.75">
      <c r="A11" s="91" t="s">
        <v>742</v>
      </c>
      <c r="B11" s="91" t="s">
        <v>743</v>
      </c>
      <c r="C11" s="91" t="s">
        <v>889</v>
      </c>
      <c r="D11" s="77" t="s">
        <v>853</v>
      </c>
      <c r="E11" s="77" t="s">
        <v>854</v>
      </c>
      <c r="F11" s="77" t="s">
        <v>982</v>
      </c>
      <c r="G11" s="212" t="s">
        <v>881</v>
      </c>
      <c r="H11" s="212" t="s">
        <v>882</v>
      </c>
      <c r="I11" s="212" t="s">
        <v>883</v>
      </c>
      <c r="J11" s="211" t="s">
        <v>1007</v>
      </c>
      <c r="K11" s="279" t="s">
        <v>1005</v>
      </c>
      <c r="L11" s="279" t="s">
        <v>1006</v>
      </c>
    </row>
    <row r="12" spans="1:19" ht="15.75">
      <c r="A12" s="91">
        <v>1</v>
      </c>
      <c r="B12" s="91">
        <v>2</v>
      </c>
      <c r="C12" s="91">
        <v>3</v>
      </c>
      <c r="D12" s="77">
        <v>4</v>
      </c>
      <c r="E12" s="77">
        <v>5</v>
      </c>
      <c r="F12" s="77">
        <v>6</v>
      </c>
      <c r="G12" s="77">
        <v>7</v>
      </c>
      <c r="H12" s="77">
        <v>8</v>
      </c>
      <c r="I12" s="77">
        <v>9</v>
      </c>
      <c r="J12" s="77">
        <v>3</v>
      </c>
      <c r="K12" s="77">
        <v>4</v>
      </c>
      <c r="L12" s="77">
        <v>5</v>
      </c>
    </row>
    <row r="13" spans="1:19" ht="33">
      <c r="A13" s="104" t="s">
        <v>744</v>
      </c>
      <c r="B13" s="105" t="s">
        <v>745</v>
      </c>
      <c r="C13" s="106" t="e">
        <f>C14-C16</f>
        <v>#REF!</v>
      </c>
      <c r="D13" s="106">
        <f t="shared" ref="D13:E13" si="0">D14-D16</f>
        <v>2034.1</v>
      </c>
      <c r="E13" s="106" t="e">
        <f t="shared" si="0"/>
        <v>#REF!</v>
      </c>
      <c r="F13" s="236" t="e">
        <f t="shared" ref="F13:F18" si="1">C13</f>
        <v>#REF!</v>
      </c>
      <c r="G13" s="106">
        <f t="shared" ref="G13:J13" si="2">G14-G16</f>
        <v>0</v>
      </c>
      <c r="H13" s="106">
        <f t="shared" si="2"/>
        <v>0</v>
      </c>
      <c r="I13" s="106">
        <f t="shared" si="2"/>
        <v>0</v>
      </c>
      <c r="J13" s="106">
        <f t="shared" si="2"/>
        <v>27013.299999999814</v>
      </c>
      <c r="K13" s="106">
        <f t="shared" ref="K13" si="3">K14-K16</f>
        <v>4388.3000000000175</v>
      </c>
      <c r="L13" s="106"/>
    </row>
    <row r="14" spans="1:19" ht="31.5">
      <c r="A14" s="107" t="s">
        <v>746</v>
      </c>
      <c r="B14" s="108" t="s">
        <v>747</v>
      </c>
      <c r="C14" s="68">
        <f>C15</f>
        <v>59703</v>
      </c>
      <c r="D14" s="68">
        <f t="shared" ref="D14:E14" si="4">D15</f>
        <v>2034.1</v>
      </c>
      <c r="E14" s="68">
        <f t="shared" si="4"/>
        <v>57668.9</v>
      </c>
      <c r="F14" s="236">
        <f t="shared" si="1"/>
        <v>59703</v>
      </c>
      <c r="G14" s="235">
        <f>G15</f>
        <v>0</v>
      </c>
      <c r="H14" s="235">
        <f t="shared" ref="H14:K14" si="5">H15</f>
        <v>0</v>
      </c>
      <c r="I14" s="235">
        <f t="shared" si="5"/>
        <v>0</v>
      </c>
      <c r="J14" s="234">
        <f t="shared" si="5"/>
        <v>59703</v>
      </c>
      <c r="K14" s="234">
        <f t="shared" si="5"/>
        <v>59703</v>
      </c>
      <c r="L14" s="234"/>
    </row>
    <row r="15" spans="1:19" ht="31.5">
      <c r="A15" s="109" t="s">
        <v>748</v>
      </c>
      <c r="B15" s="110" t="s">
        <v>749</v>
      </c>
      <c r="C15" s="111">
        <v>59703</v>
      </c>
      <c r="D15" s="111">
        <v>2034.1</v>
      </c>
      <c r="E15" s="111">
        <f>C15-D15</f>
        <v>57668.9</v>
      </c>
      <c r="F15" s="234">
        <f t="shared" si="1"/>
        <v>59703</v>
      </c>
      <c r="G15" s="235">
        <v>0</v>
      </c>
      <c r="H15" s="235">
        <v>0</v>
      </c>
      <c r="I15" s="235">
        <v>0</v>
      </c>
      <c r="J15" s="269">
        <v>59703</v>
      </c>
      <c r="K15" s="269">
        <v>59703</v>
      </c>
      <c r="L15" s="269"/>
    </row>
    <row r="16" spans="1:19" ht="31.5">
      <c r="A16" s="107" t="s">
        <v>750</v>
      </c>
      <c r="B16" s="108" t="s">
        <v>751</v>
      </c>
      <c r="C16" s="68" t="e">
        <f>C17</f>
        <v>#REF!</v>
      </c>
      <c r="D16" s="68">
        <f t="shared" ref="D16:E16" si="6">D17</f>
        <v>0</v>
      </c>
      <c r="E16" s="68" t="e">
        <f t="shared" si="6"/>
        <v>#REF!</v>
      </c>
      <c r="F16" s="236" t="e">
        <f t="shared" si="1"/>
        <v>#REF!</v>
      </c>
      <c r="G16" s="106">
        <f t="shared" ref="G16:K16" si="7">G17</f>
        <v>0</v>
      </c>
      <c r="H16" s="106">
        <f t="shared" si="7"/>
        <v>0</v>
      </c>
      <c r="I16" s="106">
        <f t="shared" si="7"/>
        <v>0</v>
      </c>
      <c r="J16" s="106">
        <f t="shared" si="7"/>
        <v>32689.700000000186</v>
      </c>
      <c r="K16" s="106">
        <f t="shared" si="7"/>
        <v>55314.699999999983</v>
      </c>
      <c r="L16" s="106"/>
      <c r="O16">
        <f>665442.2</f>
        <v>665442.19999999995</v>
      </c>
      <c r="P16">
        <v>598396.1</v>
      </c>
      <c r="Q16">
        <f>P16-O16</f>
        <v>-67046.099999999977</v>
      </c>
      <c r="R16">
        <v>-21968</v>
      </c>
      <c r="S16">
        <f>Q16-R16</f>
        <v>-45078.099999999977</v>
      </c>
    </row>
    <row r="17" spans="1:12" ht="31.5">
      <c r="A17" s="109" t="s">
        <v>752</v>
      </c>
      <c r="B17" s="110" t="s">
        <v>753</v>
      </c>
      <c r="C17" s="111" t="e">
        <f>C14+C23</f>
        <v>#REF!</v>
      </c>
      <c r="D17" s="111"/>
      <c r="E17" s="111" t="e">
        <f t="shared" ref="E17" si="8">E14+E23</f>
        <v>#REF!</v>
      </c>
      <c r="F17" s="234" t="e">
        <f t="shared" si="1"/>
        <v>#REF!</v>
      </c>
      <c r="G17" s="235">
        <v>0</v>
      </c>
      <c r="H17" s="235">
        <v>0</v>
      </c>
      <c r="I17" s="235">
        <v>0</v>
      </c>
      <c r="J17" s="269">
        <f>J15+J23</f>
        <v>32689.700000000186</v>
      </c>
      <c r="K17" s="269">
        <f t="shared" ref="K17" si="9">K15+K23</f>
        <v>55314.699999999983</v>
      </c>
      <c r="L17" s="269"/>
    </row>
    <row r="18" spans="1:12" ht="16.5">
      <c r="A18" s="107" t="s">
        <v>737</v>
      </c>
      <c r="B18" s="110"/>
      <c r="C18" s="4" t="e">
        <f>C15-C17</f>
        <v>#REF!</v>
      </c>
      <c r="D18" s="4">
        <f t="shared" ref="D18:E18" si="10">D15-D17</f>
        <v>2034.1</v>
      </c>
      <c r="E18" s="4" t="e">
        <f t="shared" si="10"/>
        <v>#REF!</v>
      </c>
      <c r="F18" s="236" t="e">
        <f t="shared" si="1"/>
        <v>#REF!</v>
      </c>
      <c r="G18" s="233">
        <f t="shared" ref="G18:J18" si="11">G15-G17</f>
        <v>0</v>
      </c>
      <c r="H18" s="233">
        <f t="shared" si="11"/>
        <v>0</v>
      </c>
      <c r="I18" s="233">
        <f t="shared" si="11"/>
        <v>0</v>
      </c>
      <c r="J18" s="233">
        <f t="shared" si="11"/>
        <v>27013.299999999814</v>
      </c>
      <c r="K18" s="233">
        <f t="shared" ref="K18" si="12">K15-K17</f>
        <v>4388.3000000000175</v>
      </c>
      <c r="L18" s="233">
        <f>K18/J18*100</f>
        <v>16.244960815598418</v>
      </c>
    </row>
    <row r="21" spans="1:12">
      <c r="B21" t="s">
        <v>754</v>
      </c>
      <c r="C21" s="23" t="e">
        <f>'прил.№1 доходы'!C150</f>
        <v>#REF!</v>
      </c>
      <c r="D21">
        <v>201909.8</v>
      </c>
      <c r="E21" s="23" t="e">
        <f>C21-D21</f>
        <v>#REF!</v>
      </c>
      <c r="F21" s="23" t="e">
        <f>'прил.№1 доходы'!E150</f>
        <v>#REF!</v>
      </c>
      <c r="G21" t="e">
        <f>'прил.№1 доходы'!F150</f>
        <v>#REF!</v>
      </c>
      <c r="H21" t="e">
        <f>'прил.№1 доходы'!G150</f>
        <v>#REF!</v>
      </c>
      <c r="I21" t="e">
        <f>'прил.№1 доходы'!H150</f>
        <v>#REF!</v>
      </c>
      <c r="J21">
        <f>'прил.№1 доходы'!I150</f>
        <v>658886.69999999995</v>
      </c>
      <c r="K21">
        <v>173160.2</v>
      </c>
    </row>
    <row r="22" spans="1:12">
      <c r="B22" t="s">
        <v>755</v>
      </c>
      <c r="C22" s="23">
        <f>'прил.№2 Рд,пр'!D52</f>
        <v>665442.19999999995</v>
      </c>
      <c r="D22">
        <f>D21+3210</f>
        <v>205119.8</v>
      </c>
      <c r="E22" s="23">
        <f>C22-D22</f>
        <v>460322.39999999997</v>
      </c>
      <c r="F22" s="23">
        <f>'прил.№2 Рд,пр'!E52</f>
        <v>638134.33647058834</v>
      </c>
      <c r="G22">
        <f>'прил.№2 Рд,пр'!F52</f>
        <v>747288</v>
      </c>
      <c r="H22">
        <f>'прил.№2 Рд,пр'!G52</f>
        <v>743098.70000000007</v>
      </c>
      <c r="I22">
        <f>'прил.№2 Рд,пр'!H52</f>
        <v>741645.10000000009</v>
      </c>
      <c r="J22">
        <f>'прил.№2 Рд,пр'!I52</f>
        <v>685899.99999999977</v>
      </c>
      <c r="K22">
        <f>'Прил.№4 ведомств.'!N1104</f>
        <v>177548.50000000003</v>
      </c>
    </row>
    <row r="23" spans="1:12">
      <c r="B23" t="s">
        <v>756</v>
      </c>
      <c r="C23" s="23" t="e">
        <f>C21-C22</f>
        <v>#REF!</v>
      </c>
      <c r="D23" s="23">
        <f t="shared" ref="D23:F23" si="13">D21-D22</f>
        <v>-3210</v>
      </c>
      <c r="E23" s="23" t="e">
        <f t="shared" si="13"/>
        <v>#REF!</v>
      </c>
      <c r="F23" s="23" t="e">
        <f t="shared" si="13"/>
        <v>#REF!</v>
      </c>
      <c r="G23" t="e">
        <f>G21-G22</f>
        <v>#REF!</v>
      </c>
      <c r="H23" t="e">
        <f t="shared" ref="H23:K23" si="14">H21-H22</f>
        <v>#REF!</v>
      </c>
      <c r="I23" t="e">
        <f t="shared" si="14"/>
        <v>#REF!</v>
      </c>
      <c r="J23">
        <f t="shared" si="14"/>
        <v>-27013.299999999814</v>
      </c>
      <c r="K23">
        <f t="shared" si="14"/>
        <v>-4388.3000000000175</v>
      </c>
    </row>
    <row r="25" spans="1:12">
      <c r="K25" s="23"/>
    </row>
  </sheetData>
  <mergeCells count="2">
    <mergeCell ref="A7:L7"/>
    <mergeCell ref="A8:L8"/>
  </mergeCells>
  <pageMargins left="0.39370078740157483" right="0.39370078740157483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прил.№6 публ.</vt:lpstr>
      <vt:lpstr>прил.№7 источники</vt:lpstr>
      <vt:lpstr>'прил.№1 доходы'!Область_печати</vt:lpstr>
      <vt:lpstr>'прил.№2 Рд,пр'!Область_печати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МП старая'!Область_печати</vt:lpstr>
      <vt:lpstr>'прил.№7 источники'!Область_печати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2018-04-26T00:44:28Z</dcterms:modified>
</cp:coreProperties>
</file>