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161" yWindow="120" windowWidth="13035" windowHeight="10650" tabRatio="776" activeTab="1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доходы'!$A$1:$K$163</definedName>
    <definedName name="_xlnm.Print_Area" localSheetId="1">'прил.№2 Рд,пр'!$A$1:$K$52</definedName>
    <definedName name="_xlnm.Print_Area" localSheetId="2">'ПРил.№3 Рд,пр, ЦС,ВР'!$A$1:$M$987</definedName>
    <definedName name="_xlnm.Print_Area" localSheetId="3">'Прил.№4 ведомств.'!$A$1:$I$1147</definedName>
    <definedName name="_xlnm.Print_Area" localSheetId="4">'Прил.№5 ведомств.старая'!$A$1:$H$975</definedName>
    <definedName name="_xlnm.Print_Area" localSheetId="5">'прил.№5 МП'!$A$1:$N$635</definedName>
    <definedName name="_xlnm.Print_Area" localSheetId="6">'прил.№6 МП старая'!$A$1:$G$534</definedName>
    <definedName name="_xlnm.Print_Area" localSheetId="8">'прил.№7 источники'!$A$1:$L$16</definedName>
  </definedNames>
  <calcPr calcId="145621"/>
</workbook>
</file>

<file path=xl/sharedStrings.xml><?xml version="1.0" encoding="utf-8"?>
<sst xmlns="http://schemas.openxmlformats.org/spreadsheetml/2006/main" count="19255" uniqueCount="1074">
  <si>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</si>
  <si>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</si>
  <si>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</si>
  <si>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</si>
  <si>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</si>
  <si>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</si>
  <si>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</si>
  <si>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</si>
  <si>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</si>
  <si>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</si>
  <si>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</si>
  <si>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</si>
  <si>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</si>
  <si>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</si>
  <si>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</si>
  <si>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</si>
  <si>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</si>
  <si>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</si>
  <si>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</si>
  <si>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</si>
  <si>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</si>
  <si>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</si>
  <si>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</si>
  <si>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</si>
  <si>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</si>
  <si>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</si>
  <si>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</si>
  <si>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</si>
  <si>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</si>
  <si>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</si>
  <si>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</si>
  <si>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</si>
  <si>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</si>
  <si>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</si>
  <si>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</si>
  <si>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</si>
  <si>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</si>
  <si>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</si>
  <si>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</si>
  <si>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</si>
  <si>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</si>
  <si>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</si>
  <si>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</si>
  <si>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</si>
  <si>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</si>
  <si>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</si>
  <si>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</si>
  <si>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</si>
  <si>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</si>
  <si>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</si>
  <si>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</si>
  <si>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</si>
  <si>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</si>
  <si>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</si>
  <si>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</si>
  <si>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</si>
  <si>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</si>
  <si>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</si>
  <si>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</si>
  <si>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</si>
  <si>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</si>
  <si>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</si>
  <si>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</si>
  <si>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</si>
  <si>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</si>
  <si>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</si>
  <si>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</si>
  <si>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</si>
  <si>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</si>
  <si>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</si>
  <si>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</si>
  <si>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</si>
  <si>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</si>
  <si>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</si>
  <si>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</si>
  <si>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</si>
  <si>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</si>
  <si>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</si>
  <si>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</si>
  <si>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</si>
  <si>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</si>
  <si>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</si>
  <si>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</si>
  <si>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</si>
  <si>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</si>
  <si>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</si>
  <si>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</si>
  <si>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</si>
  <si>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</si>
  <si>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</si>
  <si>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</si>
  <si>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</si>
  <si>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</si>
  <si>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</si>
  <si>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</si>
  <si>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</si>
  <si>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</si>
  <si>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</si>
  <si>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</si>
  <si>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</si>
  <si>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</si>
  <si>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</si>
  <si>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</si>
  <si>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</si>
  <si>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</si>
  <si>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</si>
  <si>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</si>
  <si>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</si>
  <si>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</si>
  <si>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</si>
  <si>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</si>
  <si>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</si>
  <si>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</si>
  <si>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</si>
  <si>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</si>
  <si>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</si>
  <si>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</si>
  <si>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</si>
  <si>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</si>
  <si>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</si>
  <si>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</si>
  <si>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</si>
  <si>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</si>
  <si>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</si>
  <si>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</si>
  <si>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</si>
  <si>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</si>
  <si>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</si>
  <si>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</si>
  <si>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</si>
  <si>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</si>
  <si>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</si>
  <si>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</si>
  <si>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</si>
  <si>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</si>
  <si>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</si>
  <si>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</si>
  <si>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</si>
  <si>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</si>
  <si>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</si>
  <si>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</si>
  <si>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</si>
  <si>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</si>
  <si>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</si>
  <si>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</si>
  <si>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</si>
  <si>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</si>
  <si>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</si>
  <si>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</si>
  <si>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</si>
  <si>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</si>
  <si>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</si>
  <si>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</si>
  <si>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</si>
  <si>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</si>
  <si>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</si>
  <si>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</si>
  <si>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</si>
  <si>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</si>
  <si>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</si>
  <si>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</si>
  <si>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</si>
  <si>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</si>
  <si>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</si>
  <si>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</si>
  <si>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</si>
  <si>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</si>
  <si>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</si>
  <si>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</si>
  <si>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</si>
  <si>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</si>
  <si>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</si>
  <si>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</si>
  <si>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</si>
  <si>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</si>
  <si>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</si>
  <si>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</si>
  <si>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</si>
  <si>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</si>
  <si>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</si>
  <si>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</si>
  <si>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</si>
  <si>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</si>
  <si>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</si>
  <si>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</si>
  <si>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</si>
  <si>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</si>
  <si>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</si>
  <si>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</si>
  <si>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</si>
  <si>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</si>
  <si>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</si>
  <si>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</si>
  <si>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</si>
  <si>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</si>
  <si>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</si>
  <si>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</si>
  <si>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</si>
  <si>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</si>
  <si>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</si>
  <si>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</si>
  <si>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</si>
  <si>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</si>
  <si>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</si>
  <si>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</si>
  <si>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</si>
  <si>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</si>
  <si>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</si>
  <si>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</si>
  <si>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</si>
  <si>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</si>
  <si>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</si>
  <si>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</si>
  <si>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</si>
  <si>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</si>
  <si>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</si>
  <si>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</si>
  <si>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</si>
  <si>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</si>
  <si>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</si>
  <si>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</si>
  <si>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</si>
  <si>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</si>
  <si>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</si>
  <si>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</si>
  <si>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</si>
  <si>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</si>
  <si>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</si>
  <si>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</si>
  <si>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</si>
  <si>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</si>
  <si>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</si>
  <si>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</si>
  <si>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</si>
  <si>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</si>
  <si>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</si>
  <si>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</si>
  <si>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</si>
  <si>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</si>
  <si>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</si>
  <si>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</si>
  <si>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</si>
  <si>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</si>
  <si>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</si>
  <si>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</si>
  <si>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</si>
  <si>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</si>
  <si>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</si>
  <si>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</si>
  <si>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</si>
  <si>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</si>
  <si>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</si>
  <si>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</si>
  <si>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</si>
  <si>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</si>
  <si>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</si>
  <si>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</si>
  <si>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</si>
  <si>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</si>
  <si>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</si>
  <si>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</si>
  <si>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</si>
  <si>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</si>
  <si>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</si>
  <si>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</si>
  <si>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</si>
  <si>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</si>
  <si>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</si>
  <si>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</si>
  <si>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</si>
  <si>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</si>
  <si>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</si>
  <si>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</si>
  <si>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</si>
  <si>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</si>
  <si>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</si>
  <si>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</si>
  <si>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</si>
  <si>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</si>
  <si>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</si>
  <si>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</si>
  <si>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</si>
  <si>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</si>
  <si>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</si>
  <si>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</si>
  <si>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</si>
  <si>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</si>
  <si>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</si>
  <si>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</si>
  <si>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</si>
  <si>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</si>
  <si>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</si>
  <si>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</si>
  <si>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</si>
  <si>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</si>
  <si>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</si>
  <si>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</si>
  <si>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</si>
  <si>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</si>
  <si>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</si>
  <si>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</si>
  <si>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</si>
  <si>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</si>
  <si>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</si>
  <si>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</si>
  <si>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</si>
  <si>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</si>
  <si>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</si>
  <si>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</si>
  <si>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</si>
  <si>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</si>
  <si>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</si>
  <si>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</si>
  <si>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</si>
  <si>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</si>
  <si>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</si>
  <si>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</si>
  <si>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</si>
  <si>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</si>
  <si>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</si>
  <si>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</si>
  <si>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</si>
  <si>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</si>
  <si>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</si>
  <si>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</si>
  <si>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</si>
  <si>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</si>
  <si>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</si>
  <si>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</si>
  <si>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</si>
  <si>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</si>
  <si>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</si>
  <si>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</si>
  <si>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</si>
  <si>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</si>
  <si>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</si>
  <si>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</si>
  <si>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</si>
  <si>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</si>
  <si>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</si>
  <si>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</si>
  <si>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</si>
  <si>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</si>
  <si>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</si>
  <si>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</si>
  <si>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</si>
  <si>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</si>
  <si>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</si>
  <si>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</si>
  <si>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</si>
  <si>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</si>
  <si>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</si>
  <si>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</si>
  <si>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</si>
  <si>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</si>
  <si>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</si>
  <si>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</si>
  <si>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</si>
  <si>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</si>
  <si>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</si>
  <si>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</si>
  <si>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</si>
  <si>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</si>
  <si>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</si>
  <si>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</si>
  <si>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</si>
  <si>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</si>
  <si>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</si>
  <si>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</si>
  <si>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</si>
  <si>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</si>
  <si>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</si>
  <si>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</si>
  <si>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</si>
  <si>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</si>
  <si>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</si>
  <si>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</si>
  <si>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</si>
  <si>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</si>
  <si>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</si>
  <si>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</si>
  <si>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</si>
  <si>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</si>
  <si>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</si>
  <si>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</si>
  <si>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</si>
  <si>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</si>
  <si>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</si>
  <si>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</si>
  <si>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</si>
  <si>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</si>
  <si>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</si>
  <si>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</si>
  <si>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</si>
  <si>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</si>
  <si>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</si>
  <si>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</si>
  <si>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</si>
  <si>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</si>
  <si>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</si>
  <si>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</si>
  <si>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</si>
  <si>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</si>
  <si>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</si>
  <si>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</si>
  <si>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</si>
  <si>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</si>
  <si>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</si>
  <si>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</si>
  <si>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</si>
  <si>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</si>
  <si>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</si>
  <si>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</si>
  <si>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</si>
  <si>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</si>
  <si>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</si>
  <si>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</si>
  <si>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</si>
  <si>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</si>
  <si>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</si>
  <si>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</si>
  <si>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</si>
  <si>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</si>
  <si>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</si>
  <si>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</si>
  <si>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</si>
  <si>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</si>
  <si>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</si>
  <si>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</si>
  <si>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</si>
  <si>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</si>
  <si>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</si>
  <si>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</si>
  <si>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</si>
  <si>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</si>
  <si>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</si>
  <si>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</si>
  <si>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</si>
  <si>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</si>
  <si>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</si>
  <si>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</si>
  <si>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</si>
  <si>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</si>
  <si>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</si>
  <si>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</si>
  <si>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</si>
  <si>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</si>
  <si>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</si>
  <si>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</si>
  <si>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</si>
  <si>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</si>
  <si>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</si>
  <si>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</si>
  <si>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</si>
  <si>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</si>
  <si>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</si>
  <si>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</si>
  <si>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</si>
  <si>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</si>
  <si>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</si>
  <si>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</si>
  <si>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</si>
  <si>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</si>
  <si>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</si>
  <si>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</si>
  <si>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</si>
  <si>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</si>
  <si>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</si>
  <si>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</si>
  <si>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</si>
  <si>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</si>
  <si>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</si>
  <si>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</si>
  <si>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</si>
  <si>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</si>
  <si>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</si>
  <si>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</si>
  <si>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</si>
  <si>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</si>
  <si>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</si>
  <si>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</si>
  <si>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</si>
  <si>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</si>
  <si>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</si>
  <si>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</si>
  <si>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</si>
  <si>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</si>
  <si>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</si>
  <si>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</si>
  <si>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</si>
  <si>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</si>
  <si>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</si>
  <si>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</si>
  <si>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</si>
  <si>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</si>
  <si>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</si>
  <si>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</si>
  <si>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</si>
  <si>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</si>
  <si>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</si>
  <si>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</si>
  <si>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</si>
  <si>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</si>
  <si>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</si>
  <si>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</si>
  <si>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</si>
  <si>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</si>
  <si>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</si>
  <si>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</si>
  <si>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</si>
  <si>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</si>
  <si>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</si>
  <si>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</si>
  <si>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</si>
  <si>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</si>
  <si>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</si>
  <si>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</si>
  <si>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</si>
  <si>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</si>
  <si>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</si>
  <si>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</si>
  <si>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</si>
  <si>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</si>
  <si>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</si>
  <si>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</si>
  <si>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</si>
  <si>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</si>
  <si>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</si>
  <si>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</si>
  <si>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</si>
  <si>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</si>
  <si>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</si>
  <si>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</si>
  <si>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</si>
  <si>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</si>
  <si>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</si>
  <si>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</si>
  <si>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</si>
  <si>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</si>
  <si>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</si>
  <si>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</si>
  <si>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</si>
  <si>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</si>
  <si>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</si>
  <si>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</si>
  <si>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</si>
  <si>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</si>
  <si>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</si>
  <si>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</si>
  <si>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</si>
  <si>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</si>
  <si>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</si>
  <si>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</si>
  <si>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</si>
  <si>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</si>
  <si>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</si>
  <si>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</si>
  <si>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</si>
  <si>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</si>
  <si>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</si>
  <si>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</si>
  <si>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</si>
  <si>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</si>
  <si>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</si>
  <si>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</si>
  <si>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</si>
  <si>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</si>
  <si>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</si>
  <si>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</si>
  <si>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</si>
  <si>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</si>
  <si>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</si>
  <si>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</si>
  <si>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</si>
  <si>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</si>
  <si>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</si>
  <si>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</si>
  <si>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</si>
  <si>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</si>
  <si>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</si>
  <si>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</si>
  <si>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</si>
  <si>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</si>
  <si>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</si>
  <si>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</si>
  <si>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</si>
  <si>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</si>
  <si>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</si>
  <si>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</si>
  <si>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</si>
  <si>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</si>
  <si>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</si>
  <si>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</si>
  <si>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</si>
  <si>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</si>
  <si>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</si>
  <si>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</si>
  <si>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</si>
  <si>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</si>
  <si>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</si>
  <si>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</si>
  <si>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</si>
  <si>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</si>
  <si>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</si>
  <si>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</si>
  <si>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</si>
  <si>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</si>
  <si>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</si>
  <si>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</si>
  <si>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</si>
  <si>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</si>
  <si>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</si>
  <si>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</si>
  <si>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</si>
  <si>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</si>
  <si>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</si>
  <si>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</si>
  <si>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</si>
  <si>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</si>
  <si>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</si>
  <si>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</si>
  <si>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</si>
  <si>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</si>
  <si>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</si>
  <si>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</si>
  <si>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</si>
  <si>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</si>
  <si>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</si>
  <si>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</si>
  <si>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</si>
  <si>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</si>
  <si>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</si>
  <si>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</si>
  <si>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</si>
  <si>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</si>
  <si>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</si>
  <si>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</si>
  <si>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</si>
  <si>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</si>
  <si>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</si>
  <si>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</si>
  <si>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</si>
  <si>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</si>
  <si>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</si>
  <si>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</si>
  <si>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</si>
  <si>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</si>
  <si>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</si>
  <si>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</si>
  <si>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</si>
  <si>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</si>
  <si>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</si>
  <si>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</si>
  <si>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</si>
  <si>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</si>
  <si>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</si>
  <si>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</si>
  <si>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</si>
  <si>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</si>
  <si>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</si>
  <si>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</si>
  <si>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</si>
  <si>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</si>
  <si>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</si>
  <si>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</si>
  <si>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</si>
  <si>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</si>
  <si>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</si>
  <si>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</si>
  <si>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</si>
  <si>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</si>
  <si>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</si>
  <si>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</si>
  <si>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</si>
  <si>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</si>
  <si>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</si>
  <si>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</si>
  <si>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</si>
  <si>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</si>
  <si>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</si>
  <si>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</si>
  <si>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</si>
  <si>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</si>
  <si>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</si>
  <si>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</si>
  <si>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</si>
  <si>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</si>
  <si>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</si>
  <si>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</si>
  <si>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</si>
  <si>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</si>
  <si>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</si>
  <si>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</si>
  <si>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</si>
  <si>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</si>
  <si>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</si>
  <si>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</si>
  <si>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</si>
  <si>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</si>
  <si>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</si>
  <si>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</si>
  <si>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</si>
  <si>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</si>
  <si>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</si>
  <si>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</si>
  <si>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</si>
  <si>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</si>
  <si>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</si>
  <si>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</si>
  <si>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</si>
  <si>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</si>
  <si>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</si>
  <si>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</si>
  <si>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</si>
  <si>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</si>
  <si>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</si>
  <si>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</si>
  <si>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</si>
  <si>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</si>
  <si>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</si>
  <si>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</si>
  <si>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</si>
  <si>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</si>
  <si>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</si>
  <si>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</si>
  <si>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</si>
  <si>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</si>
  <si>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</si>
  <si>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</si>
  <si>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</si>
  <si>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</si>
  <si>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</si>
  <si>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</si>
  <si>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</si>
  <si>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</si>
  <si>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</si>
  <si>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</si>
  <si>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</si>
  <si>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</si>
  <si>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</si>
  <si>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</si>
  <si>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</si>
  <si>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</si>
  <si>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</si>
  <si>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</si>
  <si>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</si>
  <si>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</si>
  <si>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</si>
  <si>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</si>
  <si>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</si>
  <si>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</si>
  <si>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</si>
  <si>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</si>
  <si>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</si>
  <si>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</si>
  <si>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</si>
  <si>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</si>
  <si>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</si>
  <si>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</si>
  <si>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</si>
  <si>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</si>
  <si>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</si>
  <si>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</si>
  <si>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</si>
  <si>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</si>
  <si>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</si>
  <si>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</si>
  <si>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</si>
  <si>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</si>
  <si>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</si>
  <si>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</si>
  <si>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</si>
  <si>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</si>
  <si>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</si>
  <si>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</si>
  <si>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</si>
  <si>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</si>
  <si>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</si>
  <si>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</si>
  <si>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</si>
  <si>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</si>
  <si>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</si>
  <si>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</si>
  <si>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</si>
  <si>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</si>
  <si>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</si>
  <si>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</si>
  <si>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</si>
  <si>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</si>
  <si>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</si>
  <si>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</si>
  <si>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</si>
  <si>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</si>
  <si>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</si>
  <si>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</si>
  <si>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</si>
  <si>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</si>
  <si>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</si>
  <si>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</si>
  <si>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</si>
  <si>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</si>
  <si>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</si>
  <si>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</si>
  <si>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</si>
  <si>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</si>
  <si>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</si>
  <si>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</si>
  <si>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</si>
  <si>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</si>
  <si>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</si>
  <si>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</si>
  <si>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</si>
  <si>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</si>
  <si>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</si>
  <si>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</si>
  <si>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</si>
  <si>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</si>
  <si>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</si>
  <si>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</si>
  <si>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</si>
  <si>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</si>
  <si>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</si>
  <si>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</si>
  <si>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</si>
  <si>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</si>
  <si>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</si>
  <si>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</si>
  <si>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</si>
  <si>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</si>
  <si>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</si>
  <si>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</si>
  <si>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</si>
  <si>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</si>
  <si>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</si>
  <si>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</si>
  <si>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</si>
  <si>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</si>
  <si>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</si>
  <si>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</si>
  <si>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</si>
  <si>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</si>
  <si>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</si>
  <si>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</si>
  <si>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</si>
  <si>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</si>
  <si>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</si>
  <si>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</si>
  <si>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</si>
  <si>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</si>
  <si>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</si>
  <si>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</si>
  <si>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</si>
  <si>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</si>
  <si>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</si>
  <si>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</si>
  <si>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</si>
  <si>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</si>
  <si>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</si>
  <si>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</si>
  <si>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</si>
  <si>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</si>
  <si>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</si>
  <si>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</si>
  <si>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</si>
  <si>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</si>
  <si>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</si>
  <si>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</si>
  <si>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</si>
  <si>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</si>
  <si>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</si>
  <si>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</si>
  <si>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</si>
  <si>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</si>
  <si>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</si>
  <si>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</si>
  <si>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</si>
  <si>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</si>
  <si>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</si>
  <si>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</si>
  <si>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</si>
  <si>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</si>
  <si>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</si>
  <si>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</si>
  <si>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</si>
  <si>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</si>
  <si>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</si>
  <si>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</si>
  <si>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</si>
  <si>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</si>
  <si>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</si>
  <si>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</si>
  <si>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</si>
  <si>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</si>
  <si>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</si>
  <si>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</si>
  <si>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</si>
  <si>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</si>
  <si>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</si>
  <si>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</si>
  <si>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</si>
  <si>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</si>
  <si>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</si>
  <si>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</si>
  <si>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</si>
  <si>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</si>
  <si>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</si>
  <si>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</si>
  <si>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</si>
  <si>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</si>
  <si>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</si>
  <si>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</si>
  <si>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</si>
  <si>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</si>
  <si>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</si>
  <si>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</si>
  <si>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</si>
  <si>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</si>
  <si>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</si>
  <si>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</si>
  <si>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</si>
  <si>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</si>
  <si>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</si>
  <si>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</si>
  <si>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</si>
  <si>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</si>
  <si>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</si>
  <si>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</si>
  <si>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</si>
  <si>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</si>
  <si>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</si>
  <si>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</si>
  <si>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</si>
  <si>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</si>
  <si>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</si>
  <si>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</si>
  <si>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</si>
  <si>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</si>
  <si>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</si>
  <si>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</si>
  <si>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</si>
  <si>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</si>
  <si>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</si>
  <si>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</si>
  <si>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</si>
  <si>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</si>
  <si>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</si>
  <si>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</si>
  <si>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</si>
  <si>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</si>
  <si>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</si>
  <si>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</si>
  <si>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</si>
  <si>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</si>
  <si>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</si>
  <si>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</si>
  <si>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</si>
  <si>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</si>
  <si>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</si>
  <si>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</si>
  <si>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</si>
  <si>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</si>
  <si>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</si>
  <si>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</si>
  <si>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</si>
  <si>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</si>
  <si>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</si>
  <si>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</si>
  <si>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</si>
  <si>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</si>
  <si>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</si>
  <si>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</si>
  <si>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</si>
  <si>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</si>
  <si>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</si>
  <si>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</si>
  <si>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</si>
  <si>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</si>
  <si>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</si>
  <si>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</si>
  <si>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</si>
  <si>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</si>
  <si>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</si>
  <si>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</si>
  <si>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</si>
  <si>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</si>
  <si>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</si>
  <si>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</si>
  <si>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</si>
  <si>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</si>
  <si>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</si>
  <si>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</si>
  <si>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</si>
  <si>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</si>
  <si>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</si>
  <si>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</si>
  <si>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</si>
  <si>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</si>
  <si>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</si>
  <si>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</si>
  <si>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</si>
  <si>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</si>
  <si>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</si>
  <si>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</si>
  <si>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</si>
  <si>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</si>
  <si>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</si>
  <si>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</si>
  <si>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</si>
  <si>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</si>
  <si>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</si>
  <si>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</si>
  <si>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</si>
  <si>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</si>
  <si>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</si>
  <si>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</si>
  <si>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Приложение № 2</t>
  </si>
  <si>
    <t>Субсидия бюджетам городских округов на поддержку отрасли культуры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</si>
  <si>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</si>
  <si>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</si>
  <si>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</si>
  <si>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</si>
  <si>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</si>
  <si>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</si>
  <si>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</si>
  <si>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</si>
  <si>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</si>
  <si>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2017 года</t>
  </si>
  <si>
    <t>51 2 00 L4970</t>
  </si>
  <si>
    <t>65 0 00 L5550</t>
  </si>
  <si>
    <t>58 2 00 L5190</t>
  </si>
  <si>
    <t>58 3 00 20020</t>
  </si>
  <si>
    <t>Мероприятия в рамках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</si>
  <si>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68 2 00 61090</t>
  </si>
  <si>
    <t>68 3 00 S1090</t>
  </si>
  <si>
    <t>Субсидии бюджетам городских округов на реализацию мероприятий в рамках подпрограммы «Государственная поддержка коммунального хозяйства Магаданской области» на 2016-2020 годы»» государственной программы Магаданской области «Обеспечение доступным и комфортным жильём жителей Магаданской области» на 2014-2020 годы»</t>
  </si>
  <si>
    <t>350</t>
  </si>
  <si>
    <t>Премии и гранты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</si>
  <si>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</si>
  <si>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Дотации на выравнивание бюджетной обеспеченности</t>
  </si>
  <si>
    <t>2 02 15001 00 0000 151</t>
  </si>
  <si>
    <t>2 02 15000 00 0000 151</t>
  </si>
  <si>
    <t>Дотации бюджетам на поддержку мер по обеспечению сбалансированности бюджетов</t>
  </si>
  <si>
    <t>Приложение № 7</t>
  </si>
  <si>
    <t xml:space="preserve">Исполнено за  2018 год, тыс.руб. </t>
  </si>
  <si>
    <t>Процент исполнения, %</t>
  </si>
  <si>
    <t xml:space="preserve"> </t>
  </si>
  <si>
    <t>План на 2018 год, тыс.руб.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</si>
  <si>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 2018 год</t>
  </si>
  <si>
    <t>План на 2018 год , тыс.руб.</t>
  </si>
  <si>
    <t>Исполнение за 2018 год, тыс.руб.</t>
  </si>
  <si>
    <t>% исполнения плана</t>
  </si>
  <si>
    <t>-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</si>
  <si>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</si>
  <si>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</si>
  <si>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1 08 07150 01 0000 110</t>
  </si>
  <si>
    <t>Государственная пошлина за выдачу разрешения на установку рекламной конструкции</t>
  </si>
  <si>
    <t>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</si>
  <si>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</si>
  <si>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219 00000 04 0000 151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</si>
  <si>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</si>
  <si>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219 60010 04 0000 151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</si>
  <si>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</si>
  <si>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Исполнение распределения расходов </t>
  </si>
  <si>
    <t xml:space="preserve"> классификации расходов бюджетов Российской Федерации за  2018 год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</si>
  <si>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округа, за 2018 год</t>
  </si>
  <si>
    <t>Исполнение источников внутреннего финансирования дефицита</t>
  </si>
  <si>
    <t>бюджета Омсукчанского городского округа  за 2018 год</t>
  </si>
  <si>
    <t>Процент исполнения</t>
  </si>
  <si>
    <t>Исполнение распределения ассигнований из бюджета Омсукчанского городского округа за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</si>
  <si>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% исполнения</t>
  </si>
  <si>
    <t xml:space="preserve">Исполнение ведомственной  структуры расходов бюджета Омсукчанского городского округа за 2018 год </t>
  </si>
  <si>
    <t>Исполнено за 2018 год, тыс.руб.</t>
  </si>
  <si>
    <t>Исполнение плана поступления доходов бюджета</t>
  </si>
  <si>
    <t>Омсукчанского городского огруга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</si>
</sst>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rgb="FF008000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9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8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" fontId="2" fillId="0" borderId="1" xfId="2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vertical="top" wrapText="1"/>
    </xf>
    <xf numFmtId="0" fontId="34" fillId="0" borderId="0" xfId="0" applyFont="1"/>
    <xf numFmtId="165" fontId="28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34" fillId="0" borderId="0" xfId="0" applyNumberFormat="1" applyFont="1" applyFill="1"/>
    <xf numFmtId="165" fontId="34" fillId="0" borderId="0" xfId="0" applyNumberFormat="1" applyFont="1" applyFill="1"/>
    <xf numFmtId="165" fontId="13" fillId="0" borderId="1" xfId="20" applyNumberFormat="1" applyFont="1" applyFill="1" applyBorder="1" applyAlignment="1">
      <alignment horizontal="center" vertical="center"/>
      <protection/>
    </xf>
    <xf numFmtId="0" fontId="34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165" fontId="2" fillId="0" borderId="8" xfId="20" applyNumberFormat="1" applyFont="1" applyFill="1" applyBorder="1" applyAlignment="1">
      <alignment horizontal="center" vertical="center"/>
      <protection/>
    </xf>
    <xf numFmtId="165" fontId="2" fillId="9" borderId="0" xfId="20" applyNumberFormat="1" applyFont="1" applyFill="1" applyBorder="1" applyAlignment="1">
      <alignment horizontal="center" vertical="center"/>
      <protection/>
    </xf>
    <xf numFmtId="49" fontId="17" fillId="0" borderId="8" xfId="20" applyNumberFormat="1" applyFont="1" applyFill="1" applyBorder="1" applyAlignment="1">
      <alignment horizontal="center" vertical="center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49" fontId="17" fillId="0" borderId="8" xfId="20" applyNumberFormat="1" applyFont="1" applyFill="1" applyBorder="1" applyAlignment="1">
      <alignment horizontal="left" vertical="center"/>
      <protection/>
    </xf>
    <xf numFmtId="0" fontId="25" fillId="0" borderId="0" xfId="0" applyFont="1" applyFill="1" applyBorder="1"/>
    <xf numFmtId="165" fontId="25" fillId="0" borderId="0" xfId="0" applyNumberFormat="1" applyFont="1" applyFill="1" applyBorder="1"/>
    <xf numFmtId="0" fontId="25" fillId="10" borderId="0" xfId="0" applyFont="1" applyFill="1" applyBorder="1"/>
    <xf numFmtId="0" fontId="25" fillId="0" borderId="0" xfId="0" applyFont="1" applyFill="1" applyAlignment="1">
      <alignment horizontal="left"/>
    </xf>
    <xf numFmtId="2" fontId="25" fillId="0" borderId="0" xfId="0" applyNumberFormat="1" applyFont="1" applyFill="1"/>
    <xf numFmtId="4" fontId="25" fillId="0" borderId="0" xfId="0" applyNumberFormat="1" applyFont="1" applyFill="1" applyBorder="1"/>
    <xf numFmtId="2" fontId="25" fillId="0" borderId="0" xfId="0" applyNumberFormat="1" applyFont="1" applyFill="1" applyBorder="1"/>
    <xf numFmtId="4" fontId="25" fillId="0" borderId="0" xfId="0" applyNumberFormat="1" applyFont="1" applyFill="1"/>
    <xf numFmtId="165" fontId="17" fillId="0" borderId="8" xfId="20" applyNumberFormat="1" applyFont="1" applyFill="1" applyBorder="1" applyAlignment="1">
      <alignment horizontal="left" vertical="center" wrapText="1"/>
      <protection/>
    </xf>
    <xf numFmtId="49" fontId="17" fillId="0" borderId="0" xfId="20" applyNumberFormat="1" applyFont="1" applyFill="1" applyBorder="1" applyAlignment="1">
      <alignment horizontal="left" vertical="center"/>
      <protection/>
    </xf>
    <xf numFmtId="165" fontId="17" fillId="0" borderId="0" xfId="20" applyNumberFormat="1" applyFont="1" applyFill="1" applyBorder="1" applyAlignment="1">
      <alignment horizontal="left" vertical="center" wrapText="1"/>
      <protection/>
    </xf>
    <xf numFmtId="49" fontId="18" fillId="0" borderId="8" xfId="20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25" fillId="11" borderId="0" xfId="0" applyFont="1" applyFill="1" applyBorder="1"/>
    <xf numFmtId="0" fontId="25" fillId="0" borderId="0" xfId="0" applyFont="1" applyFill="1" applyBorder="1" applyAlignment="1">
      <alignment vertical="top"/>
    </xf>
    <xf numFmtId="4" fontId="1" fillId="0" borderId="0" xfId="20" applyNumberFormat="1" applyFill="1">
      <alignment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165" fontId="18" fillId="0" borderId="8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/>
    </xf>
    <xf numFmtId="0" fontId="25" fillId="9" borderId="0" xfId="0" applyFont="1" applyFill="1" applyBorder="1"/>
    <xf numFmtId="0" fontId="36" fillId="0" borderId="0" xfId="0" applyFont="1" applyFill="1" applyBorder="1"/>
    <xf numFmtId="0" fontId="35" fillId="0" borderId="0" xfId="0" applyFont="1" applyFill="1" applyBorder="1"/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25" fillId="11" borderId="0" xfId="0" applyNumberFormat="1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wrapText="1"/>
    </xf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165" fontId="11" fillId="0" borderId="1" xfId="20" applyNumberFormat="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/>
    </xf>
    <xf numFmtId="165" fontId="2" fillId="3" borderId="1" xfId="20" applyNumberFormat="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165" fontId="12" fillId="0" borderId="1" xfId="20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20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9" fontId="13" fillId="0" borderId="1" xfId="20" applyNumberFormat="1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" xfId="20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20" applyFont="1" applyFill="1" applyAlignment="1">
      <alignment horizontal="left" vertical="center" wrapText="1"/>
      <protection/>
    </xf>
    <xf numFmtId="165" fontId="13" fillId="0" borderId="1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2" fillId="0" borderId="1" xfId="0" applyFont="1" applyFill="1" applyBorder="1"/>
    <xf numFmtId="0" fontId="13" fillId="0" borderId="0" xfId="20" applyFont="1" applyFill="1" applyAlignment="1">
      <alignment vertical="center" wrapText="1"/>
      <protection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" xfId="20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  <xf numFmtId="49" fontId="12" fillId="0" borderId="1" xfId="20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165" fontId="12" fillId="0" borderId="1" xfId="0" applyNumberFormat="1" applyFont="1" applyFill="1" applyBorder="1" applyAlignment="1">
      <alignment horizontal="center"/>
    </xf>
    <xf numFmtId="49" fontId="2" fillId="0" borderId="16" xfId="20" applyNumberFormat="1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37" fillId="0" borderId="0" xfId="0" applyFont="1"/>
    <xf numFmtId="0" fontId="13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view="pageBreakPreview" zoomScale="90" zoomScaleSheetLayoutView="90" workbookViewId="0" topLeftCell="A1">
      <selection activeCell="J1" sqref="J1:J2"/>
    </sheetView>
  </sheetViews>
  <sheetFormatPr defaultColWidth="9.140625" defaultRowHeight="15"/>
  <cols>
    <col min="1" max="1" width="25.140625" style="155" customWidth="1"/>
    <col min="2" max="2" width="77.57421875" style="155" customWidth="1"/>
    <col min="3" max="8" width="15.421875" style="155" hidden="1" customWidth="1"/>
    <col min="9" max="9" width="15.28125" style="155" customWidth="1"/>
    <col min="10" max="10" width="12.7109375" style="155" customWidth="1"/>
    <col min="11" max="11" width="12.57421875" style="155" customWidth="1"/>
    <col min="12" max="12" width="11.8515625" style="155" customWidth="1"/>
    <col min="13" max="13" width="12.57421875" style="155" customWidth="1"/>
    <col min="14" max="14" width="11.8515625" style="155" customWidth="1"/>
    <col min="15" max="15" width="15.00390625" style="155" customWidth="1"/>
    <col min="16" max="16" width="15.8515625" style="155" customWidth="1"/>
    <col min="17" max="17" width="9.140625" style="155" customWidth="1"/>
    <col min="18" max="18" width="17.00390625" style="155" customWidth="1"/>
    <col min="19" max="16384" width="9.140625" style="155" customWidth="1"/>
  </cols>
  <sheetData>
    <row r="1" spans="8:10" ht="18.75">
      <c r="H1" s="218"/>
      <c r="I1" s="261"/>
      <c r="J1" s="379" t="s">
        <v>0</v>
      </c>
    </row>
    <row r="2" spans="8:10" ht="18.75">
      <c r="H2" s="218"/>
      <c r="I2" s="261"/>
      <c r="J2" s="379" t="s">
        <v>1</v>
      </c>
    </row>
    <row r="3" spans="8:11" ht="18.75">
      <c r="H3" s="218"/>
      <c r="I3" s="261"/>
      <c r="J3" s="261"/>
      <c r="K3" s="261"/>
    </row>
    <row r="4" spans="2:11" ht="15.75"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8.75">
      <c r="A5" s="387" t="s">
        <v>1072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11" ht="18.75">
      <c r="A6" s="387" t="s">
        <v>1073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15.75">
      <c r="A7" s="158"/>
      <c r="B7" s="158"/>
      <c r="C7" s="216"/>
      <c r="D7" s="216"/>
      <c r="E7" s="216"/>
      <c r="F7" s="216"/>
      <c r="G7" s="216"/>
      <c r="H7" s="216"/>
      <c r="I7" s="156"/>
      <c r="J7" s="156"/>
      <c r="K7" s="156"/>
    </row>
    <row r="8" spans="1:11" ht="63">
      <c r="A8" s="159" t="s">
        <v>3</v>
      </c>
      <c r="B8" s="160" t="s">
        <v>4</v>
      </c>
      <c r="C8" s="217" t="s">
        <v>5</v>
      </c>
      <c r="D8" s="217" t="s">
        <v>877</v>
      </c>
      <c r="E8" s="217" t="s">
        <v>856</v>
      </c>
      <c r="F8" s="217" t="s">
        <v>876</v>
      </c>
      <c r="G8" s="217" t="s">
        <v>873</v>
      </c>
      <c r="H8" s="217" t="s">
        <v>874</v>
      </c>
      <c r="I8" s="321" t="s">
        <v>1046</v>
      </c>
      <c r="J8" s="321" t="s">
        <v>1049</v>
      </c>
      <c r="K8" s="321" t="s">
        <v>1050</v>
      </c>
    </row>
    <row r="9" spans="1:16" ht="15.75">
      <c r="A9" s="159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0">
        <v>8</v>
      </c>
      <c r="I9" s="321">
        <v>3</v>
      </c>
      <c r="J9" s="321">
        <v>3</v>
      </c>
      <c r="K9" s="321">
        <v>3</v>
      </c>
      <c r="P9" s="140"/>
    </row>
    <row r="10" spans="1:16" ht="18.75">
      <c r="A10" s="161" t="s">
        <v>6</v>
      </c>
      <c r="B10" s="162" t="s">
        <v>7</v>
      </c>
      <c r="C10" s="231">
        <f aca="true" t="shared" si="0" ref="C10:J10">C11+C17+C23+C33+C39+C46+C52+C59+C64+C69+C43+C86</f>
        <v>272834.3</v>
      </c>
      <c r="D10" s="231">
        <f t="shared" si="0"/>
        <v>208905.14299999998</v>
      </c>
      <c r="E10" s="231">
        <f t="shared" si="0"/>
        <v>264415.23333333334</v>
      </c>
      <c r="F10" s="231">
        <f t="shared" si="0"/>
        <v>294509.2</v>
      </c>
      <c r="G10" s="231">
        <f t="shared" si="0"/>
        <v>307411.89999999997</v>
      </c>
      <c r="H10" s="231">
        <f t="shared" si="0"/>
        <v>320557.25</v>
      </c>
      <c r="I10" s="231">
        <f t="shared" si="0"/>
        <v>299696.2</v>
      </c>
      <c r="J10" s="231">
        <f t="shared" si="0"/>
        <v>288573.76330999995</v>
      </c>
      <c r="K10" s="231">
        <f aca="true" t="shared" si="1" ref="K10:K12">SUM(J10/I10)*100</f>
        <v>96.2887628571867</v>
      </c>
      <c r="M10" s="140"/>
      <c r="P10" s="140"/>
    </row>
    <row r="11" spans="1:16" ht="18.75">
      <c r="A11" s="163" t="s">
        <v>8</v>
      </c>
      <c r="B11" s="162" t="s">
        <v>9</v>
      </c>
      <c r="C11" s="231">
        <f>C12</f>
        <v>207151</v>
      </c>
      <c r="D11" s="231">
        <f aca="true" t="shared" si="2" ref="D11">D12</f>
        <v>150019.49999999997</v>
      </c>
      <c r="E11" s="231">
        <f>E12</f>
        <v>200105.63333333333</v>
      </c>
      <c r="F11" s="231">
        <f>F12</f>
        <v>231677</v>
      </c>
      <c r="G11" s="231">
        <f aca="true" t="shared" si="3" ref="G11:H11">G12</f>
        <v>243260.4</v>
      </c>
      <c r="H11" s="231">
        <f t="shared" si="3"/>
        <v>255423.75</v>
      </c>
      <c r="I11" s="231">
        <f>I12</f>
        <v>231654.7</v>
      </c>
      <c r="J11" s="231">
        <f aca="true" t="shared" si="4" ref="J11">J12</f>
        <v>211805.92</v>
      </c>
      <c r="K11" s="231">
        <f t="shared" si="1"/>
        <v>91.4317387042007</v>
      </c>
      <c r="L11" s="140"/>
      <c r="M11" s="140"/>
      <c r="N11" s="140"/>
      <c r="O11" s="140"/>
      <c r="P11" s="140"/>
    </row>
    <row r="12" spans="1:16" ht="18.75">
      <c r="A12" s="164" t="s">
        <v>10</v>
      </c>
      <c r="B12" s="165" t="s">
        <v>11</v>
      </c>
      <c r="C12" s="231">
        <f>SUM(C13:C16)</f>
        <v>207151</v>
      </c>
      <c r="D12" s="231">
        <f aca="true" t="shared" si="5" ref="D12">SUM(D13:D16)</f>
        <v>150019.49999999997</v>
      </c>
      <c r="E12" s="231">
        <f>SUM(E13:E16)</f>
        <v>200105.63333333333</v>
      </c>
      <c r="F12" s="231">
        <f>SUM(F13:F16)</f>
        <v>231677</v>
      </c>
      <c r="G12" s="231">
        <f aca="true" t="shared" si="6" ref="G12:H12">SUM(G13:G16)</f>
        <v>243260.4</v>
      </c>
      <c r="H12" s="231">
        <f t="shared" si="6"/>
        <v>255423.75</v>
      </c>
      <c r="I12" s="231">
        <f>SUM(I13:I16)</f>
        <v>231654.7</v>
      </c>
      <c r="J12" s="231">
        <f aca="true" t="shared" si="7" ref="J12">SUM(J13:J16)</f>
        <v>211805.92</v>
      </c>
      <c r="K12" s="231">
        <f t="shared" si="1"/>
        <v>91.4317387042007</v>
      </c>
      <c r="L12" s="140"/>
      <c r="M12" s="140"/>
      <c r="N12" s="140"/>
      <c r="O12" s="140"/>
      <c r="P12" s="140"/>
    </row>
    <row r="13" spans="1:11" ht="63">
      <c r="A13" s="321" t="s">
        <v>12</v>
      </c>
      <c r="B13" s="166" t="s">
        <v>13</v>
      </c>
      <c r="C13" s="232">
        <f>216801-10000</f>
        <v>206801</v>
      </c>
      <c r="D13" s="232">
        <v>149524.9</v>
      </c>
      <c r="E13" s="232">
        <f>D13/9*12</f>
        <v>199366.53333333333</v>
      </c>
      <c r="F13" s="232">
        <v>231300</v>
      </c>
      <c r="G13" s="232">
        <f>F13*1.05</f>
        <v>242865</v>
      </c>
      <c r="H13" s="232">
        <f>G13*1.05</f>
        <v>255008.25</v>
      </c>
      <c r="I13" s="232">
        <v>231277.7</v>
      </c>
      <c r="J13" s="232">
        <v>211128.27</v>
      </c>
      <c r="K13" s="232">
        <f>SUM(J13/I13)*100</f>
        <v>91.28777655606225</v>
      </c>
    </row>
    <row r="14" spans="1:11" ht="94.5">
      <c r="A14" s="321" t="s">
        <v>14</v>
      </c>
      <c r="B14" s="168" t="s">
        <v>15</v>
      </c>
      <c r="C14" s="232">
        <v>2</v>
      </c>
      <c r="D14" s="232">
        <v>0.3</v>
      </c>
      <c r="E14" s="232">
        <v>0.5</v>
      </c>
      <c r="F14" s="232">
        <v>2</v>
      </c>
      <c r="G14" s="232">
        <v>2</v>
      </c>
      <c r="H14" s="232">
        <v>2</v>
      </c>
      <c r="I14" s="232">
        <v>2</v>
      </c>
      <c r="J14" s="232">
        <v>26.64</v>
      </c>
      <c r="K14" s="232">
        <f aca="true" t="shared" si="8" ref="K14:K78">SUM(J14/I14)*100</f>
        <v>1332</v>
      </c>
    </row>
    <row r="15" spans="1:11" ht="47.25">
      <c r="A15" s="321" t="s">
        <v>16</v>
      </c>
      <c r="B15" s="168" t="s">
        <v>17</v>
      </c>
      <c r="C15" s="232">
        <v>337</v>
      </c>
      <c r="D15" s="232">
        <v>494.3</v>
      </c>
      <c r="E15" s="232">
        <v>738.6</v>
      </c>
      <c r="F15" s="232">
        <v>369</v>
      </c>
      <c r="G15" s="232">
        <v>387.4</v>
      </c>
      <c r="H15" s="232">
        <v>407</v>
      </c>
      <c r="I15" s="232">
        <v>369</v>
      </c>
      <c r="J15" s="232">
        <v>613.29</v>
      </c>
      <c r="K15" s="232">
        <f t="shared" si="8"/>
        <v>166.2032520325203</v>
      </c>
    </row>
    <row r="16" spans="1:11" ht="78.75">
      <c r="A16" s="321" t="s">
        <v>18</v>
      </c>
      <c r="B16" s="168" t="s">
        <v>19</v>
      </c>
      <c r="C16" s="232">
        <v>11</v>
      </c>
      <c r="D16" s="232">
        <v>0</v>
      </c>
      <c r="E16" s="232">
        <v>0</v>
      </c>
      <c r="F16" s="232">
        <v>6</v>
      </c>
      <c r="G16" s="232">
        <v>6</v>
      </c>
      <c r="H16" s="232">
        <v>6.5</v>
      </c>
      <c r="I16" s="232">
        <v>6</v>
      </c>
      <c r="J16" s="232">
        <v>37.72</v>
      </c>
      <c r="K16" s="232">
        <f t="shared" si="8"/>
        <v>628.6666666666666</v>
      </c>
    </row>
    <row r="17" spans="1:11" ht="31.5">
      <c r="A17" s="169" t="s">
        <v>20</v>
      </c>
      <c r="B17" s="170" t="s">
        <v>21</v>
      </c>
      <c r="C17" s="231">
        <f>C18</f>
        <v>3358</v>
      </c>
      <c r="D17" s="231">
        <f>D18</f>
        <v>2843.589</v>
      </c>
      <c r="E17" s="231">
        <f>E18</f>
        <v>3120</v>
      </c>
      <c r="F17" s="231">
        <f>F18</f>
        <v>3510</v>
      </c>
      <c r="G17" s="231">
        <f aca="true" t="shared" si="9" ref="G17:H17">G18</f>
        <v>3951.3</v>
      </c>
      <c r="H17" s="231">
        <f t="shared" si="9"/>
        <v>3951.3</v>
      </c>
      <c r="I17" s="231">
        <f>I18</f>
        <v>4058.8</v>
      </c>
      <c r="J17" s="231">
        <f aca="true" t="shared" si="10" ref="J17">J18</f>
        <v>4109.27</v>
      </c>
      <c r="K17" s="231">
        <f t="shared" si="8"/>
        <v>101.24347097664335</v>
      </c>
    </row>
    <row r="18" spans="1:11" ht="31.5">
      <c r="A18" s="227" t="s">
        <v>22</v>
      </c>
      <c r="B18" s="228" t="s">
        <v>23</v>
      </c>
      <c r="C18" s="231">
        <f>SUM(C19:C22)</f>
        <v>3358</v>
      </c>
      <c r="D18" s="231">
        <f aca="true" t="shared" si="11" ref="D18:J18">SUM(D19:D22)</f>
        <v>2843.589</v>
      </c>
      <c r="E18" s="231">
        <f t="shared" si="11"/>
        <v>3120</v>
      </c>
      <c r="F18" s="231">
        <f t="shared" si="11"/>
        <v>3510</v>
      </c>
      <c r="G18" s="231">
        <f t="shared" si="11"/>
        <v>3951.3</v>
      </c>
      <c r="H18" s="231">
        <f t="shared" si="11"/>
        <v>3951.3</v>
      </c>
      <c r="I18" s="231">
        <f t="shared" si="11"/>
        <v>4058.8</v>
      </c>
      <c r="J18" s="231">
        <f t="shared" si="11"/>
        <v>4109.27</v>
      </c>
      <c r="K18" s="231">
        <f t="shared" si="8"/>
        <v>101.24347097664335</v>
      </c>
    </row>
    <row r="19" spans="1:11" ht="63">
      <c r="A19" s="171" t="s">
        <v>24</v>
      </c>
      <c r="B19" s="168" t="s">
        <v>25</v>
      </c>
      <c r="C19" s="232">
        <v>1191.5</v>
      </c>
      <c r="D19" s="232">
        <v>1149.8</v>
      </c>
      <c r="E19" s="232">
        <v>1191.5</v>
      </c>
      <c r="F19" s="232">
        <v>1138.3</v>
      </c>
      <c r="G19" s="232">
        <v>1277.2</v>
      </c>
      <c r="H19" s="232">
        <v>1277.2</v>
      </c>
      <c r="I19" s="232">
        <v>1611.7</v>
      </c>
      <c r="J19" s="232">
        <v>1830.95</v>
      </c>
      <c r="K19" s="232">
        <f t="shared" si="8"/>
        <v>113.60364832164795</v>
      </c>
    </row>
    <row r="20" spans="1:11" ht="78.75">
      <c r="A20" s="322" t="s">
        <v>26</v>
      </c>
      <c r="B20" s="168" t="s">
        <v>27</v>
      </c>
      <c r="C20" s="232">
        <v>18.1</v>
      </c>
      <c r="D20" s="232">
        <v>12.245</v>
      </c>
      <c r="E20" s="232">
        <v>18.1</v>
      </c>
      <c r="F20" s="232">
        <v>10.4</v>
      </c>
      <c r="G20" s="232">
        <v>11</v>
      </c>
      <c r="H20" s="232">
        <v>11</v>
      </c>
      <c r="I20" s="232">
        <v>18.6</v>
      </c>
      <c r="J20" s="232">
        <v>17.63</v>
      </c>
      <c r="K20" s="232">
        <f t="shared" si="8"/>
        <v>94.78494623655914</v>
      </c>
    </row>
    <row r="21" spans="1:11" ht="63">
      <c r="A21" s="322" t="s">
        <v>28</v>
      </c>
      <c r="B21" s="168" t="s">
        <v>29</v>
      </c>
      <c r="C21" s="233">
        <v>2148.4</v>
      </c>
      <c r="D21" s="233">
        <v>1919.5</v>
      </c>
      <c r="E21" s="233">
        <v>2148.4</v>
      </c>
      <c r="F21" s="233">
        <v>2361.3</v>
      </c>
      <c r="G21" s="233">
        <v>2663.1</v>
      </c>
      <c r="H21" s="233">
        <v>2663.1</v>
      </c>
      <c r="I21" s="233">
        <v>2428.5</v>
      </c>
      <c r="J21" s="233">
        <v>2670.93</v>
      </c>
      <c r="K21" s="233">
        <f t="shared" si="8"/>
        <v>109.98270537368747</v>
      </c>
    </row>
    <row r="22" spans="1:11" ht="63" customHeight="1" hidden="1">
      <c r="A22" s="6" t="s">
        <v>882</v>
      </c>
      <c r="B22" s="263" t="s">
        <v>883</v>
      </c>
      <c r="C22" s="232">
        <v>0</v>
      </c>
      <c r="D22" s="232">
        <v>-237.956</v>
      </c>
      <c r="E22" s="232">
        <v>-238</v>
      </c>
      <c r="F22" s="232">
        <v>0</v>
      </c>
      <c r="G22" s="232">
        <v>0</v>
      </c>
      <c r="H22" s="232">
        <v>0</v>
      </c>
      <c r="I22" s="232">
        <v>0</v>
      </c>
      <c r="J22" s="232">
        <v>-410.24</v>
      </c>
      <c r="K22" s="232" t="s">
        <v>1051</v>
      </c>
    </row>
    <row r="23" spans="1:11" ht="18.75">
      <c r="A23" s="164" t="s">
        <v>30</v>
      </c>
      <c r="B23" s="165" t="s">
        <v>31</v>
      </c>
      <c r="C23" s="231">
        <f>SUM(C24+C29+C32)</f>
        <v>20489.8</v>
      </c>
      <c r="D23" s="231">
        <f>SUM(D24+D29+D32)</f>
        <v>14361.39</v>
      </c>
      <c r="E23" s="231">
        <f>SUM(E24+E29+E32)</f>
        <v>20474.9</v>
      </c>
      <c r="F23" s="231">
        <f>SUM(F24+F29+F32)</f>
        <v>21474</v>
      </c>
      <c r="G23" s="231">
        <f aca="true" t="shared" si="12" ref="G23:H23">SUM(G24+G29+G32)</f>
        <v>21923</v>
      </c>
      <c r="H23" s="231">
        <f t="shared" si="12"/>
        <v>22493</v>
      </c>
      <c r="I23" s="231">
        <f>SUM(I24+I29+I32)</f>
        <v>18339</v>
      </c>
      <c r="J23" s="231">
        <f>SUM(J24+J29+J32)</f>
        <v>22426.723310000005</v>
      </c>
      <c r="K23" s="231">
        <f t="shared" si="8"/>
        <v>122.28978303069964</v>
      </c>
    </row>
    <row r="24" spans="1:11" ht="31.5">
      <c r="A24" s="161" t="s">
        <v>32</v>
      </c>
      <c r="B24" s="165" t="s">
        <v>33</v>
      </c>
      <c r="C24" s="231">
        <f>SUM(C25:C27)</f>
        <v>10695.8</v>
      </c>
      <c r="D24" s="231">
        <f>SUM(D25:D27)</f>
        <v>7511.09</v>
      </c>
      <c r="E24" s="231">
        <f>SUM(E25:E27)</f>
        <v>10695.9</v>
      </c>
      <c r="F24" s="231">
        <f>SUM(F25:F27)</f>
        <v>11370</v>
      </c>
      <c r="G24" s="231">
        <f aca="true" t="shared" si="13" ref="G24:H24">SUM(G25:G27)</f>
        <v>11813</v>
      </c>
      <c r="H24" s="231">
        <f t="shared" si="13"/>
        <v>12333</v>
      </c>
      <c r="I24" s="231">
        <f>SUM(I25:I27)</f>
        <v>8235</v>
      </c>
      <c r="J24" s="231">
        <f>SUM(J25:J28)</f>
        <v>12539.783310000004</v>
      </c>
      <c r="K24" s="231">
        <f t="shared" si="8"/>
        <v>152.2742357012751</v>
      </c>
    </row>
    <row r="25" spans="1:11" ht="31.5">
      <c r="A25" s="159" t="s">
        <v>34</v>
      </c>
      <c r="B25" s="172" t="s">
        <v>35</v>
      </c>
      <c r="C25" s="232">
        <f>10695.8/2</f>
        <v>5347.9</v>
      </c>
      <c r="D25" s="232">
        <f>5410.4</f>
        <v>5410.4</v>
      </c>
      <c r="E25" s="232">
        <f>10695.8/2</f>
        <v>5347.9</v>
      </c>
      <c r="F25" s="232">
        <v>5685</v>
      </c>
      <c r="G25" s="234">
        <v>5906.5</v>
      </c>
      <c r="H25" s="234">
        <v>6166.5</v>
      </c>
      <c r="I25" s="232">
        <v>4117.5</v>
      </c>
      <c r="J25" s="232">
        <v>10099.232920000004</v>
      </c>
      <c r="K25" s="232">
        <f t="shared" si="8"/>
        <v>245.27584505160908</v>
      </c>
    </row>
    <row r="26" spans="1:11" ht="78.75" customHeight="1" hidden="1">
      <c r="A26" s="159" t="s">
        <v>884</v>
      </c>
      <c r="B26" s="172" t="s">
        <v>885</v>
      </c>
      <c r="C26" s="232">
        <v>0</v>
      </c>
      <c r="D26" s="235">
        <v>0.09</v>
      </c>
      <c r="E26" s="232">
        <v>0.1</v>
      </c>
      <c r="F26" s="232">
        <v>0</v>
      </c>
      <c r="G26" s="234">
        <v>0</v>
      </c>
      <c r="H26" s="234">
        <v>0</v>
      </c>
      <c r="I26" s="232">
        <v>0</v>
      </c>
      <c r="J26" s="232">
        <v>0.3856</v>
      </c>
      <c r="K26" s="232" t="s">
        <v>1051</v>
      </c>
    </row>
    <row r="27" spans="1:11" ht="63">
      <c r="A27" s="159" t="s">
        <v>36</v>
      </c>
      <c r="B27" s="172" t="s">
        <v>37</v>
      </c>
      <c r="C27" s="232">
        <f>10695.8/2</f>
        <v>5347.9</v>
      </c>
      <c r="D27" s="232">
        <v>2100.6</v>
      </c>
      <c r="E27" s="232">
        <f>10695.8/2</f>
        <v>5347.9</v>
      </c>
      <c r="F27" s="232">
        <v>5685</v>
      </c>
      <c r="G27" s="234">
        <v>5906.5</v>
      </c>
      <c r="H27" s="234">
        <v>6166.5</v>
      </c>
      <c r="I27" s="232">
        <v>4117.5</v>
      </c>
      <c r="J27" s="232">
        <v>2258.0726700000005</v>
      </c>
      <c r="K27" s="232">
        <f t="shared" si="8"/>
        <v>54.84086630236795</v>
      </c>
    </row>
    <row r="28" spans="1:11" ht="63">
      <c r="A28" s="159" t="s">
        <v>1052</v>
      </c>
      <c r="B28" s="172" t="s">
        <v>1053</v>
      </c>
      <c r="C28" s="232"/>
      <c r="D28" s="232"/>
      <c r="E28" s="232"/>
      <c r="F28" s="232"/>
      <c r="G28" s="234"/>
      <c r="H28" s="234"/>
      <c r="I28" s="232">
        <v>0</v>
      </c>
      <c r="J28" s="232">
        <v>182.09211999999997</v>
      </c>
      <c r="K28" s="232" t="s">
        <v>1051</v>
      </c>
    </row>
    <row r="29" spans="1:11" ht="18.75">
      <c r="A29" s="161" t="s">
        <v>38</v>
      </c>
      <c r="B29" s="165" t="s">
        <v>39</v>
      </c>
      <c r="C29" s="231">
        <f>SUM(C30:C31)</f>
        <v>9639</v>
      </c>
      <c r="D29" s="231">
        <f aca="true" t="shared" si="14" ref="D29:J29">SUM(D30:D31)</f>
        <v>6707.8</v>
      </c>
      <c r="E29" s="231">
        <f t="shared" si="14"/>
        <v>9624</v>
      </c>
      <c r="F29" s="231">
        <f t="shared" si="14"/>
        <v>9894</v>
      </c>
      <c r="G29" s="231">
        <f t="shared" si="14"/>
        <v>9900</v>
      </c>
      <c r="H29" s="231">
        <f t="shared" si="14"/>
        <v>9950</v>
      </c>
      <c r="I29" s="231">
        <f t="shared" si="14"/>
        <v>9894</v>
      </c>
      <c r="J29" s="231">
        <f t="shared" si="14"/>
        <v>9596.5</v>
      </c>
      <c r="K29" s="231">
        <f t="shared" si="8"/>
        <v>96.99312714776632</v>
      </c>
    </row>
    <row r="30" spans="1:11" ht="47.25" customHeight="1" hidden="1">
      <c r="A30" s="321" t="s">
        <v>40</v>
      </c>
      <c r="B30" s="166" t="s">
        <v>39</v>
      </c>
      <c r="C30" s="232">
        <v>9639</v>
      </c>
      <c r="D30" s="232">
        <v>6722.8</v>
      </c>
      <c r="E30" s="232">
        <v>9639</v>
      </c>
      <c r="F30" s="232">
        <v>9894</v>
      </c>
      <c r="G30" s="232">
        <v>9900</v>
      </c>
      <c r="H30" s="232">
        <v>9950</v>
      </c>
      <c r="I30" s="232">
        <v>9894</v>
      </c>
      <c r="J30" s="232">
        <v>9596.53</v>
      </c>
      <c r="K30" s="232">
        <f t="shared" si="8"/>
        <v>96.99343036183546</v>
      </c>
    </row>
    <row r="31" spans="1:11" ht="47.25">
      <c r="A31" s="6" t="s">
        <v>886</v>
      </c>
      <c r="B31" s="225" t="s">
        <v>887</v>
      </c>
      <c r="C31" s="232">
        <v>0</v>
      </c>
      <c r="D31" s="232">
        <v>-15</v>
      </c>
      <c r="E31" s="232">
        <v>-15</v>
      </c>
      <c r="F31" s="232">
        <v>0</v>
      </c>
      <c r="G31" s="232">
        <v>0</v>
      </c>
      <c r="H31" s="232">
        <v>0</v>
      </c>
      <c r="I31" s="232">
        <v>0</v>
      </c>
      <c r="J31" s="232">
        <v>-0.03</v>
      </c>
      <c r="K31" s="232" t="s">
        <v>1051</v>
      </c>
    </row>
    <row r="32" spans="1:11" ht="31.5">
      <c r="A32" s="161" t="s">
        <v>41</v>
      </c>
      <c r="B32" s="173" t="s">
        <v>42</v>
      </c>
      <c r="C32" s="231">
        <v>155</v>
      </c>
      <c r="D32" s="231">
        <v>142.5</v>
      </c>
      <c r="E32" s="231">
        <v>155</v>
      </c>
      <c r="F32" s="231">
        <v>210</v>
      </c>
      <c r="G32" s="231">
        <v>210</v>
      </c>
      <c r="H32" s="231">
        <v>210</v>
      </c>
      <c r="I32" s="231">
        <v>210</v>
      </c>
      <c r="J32" s="231">
        <v>290.44</v>
      </c>
      <c r="K32" s="231">
        <f t="shared" si="8"/>
        <v>138.3047619047619</v>
      </c>
    </row>
    <row r="33" spans="1:11" ht="18.75">
      <c r="A33" s="164" t="s">
        <v>43</v>
      </c>
      <c r="B33" s="165" t="s">
        <v>44</v>
      </c>
      <c r="C33" s="231">
        <f>C34+C36</f>
        <v>383</v>
      </c>
      <c r="D33" s="231">
        <f aca="true" t="shared" si="15" ref="D33">D34+D36</f>
        <v>76.9</v>
      </c>
      <c r="E33" s="231">
        <f>E34+E36</f>
        <v>383</v>
      </c>
      <c r="F33" s="231">
        <f>F34+F36</f>
        <v>974</v>
      </c>
      <c r="G33" s="231">
        <f aca="true" t="shared" si="16" ref="G33:H33">G34+G36</f>
        <v>1311</v>
      </c>
      <c r="H33" s="231">
        <f t="shared" si="16"/>
        <v>1648</v>
      </c>
      <c r="I33" s="231">
        <f>I34+I36</f>
        <v>974</v>
      </c>
      <c r="J33" s="231">
        <f aca="true" t="shared" si="17" ref="J33">J34+J36</f>
        <v>1031.98</v>
      </c>
      <c r="K33" s="231">
        <f t="shared" si="8"/>
        <v>105.95277207392198</v>
      </c>
    </row>
    <row r="34" spans="1:11" ht="38.25" customHeight="1">
      <c r="A34" s="164" t="s">
        <v>45</v>
      </c>
      <c r="B34" s="165" t="s">
        <v>46</v>
      </c>
      <c r="C34" s="231">
        <f>C35</f>
        <v>71</v>
      </c>
      <c r="D34" s="231">
        <f aca="true" t="shared" si="18" ref="D34">D35</f>
        <v>48</v>
      </c>
      <c r="E34" s="231">
        <f>E35</f>
        <v>71</v>
      </c>
      <c r="F34" s="231">
        <f>F35</f>
        <v>652</v>
      </c>
      <c r="G34" s="231">
        <f aca="true" t="shared" si="19" ref="G34:H34">G35</f>
        <v>978</v>
      </c>
      <c r="H34" s="231">
        <f t="shared" si="19"/>
        <v>1304</v>
      </c>
      <c r="I34" s="231">
        <f>I35</f>
        <v>652</v>
      </c>
      <c r="J34" s="231">
        <f aca="true" t="shared" si="20" ref="J34">J35</f>
        <v>736.95</v>
      </c>
      <c r="K34" s="231">
        <f t="shared" si="8"/>
        <v>113.0291411042945</v>
      </c>
    </row>
    <row r="35" spans="1:11" ht="47.25">
      <c r="A35" s="321" t="s">
        <v>47</v>
      </c>
      <c r="B35" s="172" t="s">
        <v>48</v>
      </c>
      <c r="C35" s="232">
        <v>71</v>
      </c>
      <c r="D35" s="232">
        <v>48</v>
      </c>
      <c r="E35" s="232">
        <v>71</v>
      </c>
      <c r="F35" s="232">
        <v>652</v>
      </c>
      <c r="G35" s="234">
        <v>978</v>
      </c>
      <c r="H35" s="234">
        <v>1304</v>
      </c>
      <c r="I35" s="232">
        <v>652</v>
      </c>
      <c r="J35" s="232">
        <v>736.95</v>
      </c>
      <c r="K35" s="232">
        <f t="shared" si="8"/>
        <v>113.0291411042945</v>
      </c>
    </row>
    <row r="36" spans="1:11" ht="18.75">
      <c r="A36" s="164" t="s">
        <v>49</v>
      </c>
      <c r="B36" s="165" t="s">
        <v>50</v>
      </c>
      <c r="C36" s="231">
        <f>C38+C37</f>
        <v>312</v>
      </c>
      <c r="D36" s="231">
        <f aca="true" t="shared" si="21" ref="D36">D38+D37</f>
        <v>28.900000000000002</v>
      </c>
      <c r="E36" s="231">
        <f>E38+E37</f>
        <v>312</v>
      </c>
      <c r="F36" s="231">
        <f>F38+F37</f>
        <v>322</v>
      </c>
      <c r="G36" s="231">
        <f aca="true" t="shared" si="22" ref="G36:H36">G38+G37</f>
        <v>333</v>
      </c>
      <c r="H36" s="231">
        <f t="shared" si="22"/>
        <v>344</v>
      </c>
      <c r="I36" s="231">
        <f>I38+I37</f>
        <v>322</v>
      </c>
      <c r="J36" s="231">
        <f aca="true" t="shared" si="23" ref="J36">J38+J37</f>
        <v>295.03000000000003</v>
      </c>
      <c r="K36" s="231">
        <f t="shared" si="8"/>
        <v>91.62422360248448</v>
      </c>
    </row>
    <row r="37" spans="1:11" ht="31.5">
      <c r="A37" s="321" t="s">
        <v>51</v>
      </c>
      <c r="B37" s="172" t="s">
        <v>52</v>
      </c>
      <c r="C37" s="232">
        <v>167</v>
      </c>
      <c r="D37" s="232">
        <v>39.7</v>
      </c>
      <c r="E37" s="232">
        <v>167</v>
      </c>
      <c r="F37" s="232">
        <v>172</v>
      </c>
      <c r="G37" s="232">
        <v>173</v>
      </c>
      <c r="H37" s="232">
        <v>174</v>
      </c>
      <c r="I37" s="232">
        <v>172</v>
      </c>
      <c r="J37" s="232">
        <v>167.86</v>
      </c>
      <c r="K37" s="232">
        <f t="shared" si="8"/>
        <v>97.59302325581396</v>
      </c>
    </row>
    <row r="38" spans="1:11" ht="31.5">
      <c r="A38" s="321" t="s">
        <v>53</v>
      </c>
      <c r="B38" s="172" t="s">
        <v>54</v>
      </c>
      <c r="C38" s="232">
        <v>145</v>
      </c>
      <c r="D38" s="232">
        <v>-10.8</v>
      </c>
      <c r="E38" s="232">
        <v>145</v>
      </c>
      <c r="F38" s="232">
        <v>150</v>
      </c>
      <c r="G38" s="232">
        <v>160</v>
      </c>
      <c r="H38" s="232">
        <v>170</v>
      </c>
      <c r="I38" s="232">
        <v>150</v>
      </c>
      <c r="J38" s="232">
        <v>127.17</v>
      </c>
      <c r="K38" s="232">
        <f t="shared" si="8"/>
        <v>84.78</v>
      </c>
    </row>
    <row r="39" spans="1:11" ht="18.75">
      <c r="A39" s="164" t="s">
        <v>55</v>
      </c>
      <c r="B39" s="165" t="s">
        <v>56</v>
      </c>
      <c r="C39" s="231">
        <f aca="true" t="shared" si="24" ref="C39:H40">C40</f>
        <v>2294</v>
      </c>
      <c r="D39" s="231">
        <f t="shared" si="24"/>
        <v>933.3</v>
      </c>
      <c r="E39" s="231">
        <f t="shared" si="24"/>
        <v>1346.7</v>
      </c>
      <c r="F39" s="231">
        <f t="shared" si="24"/>
        <v>2088</v>
      </c>
      <c r="G39" s="231">
        <f t="shared" si="24"/>
        <v>2100</v>
      </c>
      <c r="H39" s="231">
        <f t="shared" si="24"/>
        <v>2150</v>
      </c>
      <c r="I39" s="231">
        <f>SUM(I40+I42)</f>
        <v>1188</v>
      </c>
      <c r="J39" s="231">
        <f>SUM(J40+J42)</f>
        <v>1224.08</v>
      </c>
      <c r="K39" s="231">
        <f t="shared" si="8"/>
        <v>103.03703703703704</v>
      </c>
    </row>
    <row r="40" spans="1:11" ht="31.5">
      <c r="A40" s="164" t="s">
        <v>57</v>
      </c>
      <c r="B40" s="165" t="s">
        <v>58</v>
      </c>
      <c r="C40" s="231">
        <f t="shared" si="24"/>
        <v>2294</v>
      </c>
      <c r="D40" s="231">
        <f t="shared" si="24"/>
        <v>933.3</v>
      </c>
      <c r="E40" s="231">
        <f t="shared" si="24"/>
        <v>1346.7</v>
      </c>
      <c r="F40" s="231">
        <f t="shared" si="24"/>
        <v>2088</v>
      </c>
      <c r="G40" s="231">
        <f t="shared" si="24"/>
        <v>2100</v>
      </c>
      <c r="H40" s="231">
        <f t="shared" si="24"/>
        <v>2150</v>
      </c>
      <c r="I40" s="231">
        <f>I41</f>
        <v>1188</v>
      </c>
      <c r="J40" s="231">
        <f>J41</f>
        <v>1214.08</v>
      </c>
      <c r="K40" s="231">
        <f t="shared" si="8"/>
        <v>102.1952861952862</v>
      </c>
    </row>
    <row r="41" spans="1:11" ht="31.5" customHeight="1">
      <c r="A41" s="321" t="s">
        <v>59</v>
      </c>
      <c r="B41" s="166" t="s">
        <v>60</v>
      </c>
      <c r="C41" s="232">
        <v>2294</v>
      </c>
      <c r="D41" s="232">
        <v>933.3</v>
      </c>
      <c r="E41" s="232">
        <v>1346.7</v>
      </c>
      <c r="F41" s="232">
        <v>2088</v>
      </c>
      <c r="G41" s="234">
        <v>2100</v>
      </c>
      <c r="H41" s="234">
        <v>2150</v>
      </c>
      <c r="I41" s="232">
        <f>1188</f>
        <v>1188</v>
      </c>
      <c r="J41" s="232">
        <v>1214.08</v>
      </c>
      <c r="K41" s="232">
        <f t="shared" si="8"/>
        <v>102.1952861952862</v>
      </c>
    </row>
    <row r="42" spans="1:11" ht="32.25" customHeight="1">
      <c r="A42" s="164" t="s">
        <v>1054</v>
      </c>
      <c r="B42" s="174" t="s">
        <v>1055</v>
      </c>
      <c r="C42" s="231"/>
      <c r="D42" s="231"/>
      <c r="E42" s="231"/>
      <c r="F42" s="231"/>
      <c r="G42" s="237"/>
      <c r="H42" s="237"/>
      <c r="I42" s="231">
        <v>0</v>
      </c>
      <c r="J42" s="231">
        <v>10</v>
      </c>
      <c r="K42" s="231" t="s">
        <v>1051</v>
      </c>
    </row>
    <row r="43" spans="1:11" ht="41.25" customHeight="1" hidden="1">
      <c r="A43" s="324" t="s">
        <v>888</v>
      </c>
      <c r="B43" s="226" t="s">
        <v>889</v>
      </c>
      <c r="C43" s="231">
        <v>0</v>
      </c>
      <c r="D43" s="231">
        <f>SUM(D44:D45)</f>
        <v>7.1</v>
      </c>
      <c r="E43" s="231">
        <f aca="true" t="shared" si="25" ref="E43:J43">SUM(E44:E45)</f>
        <v>7.1</v>
      </c>
      <c r="F43" s="231">
        <f t="shared" si="25"/>
        <v>0</v>
      </c>
      <c r="G43" s="231">
        <f t="shared" si="25"/>
        <v>0</v>
      </c>
      <c r="H43" s="231">
        <f t="shared" si="25"/>
        <v>0</v>
      </c>
      <c r="I43" s="231">
        <f t="shared" si="25"/>
        <v>0</v>
      </c>
      <c r="J43" s="231">
        <f t="shared" si="25"/>
        <v>0</v>
      </c>
      <c r="K43" s="231">
        <v>0</v>
      </c>
    </row>
    <row r="44" spans="1:11" ht="35.25" customHeight="1" hidden="1">
      <c r="A44" s="6" t="s">
        <v>890</v>
      </c>
      <c r="B44" s="219" t="s">
        <v>891</v>
      </c>
      <c r="C44" s="232">
        <v>0</v>
      </c>
      <c r="D44" s="232">
        <v>7.5</v>
      </c>
      <c r="E44" s="232">
        <v>7.5</v>
      </c>
      <c r="F44" s="232">
        <v>0</v>
      </c>
      <c r="G44" s="234">
        <v>0</v>
      </c>
      <c r="H44" s="234">
        <v>0</v>
      </c>
      <c r="I44" s="232">
        <v>0</v>
      </c>
      <c r="J44" s="232">
        <v>0</v>
      </c>
      <c r="K44" s="232">
        <v>0</v>
      </c>
    </row>
    <row r="45" spans="1:11" ht="63" hidden="1">
      <c r="A45" s="2" t="s">
        <v>892</v>
      </c>
      <c r="B45" s="219" t="s">
        <v>893</v>
      </c>
      <c r="C45" s="232">
        <v>0</v>
      </c>
      <c r="D45" s="232">
        <v>-0.4</v>
      </c>
      <c r="E45" s="232">
        <v>-0.4</v>
      </c>
      <c r="F45" s="232">
        <v>0</v>
      </c>
      <c r="G45" s="234">
        <v>0</v>
      </c>
      <c r="H45" s="234">
        <v>0</v>
      </c>
      <c r="I45" s="232">
        <v>0</v>
      </c>
      <c r="J45" s="232">
        <v>0</v>
      </c>
      <c r="K45" s="232" t="s">
        <v>1051</v>
      </c>
    </row>
    <row r="46" spans="1:11" ht="31.5">
      <c r="A46" s="164" t="s">
        <v>61</v>
      </c>
      <c r="B46" s="174" t="s">
        <v>62</v>
      </c>
      <c r="C46" s="231">
        <f>C47</f>
        <v>30200</v>
      </c>
      <c r="D46" s="231">
        <f aca="true" t="shared" si="26" ref="D46">D47</f>
        <v>30394</v>
      </c>
      <c r="E46" s="231">
        <f>E47</f>
        <v>30200</v>
      </c>
      <c r="F46" s="231">
        <f>F47</f>
        <v>30200</v>
      </c>
      <c r="G46" s="231">
        <f aca="true" t="shared" si="27" ref="G46:H46">G47</f>
        <v>30200</v>
      </c>
      <c r="H46" s="231">
        <f t="shared" si="27"/>
        <v>30200</v>
      </c>
      <c r="I46" s="231">
        <f>I47</f>
        <v>39200</v>
      </c>
      <c r="J46" s="231">
        <f aca="true" t="shared" si="28" ref="J46">J47</f>
        <v>42463.509999999995</v>
      </c>
      <c r="K46" s="231">
        <f t="shared" si="8"/>
        <v>108.3252806122449</v>
      </c>
    </row>
    <row r="47" spans="1:11" ht="78.75">
      <c r="A47" s="164" t="s">
        <v>63</v>
      </c>
      <c r="B47" s="174" t="s">
        <v>64</v>
      </c>
      <c r="C47" s="231">
        <f>C48+C50</f>
        <v>30200</v>
      </c>
      <c r="D47" s="231">
        <f aca="true" t="shared" si="29" ref="D47">D48+D50</f>
        <v>30394</v>
      </c>
      <c r="E47" s="231">
        <f>E48+E50</f>
        <v>30200</v>
      </c>
      <c r="F47" s="231">
        <f>F48+F50</f>
        <v>30200</v>
      </c>
      <c r="G47" s="231">
        <f aca="true" t="shared" si="30" ref="G47:H47">G48+G50</f>
        <v>30200</v>
      </c>
      <c r="H47" s="231">
        <f t="shared" si="30"/>
        <v>30200</v>
      </c>
      <c r="I47" s="231">
        <f>I48+I50</f>
        <v>39200</v>
      </c>
      <c r="J47" s="231">
        <f aca="true" t="shared" si="31" ref="J47">J48+J50</f>
        <v>42463.509999999995</v>
      </c>
      <c r="K47" s="231">
        <f t="shared" si="8"/>
        <v>108.3252806122449</v>
      </c>
    </row>
    <row r="48" spans="1:11" ht="63">
      <c r="A48" s="164" t="s">
        <v>65</v>
      </c>
      <c r="B48" s="165" t="s">
        <v>66</v>
      </c>
      <c r="C48" s="231">
        <f>C49</f>
        <v>26900</v>
      </c>
      <c r="D48" s="231">
        <f aca="true" t="shared" si="32" ref="D48">D49</f>
        <v>27515.9</v>
      </c>
      <c r="E48" s="231">
        <f>E49</f>
        <v>26900</v>
      </c>
      <c r="F48" s="231">
        <f>F49</f>
        <v>26900</v>
      </c>
      <c r="G48" s="231">
        <f aca="true" t="shared" si="33" ref="G48:H48">G49</f>
        <v>26900</v>
      </c>
      <c r="H48" s="231">
        <f t="shared" si="33"/>
        <v>26900</v>
      </c>
      <c r="I48" s="231">
        <f>I49</f>
        <v>34500</v>
      </c>
      <c r="J48" s="231">
        <f aca="true" t="shared" si="34" ref="J48">J49</f>
        <v>37373.7</v>
      </c>
      <c r="K48" s="231">
        <f t="shared" si="8"/>
        <v>108.3295652173913</v>
      </c>
    </row>
    <row r="49" spans="1:11" ht="63">
      <c r="A49" s="321" t="s">
        <v>67</v>
      </c>
      <c r="B49" s="172" t="s">
        <v>68</v>
      </c>
      <c r="C49" s="232">
        <v>26900</v>
      </c>
      <c r="D49" s="232">
        <v>27515.9</v>
      </c>
      <c r="E49" s="232">
        <v>26900</v>
      </c>
      <c r="F49" s="232">
        <v>26900</v>
      </c>
      <c r="G49" s="234">
        <v>26900</v>
      </c>
      <c r="H49" s="234">
        <v>26900</v>
      </c>
      <c r="I49" s="232">
        <v>34500</v>
      </c>
      <c r="J49" s="232">
        <v>37373.7</v>
      </c>
      <c r="K49" s="232">
        <f t="shared" si="8"/>
        <v>108.3295652173913</v>
      </c>
    </row>
    <row r="50" spans="1:11" ht="31.5">
      <c r="A50" s="164" t="s">
        <v>69</v>
      </c>
      <c r="B50" s="165" t="s">
        <v>70</v>
      </c>
      <c r="C50" s="231">
        <f>C51</f>
        <v>3300</v>
      </c>
      <c r="D50" s="231">
        <f aca="true" t="shared" si="35" ref="D50">D51</f>
        <v>2878.1</v>
      </c>
      <c r="E50" s="231">
        <f>E51</f>
        <v>3300</v>
      </c>
      <c r="F50" s="231">
        <f>F51</f>
        <v>3300</v>
      </c>
      <c r="G50" s="231">
        <f aca="true" t="shared" si="36" ref="G50:H50">G51</f>
        <v>3300</v>
      </c>
      <c r="H50" s="231">
        <f t="shared" si="36"/>
        <v>3300</v>
      </c>
      <c r="I50" s="231">
        <f>I51</f>
        <v>4700</v>
      </c>
      <c r="J50" s="231">
        <f aca="true" t="shared" si="37" ref="J50">J51</f>
        <v>5089.81</v>
      </c>
      <c r="K50" s="231">
        <f t="shared" si="8"/>
        <v>108.29382978723405</v>
      </c>
    </row>
    <row r="51" spans="1:11" ht="31.5">
      <c r="A51" s="321" t="s">
        <v>71</v>
      </c>
      <c r="B51" s="172" t="s">
        <v>72</v>
      </c>
      <c r="C51" s="232">
        <v>3300</v>
      </c>
      <c r="D51" s="232">
        <v>2878.1</v>
      </c>
      <c r="E51" s="232">
        <v>3300</v>
      </c>
      <c r="F51" s="232">
        <v>3300</v>
      </c>
      <c r="G51" s="234">
        <v>3300</v>
      </c>
      <c r="H51" s="234">
        <v>3300</v>
      </c>
      <c r="I51" s="232">
        <v>4700</v>
      </c>
      <c r="J51" s="232">
        <v>5089.81</v>
      </c>
      <c r="K51" s="232">
        <f t="shared" si="8"/>
        <v>108.29382978723405</v>
      </c>
    </row>
    <row r="52" spans="1:11" ht="18.75">
      <c r="A52" s="164" t="s">
        <v>73</v>
      </c>
      <c r="B52" s="174" t="s">
        <v>74</v>
      </c>
      <c r="C52" s="231">
        <f>SUM(C53)</f>
        <v>5112.999999999999</v>
      </c>
      <c r="D52" s="231">
        <f aca="true" t="shared" si="38" ref="D52">SUM(D53)</f>
        <v>5343</v>
      </c>
      <c r="E52" s="231">
        <f>SUM(E53)</f>
        <v>2061</v>
      </c>
      <c r="F52" s="231">
        <f>SUM(F53)</f>
        <v>2023.1999999999998</v>
      </c>
      <c r="G52" s="231">
        <f aca="true" t="shared" si="39" ref="G52:H52">SUM(G53)</f>
        <v>2023.1999999999998</v>
      </c>
      <c r="H52" s="231">
        <f t="shared" si="39"/>
        <v>2023.1999999999998</v>
      </c>
      <c r="I52" s="231">
        <f>SUM(I53)</f>
        <v>2023.1999999999998</v>
      </c>
      <c r="J52" s="231">
        <f aca="true" t="shared" si="40" ref="J52">SUM(J53)</f>
        <v>1947.31</v>
      </c>
      <c r="K52" s="231">
        <f t="shared" si="8"/>
        <v>96.249011466983</v>
      </c>
    </row>
    <row r="53" spans="1:11" ht="31.5" customHeight="1" hidden="1">
      <c r="A53" s="164" t="s">
        <v>75</v>
      </c>
      <c r="B53" s="174" t="s">
        <v>76</v>
      </c>
      <c r="C53" s="231">
        <f>SUM(C54:C57)</f>
        <v>5112.999999999999</v>
      </c>
      <c r="D53" s="231">
        <f>SUM(D54:D57)</f>
        <v>5343</v>
      </c>
      <c r="E53" s="231">
        <f>SUM(E54:E57)</f>
        <v>2061</v>
      </c>
      <c r="F53" s="231">
        <f>SUM(F54:F57)</f>
        <v>2023.1999999999998</v>
      </c>
      <c r="G53" s="231">
        <f aca="true" t="shared" si="41" ref="G53:H53">SUM(G54:G57)</f>
        <v>2023.1999999999998</v>
      </c>
      <c r="H53" s="231">
        <f t="shared" si="41"/>
        <v>2023.1999999999998</v>
      </c>
      <c r="I53" s="231">
        <f>SUM(I54:I58)</f>
        <v>2023.1999999999998</v>
      </c>
      <c r="J53" s="231">
        <f aca="true" t="shared" si="42" ref="J53">SUM(J54:J58)</f>
        <v>1947.31</v>
      </c>
      <c r="K53" s="231">
        <f t="shared" si="8"/>
        <v>96.249011466983</v>
      </c>
    </row>
    <row r="54" spans="1:11" ht="31.5">
      <c r="A54" s="321" t="s">
        <v>77</v>
      </c>
      <c r="B54" s="166" t="s">
        <v>78</v>
      </c>
      <c r="C54" s="232">
        <v>386.3</v>
      </c>
      <c r="D54" s="232">
        <v>86.1</v>
      </c>
      <c r="E54" s="232">
        <v>129.1</v>
      </c>
      <c r="F54" s="232">
        <v>102.9</v>
      </c>
      <c r="G54" s="232">
        <v>102.9</v>
      </c>
      <c r="H54" s="232">
        <v>102.9</v>
      </c>
      <c r="I54" s="232">
        <v>102.9</v>
      </c>
      <c r="J54" s="232">
        <v>456.12</v>
      </c>
      <c r="K54" s="232">
        <f t="shared" si="8"/>
        <v>443.265306122449</v>
      </c>
    </row>
    <row r="55" spans="1:11" ht="31.5">
      <c r="A55" s="321" t="s">
        <v>878</v>
      </c>
      <c r="B55" s="219" t="s">
        <v>879</v>
      </c>
      <c r="C55" s="232">
        <v>0</v>
      </c>
      <c r="D55" s="232">
        <v>0.5</v>
      </c>
      <c r="E55" s="232">
        <v>2.2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  <c r="K55" s="232" t="s">
        <v>1051</v>
      </c>
    </row>
    <row r="56" spans="1:11" ht="18.75">
      <c r="A56" s="321" t="s">
        <v>79</v>
      </c>
      <c r="B56" s="166" t="s">
        <v>80</v>
      </c>
      <c r="C56" s="232">
        <v>10.4</v>
      </c>
      <c r="D56" s="232">
        <v>55.6</v>
      </c>
      <c r="E56" s="232">
        <v>83.5</v>
      </c>
      <c r="F56" s="232">
        <v>0.2</v>
      </c>
      <c r="G56" s="232">
        <v>0.2</v>
      </c>
      <c r="H56" s="232">
        <v>0.2</v>
      </c>
      <c r="I56" s="232">
        <v>0.2</v>
      </c>
      <c r="J56" s="232">
        <v>0.77</v>
      </c>
      <c r="K56" s="232">
        <f t="shared" si="8"/>
        <v>385</v>
      </c>
    </row>
    <row r="57" spans="1:11" ht="18.75">
      <c r="A57" s="321" t="s">
        <v>1009</v>
      </c>
      <c r="B57" s="166" t="s">
        <v>1010</v>
      </c>
      <c r="C57" s="232">
        <f>6725.4-2009.1</f>
        <v>4716.299999999999</v>
      </c>
      <c r="D57" s="232">
        <v>5200.8</v>
      </c>
      <c r="E57" s="232">
        <v>1846.2</v>
      </c>
      <c r="F57" s="232">
        <v>1920.1</v>
      </c>
      <c r="G57" s="232">
        <v>1920.1</v>
      </c>
      <c r="H57" s="232">
        <v>1920.1</v>
      </c>
      <c r="I57" s="232">
        <v>1911.1</v>
      </c>
      <c r="J57" s="232">
        <v>1487.02</v>
      </c>
      <c r="K57" s="232">
        <f t="shared" si="8"/>
        <v>77.8096384281304</v>
      </c>
    </row>
    <row r="58" spans="1:11" ht="18.75">
      <c r="A58" s="321" t="s">
        <v>1011</v>
      </c>
      <c r="B58" s="166" t="s">
        <v>1012</v>
      </c>
      <c r="C58" s="232"/>
      <c r="D58" s="232"/>
      <c r="E58" s="232"/>
      <c r="F58" s="232"/>
      <c r="G58" s="232"/>
      <c r="H58" s="232"/>
      <c r="I58" s="232">
        <v>9</v>
      </c>
      <c r="J58" s="232">
        <v>3.4</v>
      </c>
      <c r="K58" s="232">
        <f t="shared" si="8"/>
        <v>37.77777777777778</v>
      </c>
    </row>
    <row r="59" spans="1:11" ht="31.5">
      <c r="A59" s="164" t="s">
        <v>81</v>
      </c>
      <c r="B59" s="174" t="s">
        <v>82</v>
      </c>
      <c r="C59" s="231">
        <f>C61+C62</f>
        <v>320</v>
      </c>
      <c r="D59" s="231">
        <f aca="true" t="shared" si="43" ref="D59:J59">D61+D62</f>
        <v>2360.2</v>
      </c>
      <c r="E59" s="231">
        <f t="shared" si="43"/>
        <v>2412.9</v>
      </c>
      <c r="F59" s="231">
        <f t="shared" si="43"/>
        <v>320</v>
      </c>
      <c r="G59" s="231">
        <f t="shared" si="43"/>
        <v>340</v>
      </c>
      <c r="H59" s="231">
        <f t="shared" si="43"/>
        <v>360</v>
      </c>
      <c r="I59" s="231">
        <f t="shared" si="43"/>
        <v>216.8</v>
      </c>
      <c r="J59" s="231">
        <f t="shared" si="43"/>
        <v>746.4300000000001</v>
      </c>
      <c r="K59" s="231">
        <f t="shared" si="8"/>
        <v>344.29428044280445</v>
      </c>
    </row>
    <row r="60" spans="1:11" ht="18.75">
      <c r="A60" s="164" t="s">
        <v>83</v>
      </c>
      <c r="B60" s="174" t="s">
        <v>84</v>
      </c>
      <c r="C60" s="231">
        <f>C61+C63</f>
        <v>320</v>
      </c>
      <c r="D60" s="231">
        <f aca="true" t="shared" si="44" ref="D60">D61</f>
        <v>172.6</v>
      </c>
      <c r="E60" s="231">
        <f>E61+E63</f>
        <v>2412.9</v>
      </c>
      <c r="F60" s="231">
        <f>F61+F63</f>
        <v>320</v>
      </c>
      <c r="G60" s="231">
        <f aca="true" t="shared" si="45" ref="G60:H60">G61+G63</f>
        <v>340</v>
      </c>
      <c r="H60" s="231">
        <f t="shared" si="45"/>
        <v>360</v>
      </c>
      <c r="I60" s="231">
        <f>I61</f>
        <v>216.8</v>
      </c>
      <c r="J60" s="231">
        <f aca="true" t="shared" si="46" ref="J60">J61</f>
        <v>224.58</v>
      </c>
      <c r="K60" s="231">
        <f t="shared" si="8"/>
        <v>103.58856088560886</v>
      </c>
    </row>
    <row r="61" spans="1:11" ht="31.5">
      <c r="A61" s="321" t="s">
        <v>85</v>
      </c>
      <c r="B61" s="166" t="s">
        <v>86</v>
      </c>
      <c r="C61" s="232">
        <v>320</v>
      </c>
      <c r="D61" s="232">
        <v>172.6</v>
      </c>
      <c r="E61" s="232">
        <v>212.9</v>
      </c>
      <c r="F61" s="232">
        <v>320</v>
      </c>
      <c r="G61" s="234">
        <v>340</v>
      </c>
      <c r="H61" s="234">
        <v>360</v>
      </c>
      <c r="I61" s="232">
        <f>210+1.5+5.3</f>
        <v>216.8</v>
      </c>
      <c r="J61" s="232">
        <v>224.58</v>
      </c>
      <c r="K61" s="232">
        <f t="shared" si="8"/>
        <v>103.58856088560886</v>
      </c>
    </row>
    <row r="62" spans="1:11" ht="18.75">
      <c r="A62" s="324" t="s">
        <v>894</v>
      </c>
      <c r="B62" s="226" t="s">
        <v>895</v>
      </c>
      <c r="C62" s="231">
        <f>C63</f>
        <v>0</v>
      </c>
      <c r="D62" s="231">
        <f>SUM(D63)</f>
        <v>2187.6</v>
      </c>
      <c r="E62" s="231">
        <f>SUM(E63)</f>
        <v>2200</v>
      </c>
      <c r="F62" s="231">
        <f aca="true" t="shared" si="47" ref="F62:J62">SUM(F63)</f>
        <v>0</v>
      </c>
      <c r="G62" s="231">
        <f t="shared" si="47"/>
        <v>0</v>
      </c>
      <c r="H62" s="231">
        <f t="shared" si="47"/>
        <v>0</v>
      </c>
      <c r="I62" s="231">
        <f t="shared" si="47"/>
        <v>0</v>
      </c>
      <c r="J62" s="231">
        <f t="shared" si="47"/>
        <v>521.85</v>
      </c>
      <c r="K62" s="231" t="s">
        <v>1051</v>
      </c>
    </row>
    <row r="63" spans="1:11" ht="18.75">
      <c r="A63" s="220" t="s">
        <v>881</v>
      </c>
      <c r="B63" s="47" t="s">
        <v>880</v>
      </c>
      <c r="C63" s="232">
        <v>0</v>
      </c>
      <c r="D63" s="232">
        <v>2187.6</v>
      </c>
      <c r="E63" s="232">
        <v>2200</v>
      </c>
      <c r="F63" s="232">
        <v>0</v>
      </c>
      <c r="G63" s="236">
        <v>0</v>
      </c>
      <c r="H63" s="236">
        <v>0</v>
      </c>
      <c r="I63" s="232">
        <v>0</v>
      </c>
      <c r="J63" s="232">
        <v>521.85</v>
      </c>
      <c r="K63" s="232" t="s">
        <v>1051</v>
      </c>
    </row>
    <row r="64" spans="1:11" ht="31.5">
      <c r="A64" s="164" t="s">
        <v>87</v>
      </c>
      <c r="B64" s="174" t="s">
        <v>88</v>
      </c>
      <c r="C64" s="231">
        <f>SUM(C65+C67)</f>
        <v>650</v>
      </c>
      <c r="D64" s="231">
        <f aca="true" t="shared" si="48" ref="D64">SUM(D65+D67)</f>
        <v>145.6</v>
      </c>
      <c r="E64" s="231">
        <f>SUM(E65+E67)</f>
        <v>754.5</v>
      </c>
      <c r="F64" s="231">
        <f>SUM(F65+F67)</f>
        <v>250</v>
      </c>
      <c r="G64" s="231">
        <f aca="true" t="shared" si="49" ref="G64:H64">SUM(G65+G67)</f>
        <v>250</v>
      </c>
      <c r="H64" s="231">
        <f t="shared" si="49"/>
        <v>250</v>
      </c>
      <c r="I64" s="231">
        <f>SUM(I65+I67)</f>
        <v>743.7</v>
      </c>
      <c r="J64" s="231">
        <f aca="true" t="shared" si="50" ref="J64">SUM(J65+J67)</f>
        <v>743.24</v>
      </c>
      <c r="K64" s="231">
        <f t="shared" si="8"/>
        <v>99.9381471023262</v>
      </c>
    </row>
    <row r="65" spans="1:11" ht="78.75">
      <c r="A65" s="164" t="s">
        <v>89</v>
      </c>
      <c r="B65" s="174" t="s">
        <v>90</v>
      </c>
      <c r="C65" s="231">
        <f>C66</f>
        <v>500</v>
      </c>
      <c r="D65" s="231">
        <f aca="true" t="shared" si="51" ref="D65">D66</f>
        <v>141.1</v>
      </c>
      <c r="E65" s="231">
        <f>E66</f>
        <v>750</v>
      </c>
      <c r="F65" s="231">
        <f>F66</f>
        <v>235</v>
      </c>
      <c r="G65" s="231">
        <f aca="true" t="shared" si="52" ref="G65:H65">G66</f>
        <v>235</v>
      </c>
      <c r="H65" s="231">
        <f t="shared" si="52"/>
        <v>235</v>
      </c>
      <c r="I65" s="231">
        <f>I66</f>
        <v>734</v>
      </c>
      <c r="J65" s="231">
        <f aca="true" t="shared" si="53" ref="J65">J66</f>
        <v>733.45</v>
      </c>
      <c r="K65" s="231">
        <f t="shared" si="8"/>
        <v>99.92506811989101</v>
      </c>
    </row>
    <row r="66" spans="1:11" ht="78.75">
      <c r="A66" s="321" t="s">
        <v>91</v>
      </c>
      <c r="B66" s="166" t="s">
        <v>776</v>
      </c>
      <c r="C66" s="232">
        <v>500</v>
      </c>
      <c r="D66" s="232">
        <v>141.1</v>
      </c>
      <c r="E66" s="232">
        <v>750</v>
      </c>
      <c r="F66" s="232">
        <v>235</v>
      </c>
      <c r="G66" s="234">
        <v>235</v>
      </c>
      <c r="H66" s="234">
        <v>235</v>
      </c>
      <c r="I66" s="232">
        <v>734</v>
      </c>
      <c r="J66" s="232">
        <v>733.45</v>
      </c>
      <c r="K66" s="232">
        <f t="shared" si="8"/>
        <v>99.92506811989101</v>
      </c>
    </row>
    <row r="67" spans="1:11" ht="31.5">
      <c r="A67" s="164" t="s">
        <v>92</v>
      </c>
      <c r="B67" s="174" t="s">
        <v>93</v>
      </c>
      <c r="C67" s="231">
        <f>SUM(C68)</f>
        <v>150</v>
      </c>
      <c r="D67" s="231">
        <f aca="true" t="shared" si="54" ref="D67">SUM(D68)</f>
        <v>4.5</v>
      </c>
      <c r="E67" s="231">
        <f>SUM(E68)</f>
        <v>4.5</v>
      </c>
      <c r="F67" s="231">
        <f>SUM(F68)</f>
        <v>15</v>
      </c>
      <c r="G67" s="231">
        <f aca="true" t="shared" si="55" ref="G67:H67">SUM(G68)</f>
        <v>15</v>
      </c>
      <c r="H67" s="231">
        <f t="shared" si="55"/>
        <v>15</v>
      </c>
      <c r="I67" s="231">
        <f>SUM(I68)</f>
        <v>9.7</v>
      </c>
      <c r="J67" s="231">
        <f aca="true" t="shared" si="56" ref="J67">SUM(J68)</f>
        <v>9.79</v>
      </c>
      <c r="K67" s="231">
        <f t="shared" si="8"/>
        <v>100.9278350515464</v>
      </c>
    </row>
    <row r="68" spans="1:11" ht="47.25">
      <c r="A68" s="321" t="s">
        <v>94</v>
      </c>
      <c r="B68" s="166" t="s">
        <v>95</v>
      </c>
      <c r="C68" s="232">
        <v>150</v>
      </c>
      <c r="D68" s="232">
        <v>4.5</v>
      </c>
      <c r="E68" s="232">
        <v>4.5</v>
      </c>
      <c r="F68" s="232">
        <v>15</v>
      </c>
      <c r="G68" s="234">
        <v>15</v>
      </c>
      <c r="H68" s="234">
        <v>15</v>
      </c>
      <c r="I68" s="232">
        <v>9.7</v>
      </c>
      <c r="J68" s="232">
        <v>9.79</v>
      </c>
      <c r="K68" s="232">
        <f t="shared" si="8"/>
        <v>100.9278350515464</v>
      </c>
    </row>
    <row r="69" spans="1:11" ht="18.75">
      <c r="A69" s="164" t="s">
        <v>96</v>
      </c>
      <c r="B69" s="174" t="s">
        <v>97</v>
      </c>
      <c r="C69" s="231">
        <f>C70+C75+C85+C83+C81+C73+C78</f>
        <v>2875.5</v>
      </c>
      <c r="D69" s="231">
        <f>D70+D75+D78+D85+D83+D81+D79+D73+D74</f>
        <v>1693.8000000000002</v>
      </c>
      <c r="E69" s="231">
        <f>E70+E75+E85+E83+E81+E73+E78</f>
        <v>3190.1</v>
      </c>
      <c r="F69" s="231">
        <f>F70+F75+F78+F85+F83+F81+F73+F79</f>
        <v>1993</v>
      </c>
      <c r="G69" s="231">
        <f>G70+G75+G78+G85+G83+G81+G73+G79</f>
        <v>2053</v>
      </c>
      <c r="H69" s="231">
        <f>H70+H75+H78+H85+H83+H81+H73+H79</f>
        <v>2058</v>
      </c>
      <c r="I69" s="231">
        <f>I70+I75+I78+I85+I83+I81+I73+I79</f>
        <v>1298</v>
      </c>
      <c r="J69" s="231">
        <f>J70+J75+J78+J85+J83+J81+J73+J79+J74</f>
        <v>1333.1299999999999</v>
      </c>
      <c r="K69" s="231">
        <f t="shared" si="8"/>
        <v>102.70647149460707</v>
      </c>
    </row>
    <row r="70" spans="1:11" ht="31.5">
      <c r="A70" s="164" t="s">
        <v>98</v>
      </c>
      <c r="B70" s="174" t="s">
        <v>99</v>
      </c>
      <c r="C70" s="231">
        <f>C71+C72</f>
        <v>28</v>
      </c>
      <c r="D70" s="231">
        <f aca="true" t="shared" si="57" ref="D70">D71+D72</f>
        <v>62.8</v>
      </c>
      <c r="E70" s="231">
        <f>E71+E72</f>
        <v>65.39999999999999</v>
      </c>
      <c r="F70" s="231">
        <f>F71+F72</f>
        <v>27.5</v>
      </c>
      <c r="G70" s="231">
        <f aca="true" t="shared" si="58" ref="G70:H70">G71+G72</f>
        <v>27.5</v>
      </c>
      <c r="H70" s="231">
        <f t="shared" si="58"/>
        <v>27.5</v>
      </c>
      <c r="I70" s="231">
        <f>I71+I72</f>
        <v>27.5</v>
      </c>
      <c r="J70" s="231">
        <f aca="true" t="shared" si="59" ref="J70">J71+J72</f>
        <v>66.61</v>
      </c>
      <c r="K70" s="231">
        <f t="shared" si="8"/>
        <v>242.2181818181818</v>
      </c>
    </row>
    <row r="71" spans="1:11" ht="63">
      <c r="A71" s="321" t="s">
        <v>100</v>
      </c>
      <c r="B71" s="166" t="s">
        <v>101</v>
      </c>
      <c r="C71" s="232">
        <v>24.4</v>
      </c>
      <c r="D71" s="232">
        <v>61.8</v>
      </c>
      <c r="E71" s="232">
        <v>61.8</v>
      </c>
      <c r="F71" s="232">
        <v>25.2</v>
      </c>
      <c r="G71" s="234">
        <v>25.2</v>
      </c>
      <c r="H71" s="234">
        <v>25.2</v>
      </c>
      <c r="I71" s="232">
        <v>25.2</v>
      </c>
      <c r="J71" s="232">
        <v>64.2</v>
      </c>
      <c r="K71" s="232">
        <f t="shared" si="8"/>
        <v>254.7619047619048</v>
      </c>
    </row>
    <row r="72" spans="1:11" ht="47.25" customHeight="1" hidden="1">
      <c r="A72" s="321" t="s">
        <v>102</v>
      </c>
      <c r="B72" s="166" t="s">
        <v>777</v>
      </c>
      <c r="C72" s="232">
        <v>3.6</v>
      </c>
      <c r="D72" s="232">
        <v>1</v>
      </c>
      <c r="E72" s="232">
        <v>3.6</v>
      </c>
      <c r="F72" s="232">
        <v>2.3</v>
      </c>
      <c r="G72" s="234">
        <v>2.3</v>
      </c>
      <c r="H72" s="234">
        <v>2.3</v>
      </c>
      <c r="I72" s="232">
        <v>2.3</v>
      </c>
      <c r="J72" s="232">
        <v>2.41</v>
      </c>
      <c r="K72" s="232">
        <f t="shared" si="8"/>
        <v>104.78260869565219</v>
      </c>
    </row>
    <row r="73" spans="1:11" ht="63">
      <c r="A73" s="324" t="s">
        <v>898</v>
      </c>
      <c r="B73" s="226" t="s">
        <v>899</v>
      </c>
      <c r="C73" s="237">
        <f>C74</f>
        <v>0</v>
      </c>
      <c r="D73" s="231">
        <v>50</v>
      </c>
      <c r="E73" s="237">
        <v>50</v>
      </c>
      <c r="F73" s="231">
        <v>127.5</v>
      </c>
      <c r="G73" s="231">
        <v>127.5</v>
      </c>
      <c r="H73" s="231">
        <v>127.5</v>
      </c>
      <c r="I73" s="231">
        <v>127.5</v>
      </c>
      <c r="J73" s="231">
        <v>0</v>
      </c>
      <c r="K73" s="231">
        <f t="shared" si="8"/>
        <v>0</v>
      </c>
    </row>
    <row r="74" spans="1:11" ht="47.25">
      <c r="A74" s="324" t="s">
        <v>896</v>
      </c>
      <c r="B74" s="226" t="s">
        <v>897</v>
      </c>
      <c r="C74" s="237">
        <v>0</v>
      </c>
      <c r="D74" s="231">
        <v>358.7</v>
      </c>
      <c r="E74" s="237">
        <v>358.7</v>
      </c>
      <c r="F74" s="231">
        <v>0</v>
      </c>
      <c r="G74" s="237">
        <v>0</v>
      </c>
      <c r="H74" s="237">
        <v>0</v>
      </c>
      <c r="I74" s="231">
        <v>0</v>
      </c>
      <c r="J74" s="231">
        <v>79.56</v>
      </c>
      <c r="K74" s="231" t="s">
        <v>1051</v>
      </c>
    </row>
    <row r="75" spans="1:11" ht="94.5">
      <c r="A75" s="164" t="s">
        <v>103</v>
      </c>
      <c r="B75" s="174" t="s">
        <v>104</v>
      </c>
      <c r="C75" s="231">
        <f>C76+C77</f>
        <v>80</v>
      </c>
      <c r="D75" s="231">
        <f aca="true" t="shared" si="60" ref="D75">D76+D77</f>
        <v>5</v>
      </c>
      <c r="E75" s="231">
        <f>E76+E77</f>
        <v>80</v>
      </c>
      <c r="F75" s="231">
        <f>F76+F77</f>
        <v>45</v>
      </c>
      <c r="G75" s="231">
        <f aca="true" t="shared" si="61" ref="G75:H75">G76+G77</f>
        <v>55</v>
      </c>
      <c r="H75" s="231">
        <f t="shared" si="61"/>
        <v>60</v>
      </c>
      <c r="I75" s="231">
        <f>I76+I77</f>
        <v>45</v>
      </c>
      <c r="J75" s="231">
        <f aca="true" t="shared" si="62" ref="J75">J76+J77</f>
        <v>35</v>
      </c>
      <c r="K75" s="231">
        <f t="shared" si="8"/>
        <v>77.77777777777779</v>
      </c>
    </row>
    <row r="76" spans="1:11" ht="31.5">
      <c r="A76" s="321" t="s">
        <v>105</v>
      </c>
      <c r="B76" s="166" t="s">
        <v>106</v>
      </c>
      <c r="C76" s="232">
        <v>50</v>
      </c>
      <c r="D76" s="232">
        <v>0</v>
      </c>
      <c r="E76" s="232">
        <v>50</v>
      </c>
      <c r="F76" s="232">
        <v>10</v>
      </c>
      <c r="G76" s="234">
        <v>15</v>
      </c>
      <c r="H76" s="234">
        <v>10</v>
      </c>
      <c r="I76" s="232">
        <v>10</v>
      </c>
      <c r="J76" s="232">
        <v>0</v>
      </c>
      <c r="K76" s="232">
        <f t="shared" si="8"/>
        <v>0</v>
      </c>
    </row>
    <row r="77" spans="1:11" ht="18.75">
      <c r="A77" s="321" t="s">
        <v>107</v>
      </c>
      <c r="B77" s="166" t="s">
        <v>108</v>
      </c>
      <c r="C77" s="232">
        <v>30</v>
      </c>
      <c r="D77" s="232">
        <v>5</v>
      </c>
      <c r="E77" s="232">
        <v>30</v>
      </c>
      <c r="F77" s="232">
        <v>35</v>
      </c>
      <c r="G77" s="234">
        <v>40</v>
      </c>
      <c r="H77" s="234">
        <v>50</v>
      </c>
      <c r="I77" s="232">
        <v>35</v>
      </c>
      <c r="J77" s="232">
        <v>35</v>
      </c>
      <c r="K77" s="232">
        <f t="shared" si="8"/>
        <v>100</v>
      </c>
    </row>
    <row r="78" spans="1:11" ht="47.25">
      <c r="A78" s="164" t="s">
        <v>109</v>
      </c>
      <c r="B78" s="174" t="s">
        <v>110</v>
      </c>
      <c r="C78" s="238">
        <v>2000</v>
      </c>
      <c r="D78" s="231">
        <v>484.8</v>
      </c>
      <c r="E78" s="238">
        <v>2000</v>
      </c>
      <c r="F78" s="231">
        <v>1200</v>
      </c>
      <c r="G78" s="231">
        <v>1200</v>
      </c>
      <c r="H78" s="231">
        <v>1200</v>
      </c>
      <c r="I78" s="231">
        <v>505</v>
      </c>
      <c r="J78" s="231">
        <v>498.25</v>
      </c>
      <c r="K78" s="231">
        <f t="shared" si="8"/>
        <v>98.66336633663366</v>
      </c>
    </row>
    <row r="79" spans="1:11" ht="63">
      <c r="A79" s="9" t="s">
        <v>900</v>
      </c>
      <c r="B79" s="226" t="s">
        <v>901</v>
      </c>
      <c r="C79" s="238">
        <f>C80</f>
        <v>0</v>
      </c>
      <c r="D79" s="231">
        <f>SUM(D80)</f>
        <v>15</v>
      </c>
      <c r="E79" s="238">
        <f>E80</f>
        <v>15</v>
      </c>
      <c r="F79" s="231">
        <f>F80</f>
        <v>50</v>
      </c>
      <c r="G79" s="231">
        <f aca="true" t="shared" si="63" ref="G79:H79">G80</f>
        <v>50</v>
      </c>
      <c r="H79" s="231">
        <f t="shared" si="63"/>
        <v>50</v>
      </c>
      <c r="I79" s="231">
        <f>I80</f>
        <v>50</v>
      </c>
      <c r="J79" s="231">
        <f aca="true" t="shared" si="64" ref="J79">J80</f>
        <v>0</v>
      </c>
      <c r="K79" s="231">
        <f aca="true" t="shared" si="65" ref="K79:K85">SUM(J79/I79)*100</f>
        <v>0</v>
      </c>
    </row>
    <row r="80" spans="1:11" ht="63">
      <c r="A80" s="10" t="s">
        <v>902</v>
      </c>
      <c r="B80" s="219" t="s">
        <v>903</v>
      </c>
      <c r="C80" s="239">
        <v>0</v>
      </c>
      <c r="D80" s="232">
        <v>15</v>
      </c>
      <c r="E80" s="239">
        <v>15</v>
      </c>
      <c r="F80" s="232">
        <v>50</v>
      </c>
      <c r="G80" s="240">
        <v>50</v>
      </c>
      <c r="H80" s="240">
        <v>50</v>
      </c>
      <c r="I80" s="232">
        <v>50</v>
      </c>
      <c r="J80" s="232">
        <v>0</v>
      </c>
      <c r="K80" s="232">
        <f t="shared" si="65"/>
        <v>0</v>
      </c>
    </row>
    <row r="81" spans="1:11" ht="31.5">
      <c r="A81" s="164" t="s">
        <v>111</v>
      </c>
      <c r="B81" s="174" t="s">
        <v>112</v>
      </c>
      <c r="C81" s="231">
        <f>C82</f>
        <v>5</v>
      </c>
      <c r="D81" s="231">
        <f aca="true" t="shared" si="66" ref="D81">D82</f>
        <v>232.2</v>
      </c>
      <c r="E81" s="231">
        <f>E82</f>
        <v>232.2</v>
      </c>
      <c r="F81" s="231">
        <f>F82</f>
        <v>5</v>
      </c>
      <c r="G81" s="231">
        <f aca="true" t="shared" si="67" ref="G81:H81">G82</f>
        <v>5</v>
      </c>
      <c r="H81" s="231">
        <f t="shared" si="67"/>
        <v>5</v>
      </c>
      <c r="I81" s="231">
        <f>I82</f>
        <v>5</v>
      </c>
      <c r="J81" s="231">
        <f aca="true" t="shared" si="68" ref="J81">J82</f>
        <v>259.77</v>
      </c>
      <c r="K81" s="231">
        <f t="shared" si="65"/>
        <v>5195.4</v>
      </c>
    </row>
    <row r="82" spans="1:11" ht="31.5">
      <c r="A82" s="321" t="s">
        <v>113</v>
      </c>
      <c r="B82" s="166" t="s">
        <v>114</v>
      </c>
      <c r="C82" s="232">
        <v>5</v>
      </c>
      <c r="D82" s="232">
        <v>232.2</v>
      </c>
      <c r="E82" s="232">
        <v>232.2</v>
      </c>
      <c r="F82" s="232">
        <v>5</v>
      </c>
      <c r="G82" s="234">
        <v>5</v>
      </c>
      <c r="H82" s="234">
        <v>5</v>
      </c>
      <c r="I82" s="232">
        <v>5</v>
      </c>
      <c r="J82" s="232">
        <v>259.77</v>
      </c>
      <c r="K82" s="232">
        <f t="shared" si="65"/>
        <v>5195.4</v>
      </c>
    </row>
    <row r="83" spans="1:11" ht="63">
      <c r="A83" s="164" t="s">
        <v>115</v>
      </c>
      <c r="B83" s="174" t="s">
        <v>116</v>
      </c>
      <c r="C83" s="231">
        <v>215</v>
      </c>
      <c r="D83" s="231">
        <v>14</v>
      </c>
      <c r="E83" s="231">
        <v>215</v>
      </c>
      <c r="F83" s="231">
        <v>207</v>
      </c>
      <c r="G83" s="231">
        <v>207</v>
      </c>
      <c r="H83" s="231">
        <v>207</v>
      </c>
      <c r="I83" s="231">
        <v>207</v>
      </c>
      <c r="J83" s="231">
        <v>49.49</v>
      </c>
      <c r="K83" s="231">
        <f t="shared" si="65"/>
        <v>23.908212560386474</v>
      </c>
    </row>
    <row r="84" spans="1:11" ht="18.75" customHeight="1" hidden="1">
      <c r="A84" s="164" t="s">
        <v>117</v>
      </c>
      <c r="B84" s="174" t="s">
        <v>118</v>
      </c>
      <c r="C84" s="231">
        <f>C85</f>
        <v>547.5</v>
      </c>
      <c r="D84" s="231">
        <f aca="true" t="shared" si="69" ref="D84">D85</f>
        <v>471.3</v>
      </c>
      <c r="E84" s="231">
        <f>E85</f>
        <v>547.5</v>
      </c>
      <c r="F84" s="231">
        <f>F85</f>
        <v>331</v>
      </c>
      <c r="G84" s="231">
        <f aca="true" t="shared" si="70" ref="G84:H84">G85</f>
        <v>381</v>
      </c>
      <c r="H84" s="231">
        <f t="shared" si="70"/>
        <v>381</v>
      </c>
      <c r="I84" s="231">
        <f>I85</f>
        <v>331</v>
      </c>
      <c r="J84" s="231">
        <f aca="true" t="shared" si="71" ref="J84">J85</f>
        <v>344.45</v>
      </c>
      <c r="K84" s="231">
        <f t="shared" si="65"/>
        <v>104.06344410876132</v>
      </c>
    </row>
    <row r="85" spans="1:11" ht="18.75" customHeight="1" hidden="1">
      <c r="A85" s="321" t="s">
        <v>119</v>
      </c>
      <c r="B85" s="166" t="s">
        <v>120</v>
      </c>
      <c r="C85" s="232">
        <v>547.5</v>
      </c>
      <c r="D85" s="232">
        <v>471.3</v>
      </c>
      <c r="E85" s="232">
        <v>547.5</v>
      </c>
      <c r="F85" s="232">
        <v>331</v>
      </c>
      <c r="G85" s="234">
        <v>381</v>
      </c>
      <c r="H85" s="234">
        <v>381</v>
      </c>
      <c r="I85" s="232">
        <v>331</v>
      </c>
      <c r="J85" s="232">
        <v>344.45</v>
      </c>
      <c r="K85" s="232">
        <f t="shared" si="65"/>
        <v>104.06344410876132</v>
      </c>
    </row>
    <row r="86" spans="1:11" ht="18.75" customHeight="1" hidden="1">
      <c r="A86" s="3" t="s">
        <v>904</v>
      </c>
      <c r="B86" s="226" t="s">
        <v>905</v>
      </c>
      <c r="C86" s="232">
        <v>0</v>
      </c>
      <c r="D86" s="231">
        <f>SUM(D89+D87)</f>
        <v>726.764</v>
      </c>
      <c r="E86" s="231">
        <f aca="true" t="shared" si="72" ref="E86:J86">SUM(E89+E87)</f>
        <v>359.4</v>
      </c>
      <c r="F86" s="231">
        <f t="shared" si="72"/>
        <v>0</v>
      </c>
      <c r="G86" s="231">
        <f t="shared" si="72"/>
        <v>0</v>
      </c>
      <c r="H86" s="231">
        <f t="shared" si="72"/>
        <v>0</v>
      </c>
      <c r="I86" s="231">
        <f t="shared" si="72"/>
        <v>0</v>
      </c>
      <c r="J86" s="231">
        <f t="shared" si="72"/>
        <v>742.17</v>
      </c>
      <c r="K86" s="231" t="s">
        <v>1051</v>
      </c>
    </row>
    <row r="87" spans="1:11" ht="18.75" customHeight="1" hidden="1">
      <c r="A87" s="2" t="s">
        <v>906</v>
      </c>
      <c r="B87" s="226" t="s">
        <v>907</v>
      </c>
      <c r="C87" s="232">
        <v>0</v>
      </c>
      <c r="D87" s="231">
        <f>SUM(D88)</f>
        <v>367.375</v>
      </c>
      <c r="E87" s="231">
        <f aca="true" t="shared" si="73" ref="E87:J87">SUM(E88)</f>
        <v>0</v>
      </c>
      <c r="F87" s="231">
        <f t="shared" si="73"/>
        <v>0</v>
      </c>
      <c r="G87" s="231">
        <f t="shared" si="73"/>
        <v>0</v>
      </c>
      <c r="H87" s="231">
        <f t="shared" si="73"/>
        <v>0</v>
      </c>
      <c r="I87" s="231">
        <f t="shared" si="73"/>
        <v>0</v>
      </c>
      <c r="J87" s="231">
        <f t="shared" si="73"/>
        <v>0</v>
      </c>
      <c r="K87" s="231" t="s">
        <v>1051</v>
      </c>
    </row>
    <row r="88" spans="1:11" ht="18.75" customHeight="1" hidden="1">
      <c r="A88" s="2" t="s">
        <v>908</v>
      </c>
      <c r="B88" s="219" t="s">
        <v>909</v>
      </c>
      <c r="C88" s="232">
        <v>0</v>
      </c>
      <c r="D88" s="232">
        <v>367.375</v>
      </c>
      <c r="E88" s="232">
        <v>0</v>
      </c>
      <c r="F88" s="232">
        <v>0</v>
      </c>
      <c r="G88" s="234">
        <v>0</v>
      </c>
      <c r="H88" s="234">
        <v>0</v>
      </c>
      <c r="I88" s="232">
        <v>0</v>
      </c>
      <c r="J88" s="232">
        <v>0</v>
      </c>
      <c r="K88" s="232" t="s">
        <v>1051</v>
      </c>
    </row>
    <row r="89" spans="1:16" ht="18.75">
      <c r="A89" s="3" t="s">
        <v>910</v>
      </c>
      <c r="B89" s="226" t="s">
        <v>911</v>
      </c>
      <c r="C89" s="232">
        <v>0</v>
      </c>
      <c r="D89" s="231">
        <f>SUM(D90)</f>
        <v>359.389</v>
      </c>
      <c r="E89" s="231">
        <f aca="true" t="shared" si="74" ref="E89:J89">SUM(E90)</f>
        <v>359.4</v>
      </c>
      <c r="F89" s="231">
        <f t="shared" si="74"/>
        <v>0</v>
      </c>
      <c r="G89" s="231">
        <f t="shared" si="74"/>
        <v>0</v>
      </c>
      <c r="H89" s="231">
        <f t="shared" si="74"/>
        <v>0</v>
      </c>
      <c r="I89" s="231">
        <f t="shared" si="74"/>
        <v>0</v>
      </c>
      <c r="J89" s="231">
        <f t="shared" si="74"/>
        <v>742.17</v>
      </c>
      <c r="K89" s="231" t="s">
        <v>1051</v>
      </c>
      <c r="N89" s="273"/>
      <c r="P89" s="140"/>
    </row>
    <row r="90" spans="1:15" ht="18.75">
      <c r="A90" s="2" t="s">
        <v>912</v>
      </c>
      <c r="B90" s="219" t="s">
        <v>913</v>
      </c>
      <c r="C90" s="232">
        <v>0</v>
      </c>
      <c r="D90" s="232">
        <v>359.389</v>
      </c>
      <c r="E90" s="232">
        <v>359.4</v>
      </c>
      <c r="F90" s="232">
        <v>0</v>
      </c>
      <c r="G90" s="234">
        <v>0</v>
      </c>
      <c r="H90" s="234">
        <v>0</v>
      </c>
      <c r="I90" s="232">
        <v>0</v>
      </c>
      <c r="J90" s="232">
        <v>742.17</v>
      </c>
      <c r="K90" s="232" t="s">
        <v>1051</v>
      </c>
      <c r="L90" s="177"/>
      <c r="N90" s="273"/>
      <c r="O90" s="140"/>
    </row>
    <row r="91" spans="1:12" ht="18.75">
      <c r="A91" s="164" t="s">
        <v>121</v>
      </c>
      <c r="B91" s="165" t="s">
        <v>122</v>
      </c>
      <c r="C91" s="231" t="e">
        <f>C92</f>
        <v>#REF!</v>
      </c>
      <c r="D91" s="231" t="e">
        <f>D92+D152</f>
        <v>#REF!</v>
      </c>
      <c r="E91" s="231" t="e">
        <f>E92</f>
        <v>#REF!</v>
      </c>
      <c r="F91" s="231" t="e">
        <f>F92</f>
        <v>#REF!</v>
      </c>
      <c r="G91" s="231" t="e">
        <f aca="true" t="shared" si="75" ref="G91:H91">G92</f>
        <v>#REF!</v>
      </c>
      <c r="H91" s="231" t="e">
        <f t="shared" si="75"/>
        <v>#REF!</v>
      </c>
      <c r="I91" s="231">
        <f>SUM(I92+I152)</f>
        <v>478201.39999999997</v>
      </c>
      <c r="J91" s="231">
        <f>SUM(J92+J152+J160)</f>
        <v>471423.68912999996</v>
      </c>
      <c r="K91" s="231">
        <f aca="true" t="shared" si="76" ref="K91:K142">SUM(J91/I91)*100</f>
        <v>98.58266603360006</v>
      </c>
      <c r="L91" s="177"/>
    </row>
    <row r="92" spans="1:11" ht="31.5">
      <c r="A92" s="164" t="s">
        <v>123</v>
      </c>
      <c r="B92" s="165" t="s">
        <v>124</v>
      </c>
      <c r="C92" s="231" t="e">
        <f aca="true" t="shared" si="77" ref="C92:H92">C93+C101+C127+C148</f>
        <v>#REF!</v>
      </c>
      <c r="D92" s="231" t="e">
        <f t="shared" si="77"/>
        <v>#REF!</v>
      </c>
      <c r="E92" s="231" t="e">
        <f t="shared" si="77"/>
        <v>#REF!</v>
      </c>
      <c r="F92" s="231" t="e">
        <f t="shared" si="77"/>
        <v>#REF!</v>
      </c>
      <c r="G92" s="231" t="e">
        <f t="shared" si="77"/>
        <v>#REF!</v>
      </c>
      <c r="H92" s="231" t="e">
        <f t="shared" si="77"/>
        <v>#REF!</v>
      </c>
      <c r="I92" s="231">
        <f>SUM(I93+I101+I127+I148)</f>
        <v>432128.69999999995</v>
      </c>
      <c r="J92" s="231">
        <f>SUM(J93+J101+J127+J148)</f>
        <v>430167.74451</v>
      </c>
      <c r="K92" s="231">
        <f t="shared" si="76"/>
        <v>99.54621030956751</v>
      </c>
    </row>
    <row r="93" spans="1:11" ht="18.75">
      <c r="A93" s="164" t="s">
        <v>125</v>
      </c>
      <c r="B93" s="175" t="s">
        <v>126</v>
      </c>
      <c r="C93" s="231">
        <f>C94</f>
        <v>105360</v>
      </c>
      <c r="D93" s="231">
        <f aca="true" t="shared" si="78" ref="D93">D94</f>
        <v>79011</v>
      </c>
      <c r="E93" s="231">
        <f>E94</f>
        <v>105360</v>
      </c>
      <c r="F93" s="231">
        <f>F94</f>
        <v>115839.7</v>
      </c>
      <c r="G93" s="231">
        <f aca="true" t="shared" si="79" ref="G93:H93">G94</f>
        <v>105360</v>
      </c>
      <c r="H93" s="231">
        <f t="shared" si="79"/>
        <v>105360</v>
      </c>
      <c r="I93" s="231">
        <f>SUM(I94+I97+I99)</f>
        <v>117679.29999999999</v>
      </c>
      <c r="J93" s="231">
        <f aca="true" t="shared" si="80" ref="J93">SUM(J94+J97+J99)</f>
        <v>117679.29999999999</v>
      </c>
      <c r="K93" s="231">
        <f t="shared" si="76"/>
        <v>100</v>
      </c>
    </row>
    <row r="94" spans="1:11" ht="18.75">
      <c r="A94" s="164" t="s">
        <v>1039</v>
      </c>
      <c r="B94" s="165" t="s">
        <v>1038</v>
      </c>
      <c r="C94" s="231">
        <f>SUM(C95+C96)</f>
        <v>105360</v>
      </c>
      <c r="D94" s="231">
        <f aca="true" t="shared" si="81" ref="D94">SUM(D95+D96)</f>
        <v>79011</v>
      </c>
      <c r="E94" s="231">
        <f>SUM(E95+E96)</f>
        <v>105360</v>
      </c>
      <c r="F94" s="231">
        <f>SUM(F95+F96)</f>
        <v>115839.7</v>
      </c>
      <c r="G94" s="231">
        <f aca="true" t="shared" si="82" ref="G94:H94">SUM(G95+G96)</f>
        <v>105360</v>
      </c>
      <c r="H94" s="231">
        <f t="shared" si="82"/>
        <v>105360</v>
      </c>
      <c r="I94" s="231">
        <f>SUM(I95+I96)</f>
        <v>112828</v>
      </c>
      <c r="J94" s="231">
        <f aca="true" t="shared" si="83" ref="J94">SUM(J95+J96)</f>
        <v>112828</v>
      </c>
      <c r="K94" s="231">
        <f t="shared" si="76"/>
        <v>100</v>
      </c>
    </row>
    <row r="95" spans="1:12" s="270" customFormat="1" ht="94.5">
      <c r="A95" s="167" t="s">
        <v>127</v>
      </c>
      <c r="B95" s="172" t="s">
        <v>128</v>
      </c>
      <c r="C95" s="232">
        <v>104300</v>
      </c>
      <c r="D95" s="232">
        <v>78219</v>
      </c>
      <c r="E95" s="232">
        <v>104300</v>
      </c>
      <c r="F95" s="232">
        <f>104300+28315-2567.5-18351+5224.9+38-9780.7+7561+40</f>
        <v>114779.7</v>
      </c>
      <c r="G95" s="232">
        <v>104300</v>
      </c>
      <c r="H95" s="232">
        <v>104300</v>
      </c>
      <c r="I95" s="232">
        <v>111781</v>
      </c>
      <c r="J95" s="232">
        <v>111781</v>
      </c>
      <c r="K95" s="232">
        <f t="shared" si="76"/>
        <v>100</v>
      </c>
      <c r="L95" s="155"/>
    </row>
    <row r="96" spans="1:12" s="177" customFormat="1" ht="94.5">
      <c r="A96" s="167" t="s">
        <v>127</v>
      </c>
      <c r="B96" s="172" t="s">
        <v>129</v>
      </c>
      <c r="C96" s="232">
        <v>1060</v>
      </c>
      <c r="D96" s="232">
        <v>792</v>
      </c>
      <c r="E96" s="232">
        <v>1060</v>
      </c>
      <c r="F96" s="232">
        <v>1060</v>
      </c>
      <c r="G96" s="232">
        <v>1060</v>
      </c>
      <c r="H96" s="232">
        <v>1060</v>
      </c>
      <c r="I96" s="232">
        <v>1047</v>
      </c>
      <c r="J96" s="232">
        <v>1047</v>
      </c>
      <c r="K96" s="232">
        <f t="shared" si="76"/>
        <v>100</v>
      </c>
      <c r="L96" s="325"/>
    </row>
    <row r="97" spans="1:12" s="270" customFormat="1" ht="31.5">
      <c r="A97" s="161" t="s">
        <v>1040</v>
      </c>
      <c r="B97" s="165" t="s">
        <v>1041</v>
      </c>
      <c r="C97" s="231">
        <v>105360</v>
      </c>
      <c r="D97" s="231">
        <v>79011</v>
      </c>
      <c r="E97" s="231">
        <v>105360</v>
      </c>
      <c r="F97" s="231">
        <v>115839.7</v>
      </c>
      <c r="G97" s="231">
        <v>105360</v>
      </c>
      <c r="H97" s="231">
        <v>105360</v>
      </c>
      <c r="I97" s="231">
        <f>SUM(I98)</f>
        <v>2999.9</v>
      </c>
      <c r="J97" s="231">
        <f aca="true" t="shared" si="84" ref="J97">SUM(J98)</f>
        <v>2999.9</v>
      </c>
      <c r="K97" s="231">
        <f t="shared" si="76"/>
        <v>100</v>
      </c>
      <c r="L97" s="325"/>
    </row>
    <row r="98" spans="1:12" s="177" customFormat="1" ht="31.5">
      <c r="A98" s="159" t="s">
        <v>1022</v>
      </c>
      <c r="B98" s="172" t="s">
        <v>1023</v>
      </c>
      <c r="C98" s="232">
        <v>105360</v>
      </c>
      <c r="D98" s="232">
        <v>79011</v>
      </c>
      <c r="E98" s="232">
        <v>105360</v>
      </c>
      <c r="F98" s="232">
        <v>115839.7</v>
      </c>
      <c r="G98" s="232">
        <v>105360</v>
      </c>
      <c r="H98" s="232">
        <v>105360</v>
      </c>
      <c r="I98" s="232">
        <v>2999.9</v>
      </c>
      <c r="J98" s="232">
        <v>2999.9</v>
      </c>
      <c r="K98" s="232">
        <f t="shared" si="76"/>
        <v>100</v>
      </c>
      <c r="L98" s="325"/>
    </row>
    <row r="99" spans="1:15" ht="30" customHeight="1">
      <c r="A99" s="161" t="s">
        <v>1024</v>
      </c>
      <c r="B99" s="165" t="s">
        <v>1025</v>
      </c>
      <c r="C99" s="231"/>
      <c r="D99" s="231"/>
      <c r="E99" s="231"/>
      <c r="F99" s="231"/>
      <c r="G99" s="231"/>
      <c r="H99" s="231"/>
      <c r="I99" s="231">
        <f>SUM(I100)</f>
        <v>1851.4</v>
      </c>
      <c r="J99" s="231">
        <f aca="true" t="shared" si="85" ref="J99">SUM(J100)</f>
        <v>1851.4</v>
      </c>
      <c r="K99" s="231">
        <f t="shared" si="76"/>
        <v>100</v>
      </c>
      <c r="M99" s="140"/>
      <c r="N99" s="273"/>
      <c r="O99" s="140"/>
    </row>
    <row r="100" spans="1:13" ht="63">
      <c r="A100" s="159" t="s">
        <v>1024</v>
      </c>
      <c r="B100" s="172" t="s">
        <v>1026</v>
      </c>
      <c r="C100" s="232"/>
      <c r="D100" s="232"/>
      <c r="E100" s="232"/>
      <c r="F100" s="232"/>
      <c r="G100" s="232"/>
      <c r="H100" s="232"/>
      <c r="I100" s="232">
        <v>1851.4</v>
      </c>
      <c r="J100" s="232">
        <v>1851.4</v>
      </c>
      <c r="K100" s="232">
        <f t="shared" si="76"/>
        <v>100</v>
      </c>
      <c r="M100" s="177"/>
    </row>
    <row r="101" spans="1:11" s="177" customFormat="1" ht="31.5">
      <c r="A101" s="164" t="s">
        <v>130</v>
      </c>
      <c r="B101" s="165" t="s">
        <v>131</v>
      </c>
      <c r="C101" s="231" t="e">
        <f aca="true" t="shared" si="86" ref="C101:H101">C102+C104+C106+C108</f>
        <v>#REF!</v>
      </c>
      <c r="D101" s="231" t="e">
        <f t="shared" si="86"/>
        <v>#REF!</v>
      </c>
      <c r="E101" s="231" t="e">
        <f t="shared" si="86"/>
        <v>#REF!</v>
      </c>
      <c r="F101" s="231" t="e">
        <f t="shared" si="86"/>
        <v>#REF!</v>
      </c>
      <c r="G101" s="231" t="e">
        <f t="shared" si="86"/>
        <v>#REF!</v>
      </c>
      <c r="H101" s="231" t="e">
        <f t="shared" si="86"/>
        <v>#REF!</v>
      </c>
      <c r="I101" s="231">
        <f>I102+I106+I104+I108</f>
        <v>128934.9</v>
      </c>
      <c r="J101" s="231">
        <f aca="true" t="shared" si="87" ref="J101">J102+J106+J104+J108</f>
        <v>128358.88778999998</v>
      </c>
      <c r="K101" s="231">
        <f t="shared" si="76"/>
        <v>99.55325345581375</v>
      </c>
    </row>
    <row r="102" spans="1:12" ht="31.5">
      <c r="A102" s="176" t="s">
        <v>994</v>
      </c>
      <c r="B102" s="165" t="s">
        <v>1002</v>
      </c>
      <c r="C102" s="231">
        <f>SUM(C103)</f>
        <v>319</v>
      </c>
      <c r="D102" s="231">
        <f aca="true" t="shared" si="88" ref="D102">SUM(D103)</f>
        <v>319</v>
      </c>
      <c r="E102" s="231">
        <f>SUM(E103)</f>
        <v>319</v>
      </c>
      <c r="F102" s="231">
        <f>SUM(F103)</f>
        <v>0</v>
      </c>
      <c r="G102" s="231">
        <f aca="true" t="shared" si="89" ref="G102:H102">SUM(G103)</f>
        <v>0</v>
      </c>
      <c r="H102" s="231">
        <f t="shared" si="89"/>
        <v>0</v>
      </c>
      <c r="I102" s="231">
        <f>SUM(I103)</f>
        <v>620.6</v>
      </c>
      <c r="J102" s="231">
        <f aca="true" t="shared" si="90" ref="J102">SUM(J103)</f>
        <v>432.82257</v>
      </c>
      <c r="K102" s="231">
        <f t="shared" si="76"/>
        <v>69.74259909764743</v>
      </c>
      <c r="L102" s="177"/>
    </row>
    <row r="103" spans="1:11" s="177" customFormat="1" ht="110.25">
      <c r="A103" s="322" t="s">
        <v>994</v>
      </c>
      <c r="B103" s="172" t="s">
        <v>979</v>
      </c>
      <c r="C103" s="232">
        <v>319</v>
      </c>
      <c r="D103" s="232">
        <v>319</v>
      </c>
      <c r="E103" s="232">
        <v>319</v>
      </c>
      <c r="F103" s="232">
        <v>0</v>
      </c>
      <c r="G103" s="232">
        <v>0</v>
      </c>
      <c r="H103" s="232">
        <v>0</v>
      </c>
      <c r="I103" s="232">
        <v>620.6</v>
      </c>
      <c r="J103" s="232">
        <v>432.82257</v>
      </c>
      <c r="K103" s="232">
        <f t="shared" si="76"/>
        <v>69.74259909764743</v>
      </c>
    </row>
    <row r="104" spans="1:13" ht="31.5">
      <c r="A104" s="176" t="s">
        <v>778</v>
      </c>
      <c r="B104" s="165" t="s">
        <v>1016</v>
      </c>
      <c r="C104" s="231">
        <f>SUM(C105)</f>
        <v>3.5</v>
      </c>
      <c r="D104" s="231">
        <f aca="true" t="shared" si="91" ref="D104">SUM(D105)</f>
        <v>3.5</v>
      </c>
      <c r="E104" s="231">
        <f>SUM(E105)</f>
        <v>3.5</v>
      </c>
      <c r="F104" s="231">
        <f>SUM(F105)</f>
        <v>0</v>
      </c>
      <c r="G104" s="231">
        <f aca="true" t="shared" si="92" ref="G104:H104">SUM(G105)</f>
        <v>0</v>
      </c>
      <c r="H104" s="231">
        <f t="shared" si="92"/>
        <v>0</v>
      </c>
      <c r="I104" s="231">
        <f>SUM(I105)</f>
        <v>3.3</v>
      </c>
      <c r="J104" s="231">
        <f aca="true" t="shared" si="93" ref="J104">SUM(J105)</f>
        <v>3.2967</v>
      </c>
      <c r="K104" s="231">
        <f t="shared" si="76"/>
        <v>99.9</v>
      </c>
      <c r="L104" s="177"/>
      <c r="M104" s="177"/>
    </row>
    <row r="105" spans="1:12" s="177" customFormat="1" ht="78.75">
      <c r="A105" s="322" t="s">
        <v>778</v>
      </c>
      <c r="B105" s="172" t="s">
        <v>975</v>
      </c>
      <c r="C105" s="232">
        <v>3.5</v>
      </c>
      <c r="D105" s="232">
        <v>3.5</v>
      </c>
      <c r="E105" s="232">
        <v>3.5</v>
      </c>
      <c r="F105" s="232">
        <v>0</v>
      </c>
      <c r="G105" s="232">
        <v>0</v>
      </c>
      <c r="H105" s="232">
        <v>0</v>
      </c>
      <c r="I105" s="232">
        <v>3.3</v>
      </c>
      <c r="J105" s="232">
        <v>3.2967</v>
      </c>
      <c r="K105" s="232">
        <f t="shared" si="76"/>
        <v>99.9</v>
      </c>
      <c r="L105" s="155"/>
    </row>
    <row r="106" spans="1:15" s="270" customFormat="1" ht="47.25">
      <c r="A106" s="176" t="s">
        <v>780</v>
      </c>
      <c r="B106" s="165" t="s">
        <v>779</v>
      </c>
      <c r="C106" s="231">
        <f>SUM(C107)</f>
        <v>1406.9</v>
      </c>
      <c r="D106" s="231">
        <f aca="true" t="shared" si="94" ref="D106">SUM(D107)</f>
        <v>1406.9</v>
      </c>
      <c r="E106" s="231">
        <f>SUM(E107)</f>
        <v>1406.9</v>
      </c>
      <c r="F106" s="231">
        <f>SUM(F107)</f>
        <v>0</v>
      </c>
      <c r="G106" s="231">
        <f aca="true" t="shared" si="95" ref="G106:H106">SUM(G107)</f>
        <v>0</v>
      </c>
      <c r="H106" s="231">
        <f t="shared" si="95"/>
        <v>0</v>
      </c>
      <c r="I106" s="231">
        <f>SUM(I107)</f>
        <v>1525.3</v>
      </c>
      <c r="J106" s="231">
        <f aca="true" t="shared" si="96" ref="J106">SUM(J107)</f>
        <v>1525.208</v>
      </c>
      <c r="K106" s="231">
        <f t="shared" si="76"/>
        <v>99.9939683996591</v>
      </c>
      <c r="L106" s="155"/>
      <c r="M106" s="273"/>
      <c r="O106" s="271"/>
    </row>
    <row r="107" spans="1:11" ht="110.25">
      <c r="A107" s="322" t="s">
        <v>780</v>
      </c>
      <c r="B107" s="172" t="s">
        <v>936</v>
      </c>
      <c r="C107" s="232">
        <v>1406.9</v>
      </c>
      <c r="D107" s="232">
        <v>1406.9</v>
      </c>
      <c r="E107" s="232">
        <v>1406.9</v>
      </c>
      <c r="F107" s="232">
        <v>0</v>
      </c>
      <c r="G107" s="232">
        <v>0</v>
      </c>
      <c r="H107" s="232">
        <v>0</v>
      </c>
      <c r="I107" s="232">
        <f>1387.9+137.3+0.1</f>
        <v>1525.3</v>
      </c>
      <c r="J107" s="232">
        <v>1525.208</v>
      </c>
      <c r="K107" s="232">
        <f t="shared" si="76"/>
        <v>99.9939683996591</v>
      </c>
    </row>
    <row r="108" spans="1:11" ht="18.75">
      <c r="A108" s="384" t="s">
        <v>132</v>
      </c>
      <c r="B108" s="165" t="s">
        <v>133</v>
      </c>
      <c r="C108" s="231" t="e">
        <f>SUM(C110+C111+C112+C113+C116+C117+#REF!+C118+#REF!+#REF!+#REF!+C119+#REF!+#REF!+#REF!+#REF!+#REF!+#REF!)</f>
        <v>#REF!</v>
      </c>
      <c r="D108" s="231" t="e">
        <f>SUM(D110+D111+D112+D113+D116+D117+#REF!+D118+#REF!+#REF!+#REF!+D119+#REF!+#REF!+#REF!+#REF!+#REF!+#REF!)</f>
        <v>#REF!</v>
      </c>
      <c r="E108" s="231" t="e">
        <f>SUM(E110+E111+E112+E113+E116+E117+#REF!+E118+#REF!+#REF!+#REF!+E119+#REF!+#REF!+#REF!+#REF!+#REF!+#REF!)</f>
        <v>#REF!</v>
      </c>
      <c r="F108" s="231" t="e">
        <f>SUM(F110+F111+F112+F113+F116+F117+#REF!+F118+#REF!+#REF!+#REF!+F119+#REF!+#REF!+#REF!+#REF!+#REF!+#REF!)</f>
        <v>#REF!</v>
      </c>
      <c r="G108" s="231" t="e">
        <f>SUM(G110+G111+G112+G113+G116+G117+#REF!+G118+#REF!+#REF!+#REF!+G119+#REF!+#REF!+#REF!+#REF!+#REF!+#REF!)</f>
        <v>#REF!</v>
      </c>
      <c r="H108" s="231" t="e">
        <f>SUM(H110+H111+H112+H113+H116+H117+#REF!+H118+#REF!+#REF!+#REF!+H119+#REF!+#REF!+#REF!+#REF!+#REF!+#REF!)</f>
        <v>#REF!</v>
      </c>
      <c r="I108" s="326">
        <f>SUM(I110+I111+I112+I113+I116+I117+I118+I119+I120+I121+I122+I123+I124+I125+I126)</f>
        <v>126785.7</v>
      </c>
      <c r="J108" s="326">
        <f aca="true" t="shared" si="97" ref="J108">SUM(J110+J111+J112+J113+J116+J117+J118+J119+J120+J121+J122+J123+J124+J125+J126)</f>
        <v>126397.56051999998</v>
      </c>
      <c r="K108" s="326">
        <f t="shared" si="76"/>
        <v>99.6938617840971</v>
      </c>
    </row>
    <row r="109" spans="1:11" ht="18.75">
      <c r="A109" s="385"/>
      <c r="B109" s="172" t="s">
        <v>134</v>
      </c>
      <c r="C109" s="232"/>
      <c r="D109" s="232"/>
      <c r="E109" s="232"/>
      <c r="F109" s="232"/>
      <c r="G109" s="232"/>
      <c r="H109" s="232"/>
      <c r="I109" s="232"/>
      <c r="J109" s="232"/>
      <c r="K109" s="232"/>
    </row>
    <row r="110" spans="1:15" ht="141.75">
      <c r="A110" s="385"/>
      <c r="B110" s="172" t="s">
        <v>931</v>
      </c>
      <c r="C110" s="232">
        <v>18292</v>
      </c>
      <c r="D110" s="232">
        <v>13716</v>
      </c>
      <c r="E110" s="232">
        <v>18292</v>
      </c>
      <c r="F110" s="232">
        <v>18292</v>
      </c>
      <c r="G110" s="232">
        <v>18292</v>
      </c>
      <c r="H110" s="232">
        <v>18292</v>
      </c>
      <c r="I110" s="232">
        <f>55654+16114</f>
        <v>71768</v>
      </c>
      <c r="J110" s="232">
        <f aca="true" t="shared" si="98" ref="J110">55654+16114</f>
        <v>71768</v>
      </c>
      <c r="K110" s="232">
        <f t="shared" si="76"/>
        <v>100</v>
      </c>
      <c r="O110" s="140"/>
    </row>
    <row r="111" spans="1:13" ht="78.75">
      <c r="A111" s="385"/>
      <c r="B111" s="166" t="s">
        <v>945</v>
      </c>
      <c r="C111" s="232">
        <v>177.3</v>
      </c>
      <c r="D111" s="232">
        <v>0</v>
      </c>
      <c r="E111" s="232">
        <v>177.3</v>
      </c>
      <c r="F111" s="232">
        <v>177.3</v>
      </c>
      <c r="G111" s="232">
        <v>177.3</v>
      </c>
      <c r="H111" s="232">
        <v>177.3</v>
      </c>
      <c r="I111" s="232">
        <v>177.3</v>
      </c>
      <c r="J111" s="232">
        <v>177.3</v>
      </c>
      <c r="K111" s="232">
        <f t="shared" si="76"/>
        <v>100</v>
      </c>
      <c r="M111" s="180"/>
    </row>
    <row r="112" spans="1:18" s="180" customFormat="1" ht="94.5" customHeight="1">
      <c r="A112" s="385"/>
      <c r="B112" s="178" t="s">
        <v>792</v>
      </c>
      <c r="C112" s="241">
        <v>1303.8</v>
      </c>
      <c r="D112" s="241">
        <v>1303.8</v>
      </c>
      <c r="E112" s="241">
        <v>1303.8</v>
      </c>
      <c r="F112" s="241">
        <v>1303.8</v>
      </c>
      <c r="G112" s="241">
        <v>1303.8</v>
      </c>
      <c r="H112" s="241">
        <v>1303.8</v>
      </c>
      <c r="I112" s="241">
        <v>1303.8</v>
      </c>
      <c r="J112" s="241">
        <v>1303.8</v>
      </c>
      <c r="K112" s="241">
        <f t="shared" si="76"/>
        <v>100</v>
      </c>
      <c r="L112" s="177"/>
      <c r="R112" s="155"/>
    </row>
    <row r="113" spans="1:18" s="180" customFormat="1" ht="63">
      <c r="A113" s="385"/>
      <c r="B113" s="179" t="s">
        <v>933</v>
      </c>
      <c r="C113" s="242">
        <f>SUM(C114:C115)</f>
        <v>72</v>
      </c>
      <c r="D113" s="242">
        <f>SUM(D114:D115)</f>
        <v>20</v>
      </c>
      <c r="E113" s="242">
        <f>SUM(E114:E115)</f>
        <v>72</v>
      </c>
      <c r="F113" s="242">
        <f>SUM(F114:F115)</f>
        <v>72</v>
      </c>
      <c r="G113" s="242">
        <f aca="true" t="shared" si="99" ref="G113:H113">SUM(G114:G115)</f>
        <v>72</v>
      </c>
      <c r="H113" s="242">
        <f t="shared" si="99"/>
        <v>72</v>
      </c>
      <c r="I113" s="242">
        <f>SUM(I114:I115)</f>
        <v>20.5</v>
      </c>
      <c r="J113" s="242">
        <f aca="true" t="shared" si="100" ref="J113">SUM(J114:J115)</f>
        <v>20.5</v>
      </c>
      <c r="K113" s="242">
        <f t="shared" si="76"/>
        <v>100</v>
      </c>
      <c r="L113" s="177"/>
      <c r="R113" s="155"/>
    </row>
    <row r="114" spans="1:12" ht="94.5">
      <c r="A114" s="385"/>
      <c r="B114" s="197" t="s">
        <v>781</v>
      </c>
      <c r="C114" s="243">
        <v>32</v>
      </c>
      <c r="D114" s="243">
        <v>0</v>
      </c>
      <c r="E114" s="243">
        <v>32</v>
      </c>
      <c r="F114" s="243">
        <v>32</v>
      </c>
      <c r="G114" s="243">
        <v>32</v>
      </c>
      <c r="H114" s="243">
        <v>32</v>
      </c>
      <c r="I114" s="243">
        <v>0</v>
      </c>
      <c r="J114" s="243">
        <v>0</v>
      </c>
      <c r="K114" s="243" t="s">
        <v>1051</v>
      </c>
      <c r="L114" s="180"/>
    </row>
    <row r="115" spans="1:12" ht="110.25">
      <c r="A115" s="385"/>
      <c r="B115" s="198" t="s">
        <v>974</v>
      </c>
      <c r="C115" s="244">
        <v>40</v>
      </c>
      <c r="D115" s="244">
        <v>20</v>
      </c>
      <c r="E115" s="244">
        <v>40</v>
      </c>
      <c r="F115" s="244">
        <v>40</v>
      </c>
      <c r="G115" s="244">
        <v>40</v>
      </c>
      <c r="H115" s="244">
        <v>40</v>
      </c>
      <c r="I115" s="244">
        <v>20.5</v>
      </c>
      <c r="J115" s="244">
        <v>20.5</v>
      </c>
      <c r="K115" s="244">
        <f t="shared" si="76"/>
        <v>100</v>
      </c>
      <c r="L115" s="177"/>
    </row>
    <row r="116" spans="1:11" ht="78.75">
      <c r="A116" s="385"/>
      <c r="B116" s="166" t="s">
        <v>135</v>
      </c>
      <c r="C116" s="232">
        <v>1293.6</v>
      </c>
      <c r="D116" s="232">
        <v>580</v>
      </c>
      <c r="E116" s="232">
        <v>1293.6</v>
      </c>
      <c r="F116" s="232">
        <v>1293.6</v>
      </c>
      <c r="G116" s="232">
        <v>1293.6</v>
      </c>
      <c r="H116" s="232">
        <v>1293.6</v>
      </c>
      <c r="I116" s="232">
        <v>1293.6</v>
      </c>
      <c r="J116" s="232">
        <v>1293.06</v>
      </c>
      <c r="K116" s="232">
        <f t="shared" si="76"/>
        <v>99.9582560296846</v>
      </c>
    </row>
    <row r="117" spans="1:12" ht="78.75">
      <c r="A117" s="385"/>
      <c r="B117" s="166" t="s">
        <v>934</v>
      </c>
      <c r="C117" s="232">
        <v>450</v>
      </c>
      <c r="D117" s="232">
        <v>280</v>
      </c>
      <c r="E117" s="232">
        <v>450</v>
      </c>
      <c r="F117" s="232">
        <v>450</v>
      </c>
      <c r="G117" s="232">
        <v>450</v>
      </c>
      <c r="H117" s="232">
        <v>450</v>
      </c>
      <c r="I117" s="232">
        <v>510</v>
      </c>
      <c r="J117" s="232">
        <v>480</v>
      </c>
      <c r="K117" s="232">
        <f t="shared" si="76"/>
        <v>94.11764705882352</v>
      </c>
      <c r="L117" s="177"/>
    </row>
    <row r="118" spans="1:11" ht="94.5">
      <c r="A118" s="385"/>
      <c r="B118" s="166" t="s">
        <v>935</v>
      </c>
      <c r="C118" s="232">
        <v>488.7</v>
      </c>
      <c r="D118" s="232">
        <v>288.3</v>
      </c>
      <c r="E118" s="232">
        <v>488.7</v>
      </c>
      <c r="F118" s="232">
        <v>488.7</v>
      </c>
      <c r="G118" s="232">
        <v>488.7</v>
      </c>
      <c r="H118" s="232">
        <v>488.7</v>
      </c>
      <c r="I118" s="232">
        <f>488.7+8</f>
        <v>496.7</v>
      </c>
      <c r="J118" s="232">
        <f aca="true" t="shared" si="101" ref="J118">488.7+8</f>
        <v>496.7</v>
      </c>
      <c r="K118" s="232">
        <f t="shared" si="76"/>
        <v>100</v>
      </c>
    </row>
    <row r="119" spans="1:11" ht="94.5">
      <c r="A119" s="385"/>
      <c r="B119" s="166" t="s">
        <v>952</v>
      </c>
      <c r="C119" s="232">
        <v>0.5</v>
      </c>
      <c r="D119" s="232">
        <v>0.5</v>
      </c>
      <c r="E119" s="232">
        <v>0.5</v>
      </c>
      <c r="F119" s="232">
        <v>0</v>
      </c>
      <c r="G119" s="232">
        <v>0</v>
      </c>
      <c r="H119" s="232">
        <v>0</v>
      </c>
      <c r="I119" s="232">
        <v>16042</v>
      </c>
      <c r="J119" s="232">
        <v>16042</v>
      </c>
      <c r="K119" s="232">
        <f t="shared" si="76"/>
        <v>100</v>
      </c>
    </row>
    <row r="120" spans="1:12" s="268" customFormat="1" ht="78.75">
      <c r="A120" s="385"/>
      <c r="B120" s="264" t="s">
        <v>965</v>
      </c>
      <c r="C120" s="232"/>
      <c r="D120" s="232"/>
      <c r="E120" s="232"/>
      <c r="F120" s="232"/>
      <c r="G120" s="232"/>
      <c r="H120" s="232"/>
      <c r="I120" s="232">
        <f>1915.9+255</f>
        <v>2170.9</v>
      </c>
      <c r="J120" s="232">
        <f aca="true" t="shared" si="102" ref="J120">1915.9+255</f>
        <v>2170.9</v>
      </c>
      <c r="K120" s="232">
        <f t="shared" si="76"/>
        <v>100</v>
      </c>
      <c r="L120" s="155"/>
    </row>
    <row r="121" spans="1:11" s="268" customFormat="1" ht="94.5">
      <c r="A121" s="385"/>
      <c r="B121" s="264" t="s">
        <v>969</v>
      </c>
      <c r="C121" s="232"/>
      <c r="D121" s="232"/>
      <c r="E121" s="232"/>
      <c r="F121" s="232"/>
      <c r="G121" s="232"/>
      <c r="H121" s="232"/>
      <c r="I121" s="232">
        <v>289.6</v>
      </c>
      <c r="J121" s="232">
        <v>289.6</v>
      </c>
      <c r="K121" s="232">
        <f t="shared" si="76"/>
        <v>100</v>
      </c>
    </row>
    <row r="122" spans="1:11" s="268" customFormat="1" ht="47.25">
      <c r="A122" s="385"/>
      <c r="B122" s="264" t="s">
        <v>978</v>
      </c>
      <c r="C122" s="272">
        <v>0</v>
      </c>
      <c r="D122" s="272">
        <v>0</v>
      </c>
      <c r="E122" s="272">
        <v>0</v>
      </c>
      <c r="F122" s="272">
        <f aca="true" t="shared" si="103" ref="F122:H122">SUM(E122-D122)</f>
        <v>0</v>
      </c>
      <c r="G122" s="272">
        <f t="shared" si="103"/>
        <v>0</v>
      </c>
      <c r="H122" s="272">
        <f t="shared" si="103"/>
        <v>0</v>
      </c>
      <c r="I122" s="272">
        <v>670</v>
      </c>
      <c r="J122" s="272">
        <v>436.90052</v>
      </c>
      <c r="K122" s="272">
        <f t="shared" si="76"/>
        <v>65.20903283582089</v>
      </c>
    </row>
    <row r="123" spans="1:11" s="268" customFormat="1" ht="78.75">
      <c r="A123" s="385"/>
      <c r="B123" s="264" t="s">
        <v>1013</v>
      </c>
      <c r="C123" s="272"/>
      <c r="D123" s="272"/>
      <c r="E123" s="272"/>
      <c r="F123" s="272"/>
      <c r="G123" s="272"/>
      <c r="H123" s="272"/>
      <c r="I123" s="272">
        <v>500</v>
      </c>
      <c r="J123" s="272">
        <v>499.9</v>
      </c>
      <c r="K123" s="272">
        <f t="shared" si="76"/>
        <v>99.97999999999999</v>
      </c>
    </row>
    <row r="124" spans="1:11" s="268" customFormat="1" ht="157.5">
      <c r="A124" s="385"/>
      <c r="B124" s="264" t="s">
        <v>1014</v>
      </c>
      <c r="C124" s="272"/>
      <c r="D124" s="272"/>
      <c r="E124" s="272"/>
      <c r="F124" s="272"/>
      <c r="G124" s="272"/>
      <c r="H124" s="272"/>
      <c r="I124" s="272">
        <v>124.4</v>
      </c>
      <c r="J124" s="272">
        <v>0</v>
      </c>
      <c r="K124" s="272">
        <f t="shared" si="76"/>
        <v>0</v>
      </c>
    </row>
    <row r="125" spans="1:11" ht="31.5">
      <c r="A125" s="385"/>
      <c r="B125" s="264" t="s">
        <v>1018</v>
      </c>
      <c r="C125" s="272"/>
      <c r="D125" s="272"/>
      <c r="E125" s="272"/>
      <c r="F125" s="272"/>
      <c r="G125" s="272"/>
      <c r="H125" s="272"/>
      <c r="I125" s="272">
        <v>48.9</v>
      </c>
      <c r="J125" s="272">
        <v>48.9</v>
      </c>
      <c r="K125" s="272">
        <f t="shared" si="76"/>
        <v>100</v>
      </c>
    </row>
    <row r="126" spans="1:11" ht="78.75">
      <c r="A126" s="386"/>
      <c r="B126" s="264" t="s">
        <v>1034</v>
      </c>
      <c r="C126" s="272"/>
      <c r="D126" s="272"/>
      <c r="E126" s="272"/>
      <c r="F126" s="272"/>
      <c r="G126" s="272"/>
      <c r="H126" s="272"/>
      <c r="I126" s="272">
        <v>31370</v>
      </c>
      <c r="J126" s="272">
        <v>31370</v>
      </c>
      <c r="K126" s="272">
        <f t="shared" si="76"/>
        <v>100</v>
      </c>
    </row>
    <row r="127" spans="1:11" ht="18.75">
      <c r="A127" s="164" t="s">
        <v>136</v>
      </c>
      <c r="B127" s="174" t="s">
        <v>137</v>
      </c>
      <c r="C127" s="231">
        <f aca="true" t="shared" si="104" ref="C127:H127">C146+C128</f>
        <v>153786.49999999997</v>
      </c>
      <c r="D127" s="231">
        <f t="shared" si="104"/>
        <v>126329.75700000001</v>
      </c>
      <c r="E127" s="231">
        <f t="shared" si="104"/>
        <v>153786.49999999997</v>
      </c>
      <c r="F127" s="231">
        <f t="shared" si="104"/>
        <v>151654.49999999997</v>
      </c>
      <c r="G127" s="231">
        <f t="shared" si="104"/>
        <v>151654.49999999997</v>
      </c>
      <c r="H127" s="231">
        <f t="shared" si="104"/>
        <v>151654.49999999997</v>
      </c>
      <c r="I127" s="231">
        <f>I146+I128+I144</f>
        <v>174795.39999999997</v>
      </c>
      <c r="J127" s="231">
        <f aca="true" t="shared" si="105" ref="J127">J146+J128+J144</f>
        <v>173410.45672000002</v>
      </c>
      <c r="K127" s="231">
        <f t="shared" si="76"/>
        <v>99.20767750181072</v>
      </c>
    </row>
    <row r="128" spans="1:11" ht="31.5">
      <c r="A128" s="164" t="s">
        <v>138</v>
      </c>
      <c r="B128" s="174" t="s">
        <v>139</v>
      </c>
      <c r="C128" s="231">
        <f>C129</f>
        <v>153084.69999999998</v>
      </c>
      <c r="D128" s="231">
        <f aca="true" t="shared" si="106" ref="D128">D129</f>
        <v>125634.50700000001</v>
      </c>
      <c r="E128" s="231">
        <f>E129</f>
        <v>153084.69999999998</v>
      </c>
      <c r="F128" s="231">
        <f>F129</f>
        <v>150952.69999999998</v>
      </c>
      <c r="G128" s="231">
        <f aca="true" t="shared" si="107" ref="G128:H128">G129</f>
        <v>150952.69999999998</v>
      </c>
      <c r="H128" s="231">
        <f t="shared" si="107"/>
        <v>150952.69999999998</v>
      </c>
      <c r="I128" s="231">
        <f>I129</f>
        <v>173844.49999999994</v>
      </c>
      <c r="J128" s="231">
        <f aca="true" t="shared" si="108" ref="J128">J129</f>
        <v>172459.55672</v>
      </c>
      <c r="K128" s="231">
        <f t="shared" si="76"/>
        <v>99.20334363180892</v>
      </c>
    </row>
    <row r="129" spans="1:11" ht="31.5">
      <c r="A129" s="384" t="s">
        <v>140</v>
      </c>
      <c r="B129" s="166" t="s">
        <v>141</v>
      </c>
      <c r="C129" s="232">
        <f aca="true" t="shared" si="109" ref="C129:J129">SUM(C131+C132+C133+C134+C135+C136+C137+C140+C141+C142+C143)</f>
        <v>153084.69999999998</v>
      </c>
      <c r="D129" s="232">
        <f t="shared" si="109"/>
        <v>125634.50700000001</v>
      </c>
      <c r="E129" s="232">
        <f t="shared" si="109"/>
        <v>153084.69999999998</v>
      </c>
      <c r="F129" s="232">
        <f t="shared" si="109"/>
        <v>150952.69999999998</v>
      </c>
      <c r="G129" s="232">
        <f t="shared" si="109"/>
        <v>150952.69999999998</v>
      </c>
      <c r="H129" s="232">
        <f t="shared" si="109"/>
        <v>150952.69999999998</v>
      </c>
      <c r="I129" s="232">
        <f t="shared" si="109"/>
        <v>173844.49999999994</v>
      </c>
      <c r="J129" s="232">
        <f t="shared" si="109"/>
        <v>172459.55672</v>
      </c>
      <c r="K129" s="232">
        <f t="shared" si="76"/>
        <v>99.20334363180892</v>
      </c>
    </row>
    <row r="130" spans="1:11" ht="18.75">
      <c r="A130" s="385"/>
      <c r="B130" s="166" t="s">
        <v>142</v>
      </c>
      <c r="C130" s="232"/>
      <c r="D130" s="232"/>
      <c r="E130" s="232"/>
      <c r="F130" s="232"/>
      <c r="G130" s="232"/>
      <c r="H130" s="232"/>
      <c r="I130" s="232"/>
      <c r="J130" s="232"/>
      <c r="K130" s="232"/>
    </row>
    <row r="131" spans="1:11" ht="110.25">
      <c r="A131" s="385"/>
      <c r="B131" s="178" t="s">
        <v>1037</v>
      </c>
      <c r="C131" s="242">
        <v>79753.6</v>
      </c>
      <c r="D131" s="242">
        <v>66712.5</v>
      </c>
      <c r="E131" s="242">
        <v>79753.6</v>
      </c>
      <c r="F131" s="242">
        <v>79753.6</v>
      </c>
      <c r="G131" s="242">
        <v>79753.6</v>
      </c>
      <c r="H131" s="242">
        <v>79753.6</v>
      </c>
      <c r="I131" s="242">
        <v>92211.5</v>
      </c>
      <c r="J131" s="242">
        <v>91936.4</v>
      </c>
      <c r="K131" s="242">
        <f t="shared" si="76"/>
        <v>99.7016641091404</v>
      </c>
    </row>
    <row r="132" spans="1:11" ht="78.75">
      <c r="A132" s="385"/>
      <c r="B132" s="166" t="s">
        <v>143</v>
      </c>
      <c r="C132" s="232">
        <f>58518.6-2198.6</f>
        <v>56320</v>
      </c>
      <c r="D132" s="232">
        <v>46863</v>
      </c>
      <c r="E132" s="232">
        <f>58518.6-2198.6</f>
        <v>56320</v>
      </c>
      <c r="F132" s="232">
        <f>58518.6-2198.6</f>
        <v>56320</v>
      </c>
      <c r="G132" s="232">
        <f aca="true" t="shared" si="110" ref="G132:H132">58518.6-2198.6</f>
        <v>56320</v>
      </c>
      <c r="H132" s="232">
        <f t="shared" si="110"/>
        <v>56320</v>
      </c>
      <c r="I132" s="232">
        <v>67437.3</v>
      </c>
      <c r="J132" s="232">
        <v>67437.3</v>
      </c>
      <c r="K132" s="232">
        <f t="shared" si="76"/>
        <v>100</v>
      </c>
    </row>
    <row r="133" spans="1:11" ht="110.25">
      <c r="A133" s="385"/>
      <c r="B133" s="166" t="s">
        <v>782</v>
      </c>
      <c r="C133" s="232">
        <v>4932.5</v>
      </c>
      <c r="D133" s="232">
        <v>3043.057</v>
      </c>
      <c r="E133" s="232">
        <v>4932.5</v>
      </c>
      <c r="F133" s="232">
        <v>4932.5</v>
      </c>
      <c r="G133" s="232">
        <v>4932.5</v>
      </c>
      <c r="H133" s="232">
        <v>4932.5</v>
      </c>
      <c r="I133" s="232">
        <v>4404.8</v>
      </c>
      <c r="J133" s="232">
        <v>4388.58</v>
      </c>
      <c r="K133" s="232">
        <f t="shared" si="76"/>
        <v>99.6317653468943</v>
      </c>
    </row>
    <row r="134" spans="1:11" ht="110.25">
      <c r="A134" s="385"/>
      <c r="B134" s="166" t="s">
        <v>783</v>
      </c>
      <c r="C134" s="232">
        <v>1507.8</v>
      </c>
      <c r="D134" s="232">
        <v>1075.1</v>
      </c>
      <c r="E134" s="232">
        <v>1507.8</v>
      </c>
      <c r="F134" s="232">
        <v>1507.8</v>
      </c>
      <c r="G134" s="232">
        <v>1507.8</v>
      </c>
      <c r="H134" s="232">
        <v>1507.8</v>
      </c>
      <c r="I134" s="232">
        <v>1097.8</v>
      </c>
      <c r="J134" s="232">
        <v>1097.8</v>
      </c>
      <c r="K134" s="232">
        <f t="shared" si="76"/>
        <v>100</v>
      </c>
    </row>
    <row r="135" spans="1:11" ht="110.25">
      <c r="A135" s="385"/>
      <c r="B135" s="166" t="s">
        <v>144</v>
      </c>
      <c r="C135" s="232">
        <v>1752.9</v>
      </c>
      <c r="D135" s="232">
        <v>1279.5</v>
      </c>
      <c r="E135" s="232">
        <v>1752.9</v>
      </c>
      <c r="F135" s="232">
        <v>1752.9</v>
      </c>
      <c r="G135" s="232">
        <v>1752.9</v>
      </c>
      <c r="H135" s="232">
        <v>1752.9</v>
      </c>
      <c r="I135" s="232">
        <v>1421.3</v>
      </c>
      <c r="J135" s="232">
        <v>1384.9</v>
      </c>
      <c r="K135" s="232">
        <f t="shared" si="76"/>
        <v>97.43896432843174</v>
      </c>
    </row>
    <row r="136" spans="1:11" ht="110.25">
      <c r="A136" s="385"/>
      <c r="B136" s="166" t="s">
        <v>145</v>
      </c>
      <c r="C136" s="232">
        <v>1281.4</v>
      </c>
      <c r="D136" s="232">
        <v>838.6</v>
      </c>
      <c r="E136" s="232">
        <v>1281.4</v>
      </c>
      <c r="F136" s="232">
        <v>1281.4</v>
      </c>
      <c r="G136" s="232">
        <v>1281.4</v>
      </c>
      <c r="H136" s="232">
        <v>1281.4</v>
      </c>
      <c r="I136" s="232">
        <f>1326.4-425.1</f>
        <v>901.3000000000001</v>
      </c>
      <c r="J136" s="232">
        <v>806.80312</v>
      </c>
      <c r="K136" s="232">
        <f t="shared" si="76"/>
        <v>89.51549095750582</v>
      </c>
    </row>
    <row r="137" spans="1:11" ht="47.25">
      <c r="A137" s="385"/>
      <c r="B137" s="166" t="s">
        <v>146</v>
      </c>
      <c r="C137" s="232">
        <f>SUM(C138:C139)</f>
        <v>3148.5</v>
      </c>
      <c r="D137" s="232">
        <f aca="true" t="shared" si="111" ref="D137">SUM(D138:D139)</f>
        <v>2267.6</v>
      </c>
      <c r="E137" s="232">
        <f>SUM(E138:E139)</f>
        <v>3148.5</v>
      </c>
      <c r="F137" s="232">
        <f>SUM(F138:F139)</f>
        <v>3148.5</v>
      </c>
      <c r="G137" s="232">
        <f aca="true" t="shared" si="112" ref="G137:H137">SUM(G138:G139)</f>
        <v>3148.5</v>
      </c>
      <c r="H137" s="232">
        <f t="shared" si="112"/>
        <v>3148.5</v>
      </c>
      <c r="I137" s="232">
        <f>SUM(I138:I139)</f>
        <v>3048.2999999999997</v>
      </c>
      <c r="J137" s="232">
        <v>2973</v>
      </c>
      <c r="K137" s="232">
        <f t="shared" si="76"/>
        <v>97.52977069186105</v>
      </c>
    </row>
    <row r="138" spans="1:11" ht="31.5">
      <c r="A138" s="385"/>
      <c r="B138" s="181" t="s">
        <v>784</v>
      </c>
      <c r="C138" s="244">
        <v>2510</v>
      </c>
      <c r="D138" s="244">
        <v>1832.3</v>
      </c>
      <c r="E138" s="244">
        <v>2510</v>
      </c>
      <c r="F138" s="244">
        <v>2510</v>
      </c>
      <c r="G138" s="244">
        <v>2510</v>
      </c>
      <c r="H138" s="244">
        <v>2510</v>
      </c>
      <c r="I138" s="244">
        <f>2510+0.2</f>
        <v>2510.2</v>
      </c>
      <c r="J138" s="244">
        <v>2510.2</v>
      </c>
      <c r="K138" s="244">
        <f t="shared" si="76"/>
        <v>100</v>
      </c>
    </row>
    <row r="139" spans="1:11" ht="31.5">
      <c r="A139" s="385"/>
      <c r="B139" s="181" t="s">
        <v>785</v>
      </c>
      <c r="C139" s="244">
        <v>638.5</v>
      </c>
      <c r="D139" s="244">
        <v>435.3</v>
      </c>
      <c r="E139" s="244">
        <v>638.5</v>
      </c>
      <c r="F139" s="244">
        <v>638.5</v>
      </c>
      <c r="G139" s="244">
        <v>638.5</v>
      </c>
      <c r="H139" s="244">
        <v>638.5</v>
      </c>
      <c r="I139" s="244">
        <v>538.1</v>
      </c>
      <c r="J139" s="244">
        <v>462.8</v>
      </c>
      <c r="K139" s="244">
        <f t="shared" si="76"/>
        <v>86.00631852815461</v>
      </c>
    </row>
    <row r="140" spans="1:11" ht="126">
      <c r="A140" s="385"/>
      <c r="B140" s="166" t="s">
        <v>932</v>
      </c>
      <c r="C140" s="232">
        <v>263.3</v>
      </c>
      <c r="D140" s="232">
        <v>123.8</v>
      </c>
      <c r="E140" s="232">
        <v>263.3</v>
      </c>
      <c r="F140" s="232">
        <v>263.3</v>
      </c>
      <c r="G140" s="232">
        <v>263.3</v>
      </c>
      <c r="H140" s="232">
        <v>263.3</v>
      </c>
      <c r="I140" s="232">
        <v>273.7</v>
      </c>
      <c r="J140" s="232">
        <v>273.7</v>
      </c>
      <c r="K140" s="232">
        <f t="shared" si="76"/>
        <v>100</v>
      </c>
    </row>
    <row r="141" spans="1:11" ht="118.5" customHeight="1">
      <c r="A141" s="385"/>
      <c r="B141" s="166" t="s">
        <v>147</v>
      </c>
      <c r="C141" s="232">
        <v>886.5</v>
      </c>
      <c r="D141" s="232">
        <v>623.2</v>
      </c>
      <c r="E141" s="232">
        <v>886.5</v>
      </c>
      <c r="F141" s="232">
        <v>886.5</v>
      </c>
      <c r="G141" s="232">
        <v>886.5</v>
      </c>
      <c r="H141" s="232">
        <v>886.5</v>
      </c>
      <c r="I141" s="232">
        <v>966.3</v>
      </c>
      <c r="J141" s="232">
        <v>966.3</v>
      </c>
      <c r="K141" s="232">
        <f t="shared" si="76"/>
        <v>100</v>
      </c>
    </row>
    <row r="142" spans="1:11" ht="32.25" customHeight="1">
      <c r="A142" s="385"/>
      <c r="B142" s="166" t="s">
        <v>148</v>
      </c>
      <c r="C142" s="232">
        <v>1106.2</v>
      </c>
      <c r="D142" s="232">
        <v>676.15</v>
      </c>
      <c r="E142" s="232">
        <v>1106.2</v>
      </c>
      <c r="F142" s="232">
        <v>1106.2</v>
      </c>
      <c r="G142" s="232">
        <v>1106.2</v>
      </c>
      <c r="H142" s="232">
        <v>1106.2</v>
      </c>
      <c r="I142" s="232">
        <v>1106.2</v>
      </c>
      <c r="J142" s="232">
        <v>951.0436</v>
      </c>
      <c r="K142" s="232">
        <f t="shared" si="76"/>
        <v>85.97392876514192</v>
      </c>
    </row>
    <row r="143" spans="1:11" ht="32.25" customHeight="1">
      <c r="A143" s="386"/>
      <c r="B143" s="166" t="s">
        <v>786</v>
      </c>
      <c r="C143" s="232">
        <v>2132</v>
      </c>
      <c r="D143" s="232">
        <v>2132</v>
      </c>
      <c r="E143" s="232">
        <v>2132</v>
      </c>
      <c r="F143" s="232">
        <v>0</v>
      </c>
      <c r="G143" s="232">
        <v>0</v>
      </c>
      <c r="H143" s="232">
        <v>0</v>
      </c>
      <c r="I143" s="232">
        <v>976</v>
      </c>
      <c r="J143" s="232">
        <v>243.73</v>
      </c>
      <c r="K143" s="232">
        <f aca="true" t="shared" si="113" ref="K143:K159">SUM(J143/I143)*100</f>
        <v>24.97233606557377</v>
      </c>
    </row>
    <row r="144" spans="1:11" ht="47.25">
      <c r="A144" s="182" t="s">
        <v>939</v>
      </c>
      <c r="B144" s="174" t="s">
        <v>940</v>
      </c>
      <c r="C144" s="231"/>
      <c r="D144" s="231"/>
      <c r="E144" s="231"/>
      <c r="F144" s="231"/>
      <c r="G144" s="231"/>
      <c r="H144" s="231"/>
      <c r="I144" s="231">
        <f>I145</f>
        <v>41.2</v>
      </c>
      <c r="J144" s="231">
        <f aca="true" t="shared" si="114" ref="J144">J145</f>
        <v>41.2</v>
      </c>
      <c r="K144" s="231">
        <f t="shared" si="113"/>
        <v>100</v>
      </c>
    </row>
    <row r="145" spans="1:11" ht="47.25">
      <c r="A145" s="323" t="s">
        <v>937</v>
      </c>
      <c r="B145" s="166" t="s">
        <v>938</v>
      </c>
      <c r="C145" s="232"/>
      <c r="D145" s="232"/>
      <c r="E145" s="232"/>
      <c r="F145" s="232"/>
      <c r="G145" s="232"/>
      <c r="H145" s="232"/>
      <c r="I145" s="232">
        <v>41.2</v>
      </c>
      <c r="J145" s="232">
        <v>41.2</v>
      </c>
      <c r="K145" s="232">
        <f t="shared" si="113"/>
        <v>100</v>
      </c>
    </row>
    <row r="146" spans="1:11" ht="31.5">
      <c r="A146" s="164" t="s">
        <v>149</v>
      </c>
      <c r="B146" s="174" t="s">
        <v>150</v>
      </c>
      <c r="C146" s="231">
        <f>C147</f>
        <v>701.8</v>
      </c>
      <c r="D146" s="231">
        <f aca="true" t="shared" si="115" ref="D146">D147</f>
        <v>695.25</v>
      </c>
      <c r="E146" s="231">
        <f>E147</f>
        <v>701.8</v>
      </c>
      <c r="F146" s="231">
        <f>F147</f>
        <v>701.8</v>
      </c>
      <c r="G146" s="231">
        <f aca="true" t="shared" si="116" ref="G146:H146">G147</f>
        <v>701.8</v>
      </c>
      <c r="H146" s="231">
        <f t="shared" si="116"/>
        <v>701.8</v>
      </c>
      <c r="I146" s="231">
        <f>I147</f>
        <v>909.7</v>
      </c>
      <c r="J146" s="231">
        <f aca="true" t="shared" si="117" ref="J146">J147</f>
        <v>909.7</v>
      </c>
      <c r="K146" s="231">
        <f t="shared" si="113"/>
        <v>100</v>
      </c>
    </row>
    <row r="147" spans="1:11" ht="31.5">
      <c r="A147" s="321" t="s">
        <v>151</v>
      </c>
      <c r="B147" s="166" t="s">
        <v>152</v>
      </c>
      <c r="C147" s="232">
        <v>701.8</v>
      </c>
      <c r="D147" s="232">
        <v>695.25</v>
      </c>
      <c r="E147" s="232">
        <v>701.8</v>
      </c>
      <c r="F147" s="232">
        <v>701.8</v>
      </c>
      <c r="G147" s="232">
        <v>701.8</v>
      </c>
      <c r="H147" s="232">
        <v>701.8</v>
      </c>
      <c r="I147" s="232">
        <v>909.7</v>
      </c>
      <c r="J147" s="232">
        <v>909.7</v>
      </c>
      <c r="K147" s="232">
        <f t="shared" si="113"/>
        <v>100</v>
      </c>
    </row>
    <row r="148" spans="1:11" ht="18.75">
      <c r="A148" s="164" t="s">
        <v>153</v>
      </c>
      <c r="B148" s="174" t="s">
        <v>154</v>
      </c>
      <c r="C148" s="231" t="e">
        <f>SUM(#REF!+C149)</f>
        <v>#REF!</v>
      </c>
      <c r="D148" s="231" t="e">
        <f>SUM(#REF!+D149)</f>
        <v>#REF!</v>
      </c>
      <c r="E148" s="231" t="e">
        <f>SUM(#REF!+E149)</f>
        <v>#REF!</v>
      </c>
      <c r="F148" s="231" t="e">
        <f>SUM(#REF!+F149)</f>
        <v>#REF!</v>
      </c>
      <c r="G148" s="231" t="e">
        <f>SUM(#REF!+G149)</f>
        <v>#REF!</v>
      </c>
      <c r="H148" s="231" t="e">
        <f>SUM(#REF!+H149)</f>
        <v>#REF!</v>
      </c>
      <c r="I148" s="231">
        <f>SUM(I149)</f>
        <v>10719.099999999999</v>
      </c>
      <c r="J148" s="231">
        <f aca="true" t="shared" si="118" ref="J148">SUM(J149)</f>
        <v>10719.099999999999</v>
      </c>
      <c r="K148" s="231">
        <f t="shared" si="113"/>
        <v>100</v>
      </c>
    </row>
    <row r="149" spans="1:11" ht="18.75">
      <c r="A149" s="164" t="s">
        <v>155</v>
      </c>
      <c r="B149" s="174" t="s">
        <v>156</v>
      </c>
      <c r="C149" s="231">
        <f aca="true" t="shared" si="119" ref="C149:I149">SUM(C150:C151)</f>
        <v>10920.8</v>
      </c>
      <c r="D149" s="231">
        <f t="shared" si="119"/>
        <v>7284.7</v>
      </c>
      <c r="E149" s="231">
        <f t="shared" si="119"/>
        <v>10920.8</v>
      </c>
      <c r="F149" s="231">
        <f t="shared" si="119"/>
        <v>10920.8</v>
      </c>
      <c r="G149" s="231">
        <f t="shared" si="119"/>
        <v>10920.8</v>
      </c>
      <c r="H149" s="231">
        <f t="shared" si="119"/>
        <v>10920.8</v>
      </c>
      <c r="I149" s="231">
        <f t="shared" si="119"/>
        <v>10719.099999999999</v>
      </c>
      <c r="J149" s="231">
        <f aca="true" t="shared" si="120" ref="J149">SUM(J150:J151)</f>
        <v>10719.099999999999</v>
      </c>
      <c r="K149" s="231">
        <f t="shared" si="113"/>
        <v>100</v>
      </c>
    </row>
    <row r="150" spans="1:11" ht="110.25">
      <c r="A150" s="380" t="s">
        <v>157</v>
      </c>
      <c r="B150" s="183" t="s">
        <v>971</v>
      </c>
      <c r="C150" s="245">
        <v>9227.5</v>
      </c>
      <c r="D150" s="245">
        <v>6274.7</v>
      </c>
      <c r="E150" s="245">
        <v>9227.5</v>
      </c>
      <c r="F150" s="245">
        <v>9227.5</v>
      </c>
      <c r="G150" s="245">
        <v>9227.5</v>
      </c>
      <c r="H150" s="245">
        <v>9227.5</v>
      </c>
      <c r="I150" s="245">
        <f>9227.5-157.2</f>
        <v>9070.3</v>
      </c>
      <c r="J150" s="245">
        <f aca="true" t="shared" si="121" ref="J150">9227.5-157.2</f>
        <v>9070.3</v>
      </c>
      <c r="K150" s="245">
        <f t="shared" si="113"/>
        <v>100</v>
      </c>
    </row>
    <row r="151" spans="1:11" ht="126">
      <c r="A151" s="380"/>
      <c r="B151" s="183" t="s">
        <v>972</v>
      </c>
      <c r="C151" s="245">
        <v>1693.3</v>
      </c>
      <c r="D151" s="245">
        <v>1010</v>
      </c>
      <c r="E151" s="245">
        <v>1693.3</v>
      </c>
      <c r="F151" s="245">
        <v>1693.3</v>
      </c>
      <c r="G151" s="245">
        <v>1693.3</v>
      </c>
      <c r="H151" s="245">
        <v>1693.3</v>
      </c>
      <c r="I151" s="245">
        <f>1693.3-44.5</f>
        <v>1648.8</v>
      </c>
      <c r="J151" s="245">
        <f aca="true" t="shared" si="122" ref="J151">1693.3-44.5</f>
        <v>1648.8</v>
      </c>
      <c r="K151" s="245">
        <f t="shared" si="113"/>
        <v>100</v>
      </c>
    </row>
    <row r="152" spans="1:11" ht="18.75">
      <c r="A152" s="20" t="s">
        <v>953</v>
      </c>
      <c r="B152" s="265" t="s">
        <v>954</v>
      </c>
      <c r="C152" s="266">
        <v>0</v>
      </c>
      <c r="D152" s="266">
        <f>SUM(D156)</f>
        <v>-1324.9</v>
      </c>
      <c r="E152" s="266">
        <f>SUM(E156)</f>
        <v>-1324.9</v>
      </c>
      <c r="F152" s="266">
        <f aca="true" t="shared" si="123" ref="F152:H152">SUM(F156)</f>
        <v>0</v>
      </c>
      <c r="G152" s="266">
        <f t="shared" si="123"/>
        <v>0</v>
      </c>
      <c r="H152" s="266">
        <f t="shared" si="123"/>
        <v>0</v>
      </c>
      <c r="I152" s="266">
        <f>SUM(I153)</f>
        <v>46072.7</v>
      </c>
      <c r="J152" s="266">
        <f aca="true" t="shared" si="124" ref="J152:J153">SUM(J153)</f>
        <v>42748.06142</v>
      </c>
      <c r="K152" s="266">
        <f t="shared" si="113"/>
        <v>92.78392935512788</v>
      </c>
    </row>
    <row r="153" spans="1:11" ht="18.75">
      <c r="A153" s="20" t="s">
        <v>955</v>
      </c>
      <c r="B153" s="265" t="s">
        <v>956</v>
      </c>
      <c r="C153" s="266"/>
      <c r="D153" s="266"/>
      <c r="E153" s="266"/>
      <c r="F153" s="266"/>
      <c r="G153" s="266"/>
      <c r="H153" s="266"/>
      <c r="I153" s="266">
        <f>SUM(I154)</f>
        <v>46072.7</v>
      </c>
      <c r="J153" s="266">
        <f t="shared" si="124"/>
        <v>42748.06142</v>
      </c>
      <c r="K153" s="266">
        <f t="shared" si="113"/>
        <v>92.78392935512788</v>
      </c>
    </row>
    <row r="154" spans="1:11" ht="18.75">
      <c r="A154" s="381" t="s">
        <v>957</v>
      </c>
      <c r="B154" s="269" t="s">
        <v>956</v>
      </c>
      <c r="C154" s="266"/>
      <c r="D154" s="266"/>
      <c r="E154" s="266"/>
      <c r="F154" s="266"/>
      <c r="G154" s="266"/>
      <c r="H154" s="266"/>
      <c r="I154" s="266">
        <f>SUM(I156:I159)</f>
        <v>46072.7</v>
      </c>
      <c r="J154" s="266">
        <f aca="true" t="shared" si="125" ref="J154">SUM(J156:J159)</f>
        <v>42748.06142</v>
      </c>
      <c r="K154" s="266">
        <f t="shared" si="113"/>
        <v>92.78392935512788</v>
      </c>
    </row>
    <row r="155" spans="1:11" ht="18.75">
      <c r="A155" s="382"/>
      <c r="B155" s="269" t="s">
        <v>134</v>
      </c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0.25">
      <c r="A156" s="382"/>
      <c r="B156" s="267" t="s">
        <v>990</v>
      </c>
      <c r="C156" s="245">
        <v>0</v>
      </c>
      <c r="D156" s="245">
        <v>-1324.9</v>
      </c>
      <c r="E156" s="245">
        <v>-1324.9</v>
      </c>
      <c r="F156" s="245">
        <v>0</v>
      </c>
      <c r="G156" s="245">
        <v>0</v>
      </c>
      <c r="H156" s="245">
        <v>0</v>
      </c>
      <c r="I156" s="245">
        <v>20000</v>
      </c>
      <c r="J156" s="245">
        <v>19653.72857</v>
      </c>
      <c r="K156" s="245">
        <f t="shared" si="113"/>
        <v>98.26864284999999</v>
      </c>
    </row>
    <row r="157" spans="1:11" ht="78.75">
      <c r="A157" s="382"/>
      <c r="B157" s="267" t="s">
        <v>1017</v>
      </c>
      <c r="C157" s="245"/>
      <c r="D157" s="245"/>
      <c r="E157" s="245"/>
      <c r="F157" s="245"/>
      <c r="G157" s="245"/>
      <c r="H157" s="245"/>
      <c r="I157" s="245">
        <v>20000</v>
      </c>
      <c r="J157" s="245">
        <v>20000</v>
      </c>
      <c r="K157" s="245">
        <f t="shared" si="113"/>
        <v>100</v>
      </c>
    </row>
    <row r="158" spans="1:18" ht="63">
      <c r="A158" s="382"/>
      <c r="B158" s="267" t="s">
        <v>991</v>
      </c>
      <c r="C158" s="245">
        <v>0</v>
      </c>
      <c r="D158" s="245">
        <v>-1324.9</v>
      </c>
      <c r="E158" s="245">
        <v>-1324.9</v>
      </c>
      <c r="F158" s="245">
        <v>0</v>
      </c>
      <c r="G158" s="245">
        <v>0</v>
      </c>
      <c r="H158" s="245">
        <v>0</v>
      </c>
      <c r="I158" s="245">
        <v>2967.2</v>
      </c>
      <c r="J158" s="245">
        <v>0</v>
      </c>
      <c r="K158" s="245">
        <f t="shared" si="113"/>
        <v>0</v>
      </c>
      <c r="M158" s="273"/>
      <c r="N158" s="140"/>
      <c r="R158" s="140"/>
    </row>
    <row r="159" spans="1:11" ht="78.75">
      <c r="A159" s="383"/>
      <c r="B159" s="267" t="s">
        <v>989</v>
      </c>
      <c r="C159" s="245">
        <v>0</v>
      </c>
      <c r="D159" s="245">
        <v>-1324.9</v>
      </c>
      <c r="E159" s="245">
        <v>-1324.9</v>
      </c>
      <c r="F159" s="245">
        <v>0</v>
      </c>
      <c r="G159" s="245">
        <v>0</v>
      </c>
      <c r="H159" s="245">
        <v>0</v>
      </c>
      <c r="I159" s="245">
        <v>3105.5</v>
      </c>
      <c r="J159" s="245">
        <v>3094.33285</v>
      </c>
      <c r="K159" s="245">
        <f t="shared" si="113"/>
        <v>99.6404073418129</v>
      </c>
    </row>
    <row r="160" spans="1:11" ht="31.5">
      <c r="A160" s="320" t="s">
        <v>1056</v>
      </c>
      <c r="B160" s="267" t="s">
        <v>1057</v>
      </c>
      <c r="C160" s="245"/>
      <c r="D160" s="245"/>
      <c r="E160" s="245"/>
      <c r="F160" s="245"/>
      <c r="G160" s="245"/>
      <c r="H160" s="245"/>
      <c r="I160" s="245">
        <v>0</v>
      </c>
      <c r="J160" s="245">
        <v>-1492.1168</v>
      </c>
      <c r="K160" s="245" t="s">
        <v>1051</v>
      </c>
    </row>
    <row r="161" spans="1:11" ht="47.25">
      <c r="A161" s="320" t="s">
        <v>1058</v>
      </c>
      <c r="B161" s="267" t="s">
        <v>1059</v>
      </c>
      <c r="C161" s="245"/>
      <c r="D161" s="245"/>
      <c r="E161" s="245"/>
      <c r="F161" s="245"/>
      <c r="G161" s="245"/>
      <c r="H161" s="245"/>
      <c r="I161" s="245">
        <v>0</v>
      </c>
      <c r="J161" s="245">
        <v>-1492.1168</v>
      </c>
      <c r="K161" s="245" t="s">
        <v>1051</v>
      </c>
    </row>
    <row r="162" spans="1:11" ht="47.25">
      <c r="A162" s="320" t="s">
        <v>1060</v>
      </c>
      <c r="B162" s="267" t="s">
        <v>1061</v>
      </c>
      <c r="C162" s="245"/>
      <c r="D162" s="245"/>
      <c r="E162" s="245"/>
      <c r="F162" s="245"/>
      <c r="G162" s="245"/>
      <c r="H162" s="245"/>
      <c r="I162" s="245">
        <v>0</v>
      </c>
      <c r="J162" s="245">
        <v>-1492.1168</v>
      </c>
      <c r="K162" s="245" t="s">
        <v>1051</v>
      </c>
    </row>
    <row r="163" spans="1:12" ht="18.75">
      <c r="A163" s="321"/>
      <c r="B163" s="258" t="s">
        <v>158</v>
      </c>
      <c r="C163" s="231">
        <f aca="true" t="shared" si="126" ref="C163:H163">SUM(C90+C10+C151)</f>
        <v>274527.6</v>
      </c>
      <c r="D163" s="231">
        <f t="shared" si="126"/>
        <v>210274.53199999998</v>
      </c>
      <c r="E163" s="231">
        <f t="shared" si="126"/>
        <v>266467.93333333335</v>
      </c>
      <c r="F163" s="231">
        <f t="shared" si="126"/>
        <v>296202.5</v>
      </c>
      <c r="G163" s="231">
        <f t="shared" si="126"/>
        <v>309105.19999999995</v>
      </c>
      <c r="H163" s="231">
        <f t="shared" si="126"/>
        <v>322250.55</v>
      </c>
      <c r="I163" s="231">
        <f>SUM(I10+I91)</f>
        <v>777897.6</v>
      </c>
      <c r="J163" s="231">
        <f>SUM(J10+J91)</f>
        <v>759997.4524399999</v>
      </c>
      <c r="K163" s="231">
        <f aca="true" t="shared" si="127" ref="K163">SUM(J163/I163)*100</f>
        <v>97.69890695639117</v>
      </c>
      <c r="L163" s="177"/>
    </row>
  </sheetData>
  <mergeCells count="6">
    <mergeCell ref="A150:A151"/>
    <mergeCell ref="A154:A159"/>
    <mergeCell ref="A108:A126"/>
    <mergeCell ref="A129:A143"/>
    <mergeCell ref="A5:K5"/>
    <mergeCell ref="A6:K6"/>
  </mergeCells>
  <printOptions/>
  <pageMargins left="0.3937007874015748" right="0.3937007874015748" top="1.1811023622047245" bottom="0.3937007874015748" header="0.31496062992125984" footer="0.31496062992125984"/>
  <pageSetup fitToHeight="6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SheetLayoutView="100" workbookViewId="0" topLeftCell="A1">
      <selection activeCell="J1" sqref="J1:J2"/>
    </sheetView>
  </sheetViews>
  <sheetFormatPr defaultColWidth="9.140625" defaultRowHeight="15"/>
  <cols>
    <col min="1" max="1" width="80.71093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11" width="13.140625" style="0" customWidth="1"/>
  </cols>
  <sheetData>
    <row r="1" spans="1:10" ht="18.75">
      <c r="A1" s="12"/>
      <c r="B1" s="184"/>
      <c r="C1" s="12"/>
      <c r="J1" s="379" t="s">
        <v>1015</v>
      </c>
    </row>
    <row r="2" spans="1:10" ht="18.75">
      <c r="A2" s="12"/>
      <c r="B2" s="184"/>
      <c r="C2" s="12"/>
      <c r="J2" s="379" t="s">
        <v>1</v>
      </c>
    </row>
    <row r="3" spans="1:11" ht="18.75">
      <c r="A3" s="12"/>
      <c r="B3" s="184"/>
      <c r="C3" s="12"/>
      <c r="I3" s="261"/>
      <c r="J3" s="317"/>
      <c r="K3" s="261"/>
    </row>
    <row r="4" spans="1:11" ht="18.75">
      <c r="A4" s="390" t="s">
        <v>1062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8.75">
      <c r="A5" s="390" t="s">
        <v>751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8.75">
      <c r="A6" s="390" t="s">
        <v>1063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8.75">
      <c r="A7" s="388"/>
      <c r="B7" s="389"/>
      <c r="C7" s="389"/>
      <c r="D7" s="389"/>
      <c r="E7" s="378"/>
      <c r="F7" s="378"/>
      <c r="G7" s="378"/>
      <c r="H7" s="378"/>
      <c r="I7" s="378"/>
      <c r="J7" s="378"/>
      <c r="K7" s="378"/>
    </row>
    <row r="8" spans="2:11" ht="15.75">
      <c r="B8" s="112"/>
      <c r="C8" s="112"/>
      <c r="D8" s="113" t="s">
        <v>2</v>
      </c>
      <c r="I8" s="251"/>
      <c r="J8" s="251"/>
      <c r="K8" s="251"/>
    </row>
    <row r="9" spans="1:11" ht="66" customHeight="1">
      <c r="A9" s="114" t="s">
        <v>752</v>
      </c>
      <c r="B9" s="114" t="s">
        <v>753</v>
      </c>
      <c r="C9" s="114" t="s">
        <v>754</v>
      </c>
      <c r="D9" s="78" t="s">
        <v>5</v>
      </c>
      <c r="E9" s="215" t="s">
        <v>872</v>
      </c>
      <c r="F9" s="229" t="s">
        <v>876</v>
      </c>
      <c r="G9" s="215" t="s">
        <v>873</v>
      </c>
      <c r="H9" s="215" t="s">
        <v>874</v>
      </c>
      <c r="I9" s="215" t="s">
        <v>1048</v>
      </c>
      <c r="J9" s="316" t="s">
        <v>1049</v>
      </c>
      <c r="K9" s="316" t="s">
        <v>1044</v>
      </c>
    </row>
    <row r="10" spans="1:11" ht="15.75">
      <c r="A10" s="49" t="s">
        <v>168</v>
      </c>
      <c r="B10" s="25" t="s">
        <v>169</v>
      </c>
      <c r="C10" s="115"/>
      <c r="D10" s="116" t="e">
        <f aca="true" t="shared" si="0" ref="D10:J10">D11+D12+D13+D14+D16</f>
        <v>#REF!</v>
      </c>
      <c r="E10" s="116" t="e">
        <f t="shared" si="0"/>
        <v>#REF!</v>
      </c>
      <c r="F10" s="116" t="e">
        <f t="shared" si="0"/>
        <v>#REF!</v>
      </c>
      <c r="G10" s="116" t="e">
        <f t="shared" si="0"/>
        <v>#REF!</v>
      </c>
      <c r="H10" s="116" t="e">
        <f t="shared" si="0"/>
        <v>#REF!</v>
      </c>
      <c r="I10" s="116">
        <f t="shared" si="0"/>
        <v>148222</v>
      </c>
      <c r="J10" s="116">
        <f t="shared" si="0"/>
        <v>142735.5</v>
      </c>
      <c r="K10" s="116">
        <f>J10/I10*100</f>
        <v>96.29845771882717</v>
      </c>
    </row>
    <row r="11" spans="1:11" ht="31.5">
      <c r="A11" s="33" t="s">
        <v>627</v>
      </c>
      <c r="B11" s="21" t="s">
        <v>169</v>
      </c>
      <c r="C11" s="21" t="s">
        <v>264</v>
      </c>
      <c r="D11" s="28" t="e">
        <f>'ПРил.№3 Рд,пр, ЦС,ВР'!F12</f>
        <v>#REF!</v>
      </c>
      <c r="E11" s="28" t="e">
        <f>'ПРил.№3 Рд,пр, ЦС,ВР'!G12</f>
        <v>#REF!</v>
      </c>
      <c r="F11" s="28" t="e">
        <f>'ПРил.№3 Рд,пр, ЦС,ВР'!H12</f>
        <v>#REF!</v>
      </c>
      <c r="G11" s="28" t="e">
        <f>'ПРил.№3 Рд,пр, ЦС,ВР'!I12</f>
        <v>#REF!</v>
      </c>
      <c r="H11" s="28" t="e">
        <f>'ПРил.№3 Рд,пр, ЦС,ВР'!J12</f>
        <v>#REF!</v>
      </c>
      <c r="I11" s="28">
        <f>'ПРил.№3 Рд,пр, ЦС,ВР'!K12</f>
        <v>4535.7</v>
      </c>
      <c r="J11" s="28">
        <f>'ПРил.№3 Рд,пр, ЦС,ВР'!L12</f>
        <v>4517.6</v>
      </c>
      <c r="K11" s="319">
        <f aca="true" t="shared" si="1" ref="K11:K50">J11/I11*100</f>
        <v>99.6009436250193</v>
      </c>
    </row>
    <row r="12" spans="1:11" ht="47.25">
      <c r="A12" s="33" t="s">
        <v>630</v>
      </c>
      <c r="B12" s="21" t="s">
        <v>169</v>
      </c>
      <c r="C12" s="21" t="s">
        <v>266</v>
      </c>
      <c r="D12" s="28" t="e">
        <f>'ПРил.№3 Рд,пр, ЦС,ВР'!F20</f>
        <v>#REF!</v>
      </c>
      <c r="E12" s="28" t="e">
        <f>'ПРил.№3 Рд,пр, ЦС,ВР'!G20</f>
        <v>#REF!</v>
      </c>
      <c r="F12" s="28" t="e">
        <f>'ПРил.№3 Рд,пр, ЦС,ВР'!H20</f>
        <v>#REF!</v>
      </c>
      <c r="G12" s="28" t="e">
        <f>'ПРил.№3 Рд,пр, ЦС,ВР'!I20</f>
        <v>#REF!</v>
      </c>
      <c r="H12" s="28" t="e">
        <f>'ПРил.№3 Рд,пр, ЦС,ВР'!J20</f>
        <v>#REF!</v>
      </c>
      <c r="I12" s="28">
        <f>'ПРил.№3 Рд,пр, ЦС,ВР'!K20</f>
        <v>1298.6000000000001</v>
      </c>
      <c r="J12" s="28">
        <f>'ПРил.№3 Рд,пр, ЦС,ВР'!L20</f>
        <v>1287</v>
      </c>
      <c r="K12" s="319">
        <f t="shared" si="1"/>
        <v>99.10673032496534</v>
      </c>
    </row>
    <row r="13" spans="1:11" ht="47.25">
      <c r="A13" s="26" t="s">
        <v>200</v>
      </c>
      <c r="B13" s="21" t="s">
        <v>169</v>
      </c>
      <c r="C13" s="21" t="s">
        <v>201</v>
      </c>
      <c r="D13" s="28" t="e">
        <f>'ПРил.№3 Рд,пр, ЦС,ВР'!F30</f>
        <v>#REF!</v>
      </c>
      <c r="E13" s="28" t="e">
        <f>'ПРил.№3 Рд,пр, ЦС,ВР'!G30</f>
        <v>#REF!</v>
      </c>
      <c r="F13" s="28" t="e">
        <f>'ПРил.№3 Рд,пр, ЦС,ВР'!H30</f>
        <v>#REF!</v>
      </c>
      <c r="G13" s="28" t="e">
        <f>'ПРил.№3 Рд,пр, ЦС,ВР'!I30</f>
        <v>#REF!</v>
      </c>
      <c r="H13" s="28" t="e">
        <f>'ПРил.№3 Рд,пр, ЦС,ВР'!J30</f>
        <v>#REF!</v>
      </c>
      <c r="I13" s="28">
        <f>'ПРил.№3 Рд,пр, ЦС,ВР'!K30</f>
        <v>63362.2</v>
      </c>
      <c r="J13" s="28">
        <f>'ПРил.№3 Рд,пр, ЦС,ВР'!L30</f>
        <v>60400.99999999999</v>
      </c>
      <c r="K13" s="319">
        <f t="shared" si="1"/>
        <v>95.326551161418</v>
      </c>
    </row>
    <row r="14" spans="1:11" ht="31.5">
      <c r="A14" s="26" t="s">
        <v>170</v>
      </c>
      <c r="B14" s="21" t="s">
        <v>169</v>
      </c>
      <c r="C14" s="21" t="s">
        <v>171</v>
      </c>
      <c r="D14" s="28" t="e">
        <f>'ПРил.№3 Рд,пр, ЦС,ВР'!F55</f>
        <v>#REF!</v>
      </c>
      <c r="E14" s="28" t="e">
        <f>'ПРил.№3 Рд,пр, ЦС,ВР'!G55</f>
        <v>#REF!</v>
      </c>
      <c r="F14" s="28" t="e">
        <f>'ПРил.№3 Рд,пр, ЦС,ВР'!H55</f>
        <v>#REF!</v>
      </c>
      <c r="G14" s="28" t="e">
        <f>'ПРил.№3 Рд,пр, ЦС,ВР'!I55</f>
        <v>#REF!</v>
      </c>
      <c r="H14" s="28" t="e">
        <f>'ПРил.№3 Рд,пр, ЦС,ВР'!J55</f>
        <v>#REF!</v>
      </c>
      <c r="I14" s="28">
        <f>'ПРил.№3 Рд,пр, ЦС,ВР'!K55</f>
        <v>15326.2</v>
      </c>
      <c r="J14" s="28">
        <f>'ПРил.№3 Рд,пр, ЦС,ВР'!L55</f>
        <v>14937.7</v>
      </c>
      <c r="K14" s="319">
        <f t="shared" si="1"/>
        <v>97.4651250799285</v>
      </c>
    </row>
    <row r="15" spans="1:11" ht="15.75" hidden="1">
      <c r="A15" s="26" t="s">
        <v>755</v>
      </c>
      <c r="B15" s="21" t="s">
        <v>169</v>
      </c>
      <c r="C15" s="21" t="s">
        <v>543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19" t="e">
        <f t="shared" si="1"/>
        <v>#DIV/0!</v>
      </c>
    </row>
    <row r="16" spans="1:11" ht="15.75">
      <c r="A16" s="117" t="s">
        <v>190</v>
      </c>
      <c r="B16" s="21" t="s">
        <v>169</v>
      </c>
      <c r="C16" s="21" t="s">
        <v>191</v>
      </c>
      <c r="D16" s="28" t="e">
        <f>'ПРил.№3 Рд,пр, ЦС,ВР'!F73</f>
        <v>#REF!</v>
      </c>
      <c r="E16" s="28" t="e">
        <f>'ПРил.№3 Рд,пр, ЦС,ВР'!G73</f>
        <v>#REF!</v>
      </c>
      <c r="F16" s="28" t="e">
        <f>'ПРил.№3 Рд,пр, ЦС,ВР'!H73</f>
        <v>#REF!</v>
      </c>
      <c r="G16" s="28" t="e">
        <f>'ПРил.№3 Рд,пр, ЦС,ВР'!I73</f>
        <v>#REF!</v>
      </c>
      <c r="H16" s="28" t="e">
        <f>'ПРил.№3 Рд,пр, ЦС,ВР'!J73</f>
        <v>#REF!</v>
      </c>
      <c r="I16" s="28">
        <f>'ПРил.№3 Рд,пр, ЦС,ВР'!K73</f>
        <v>63699.3</v>
      </c>
      <c r="J16" s="28">
        <f>'ПРил.№3 Рд,пр, ЦС,ВР'!L73</f>
        <v>61592.2</v>
      </c>
      <c r="K16" s="319">
        <f t="shared" si="1"/>
        <v>96.69211435604473</v>
      </c>
    </row>
    <row r="17" spans="1:11" ht="15.75" hidden="1">
      <c r="A17" s="20" t="s">
        <v>263</v>
      </c>
      <c r="B17" s="25" t="s">
        <v>264</v>
      </c>
      <c r="C17" s="21"/>
      <c r="D17" s="46" t="e">
        <f>D18</f>
        <v>#REF!</v>
      </c>
      <c r="E17" s="46" t="e">
        <f aca="true" t="shared" si="2" ref="E17:J17">E18</f>
        <v>#REF!</v>
      </c>
      <c r="F17" s="46" t="e">
        <f t="shared" si="2"/>
        <v>#REF!</v>
      </c>
      <c r="G17" s="46" t="e">
        <f t="shared" si="2"/>
        <v>#REF!</v>
      </c>
      <c r="H17" s="46" t="e">
        <f t="shared" si="2"/>
        <v>#REF!</v>
      </c>
      <c r="I17" s="46">
        <f t="shared" si="2"/>
        <v>0</v>
      </c>
      <c r="J17" s="46">
        <f t="shared" si="2"/>
        <v>0</v>
      </c>
      <c r="K17" s="116" t="e">
        <f t="shared" si="1"/>
        <v>#DIV/0!</v>
      </c>
    </row>
    <row r="18" spans="1:11" ht="15.75" hidden="1">
      <c r="A18" s="26" t="s">
        <v>269</v>
      </c>
      <c r="B18" s="21" t="s">
        <v>264</v>
      </c>
      <c r="C18" s="21" t="s">
        <v>270</v>
      </c>
      <c r="D18" s="28" t="e">
        <f>'ПРил.№3 Рд,пр, ЦС,ВР'!F209</f>
        <v>#REF!</v>
      </c>
      <c r="E18" s="28" t="e">
        <f>'ПРил.№3 Рд,пр, ЦС,ВР'!G209</f>
        <v>#REF!</v>
      </c>
      <c r="F18" s="28" t="e">
        <f>'ПРил.№3 Рд,пр, ЦС,ВР'!H209</f>
        <v>#REF!</v>
      </c>
      <c r="G18" s="28" t="e">
        <f>'ПРил.№3 Рд,пр, ЦС,ВР'!I209</f>
        <v>#REF!</v>
      </c>
      <c r="H18" s="28" t="e">
        <f>'ПРил.№3 Рд,пр, ЦС,ВР'!J209</f>
        <v>#REF!</v>
      </c>
      <c r="I18" s="28">
        <f>'ПРил.№3 Рд,пр, ЦС,ВР'!K209</f>
        <v>0</v>
      </c>
      <c r="J18" s="28">
        <f>'ПРил.№3 Рд,пр, ЦС,ВР'!L209</f>
        <v>0</v>
      </c>
      <c r="K18" s="116" t="e">
        <f t="shared" si="1"/>
        <v>#DIV/0!</v>
      </c>
    </row>
    <row r="19" spans="1:11" ht="18" customHeight="1">
      <c r="A19" s="36" t="s">
        <v>273</v>
      </c>
      <c r="B19" s="25" t="s">
        <v>266</v>
      </c>
      <c r="C19" s="25"/>
      <c r="D19" s="46" t="e">
        <f>D20</f>
        <v>#REF!</v>
      </c>
      <c r="E19" s="46" t="e">
        <f aca="true" t="shared" si="3" ref="E19:J19">E20</f>
        <v>#REF!</v>
      </c>
      <c r="F19" s="46" t="e">
        <f t="shared" si="3"/>
        <v>#REF!</v>
      </c>
      <c r="G19" s="46" t="e">
        <f t="shared" si="3"/>
        <v>#REF!</v>
      </c>
      <c r="H19" s="46" t="e">
        <f t="shared" si="3"/>
        <v>#REF!</v>
      </c>
      <c r="I19" s="46">
        <f t="shared" si="3"/>
        <v>5701.9</v>
      </c>
      <c r="J19" s="46">
        <f t="shared" si="3"/>
        <v>5614.1</v>
      </c>
      <c r="K19" s="116">
        <f t="shared" si="1"/>
        <v>98.46016240200636</v>
      </c>
    </row>
    <row r="20" spans="1:11" ht="31.5">
      <c r="A20" s="33" t="s">
        <v>274</v>
      </c>
      <c r="B20" s="21" t="s">
        <v>266</v>
      </c>
      <c r="C20" s="21" t="s">
        <v>270</v>
      </c>
      <c r="D20" s="28" t="e">
        <f>'ПРил.№3 Рд,пр, ЦС,ВР'!F216</f>
        <v>#REF!</v>
      </c>
      <c r="E20" s="28" t="e">
        <f>'ПРил.№3 Рд,пр, ЦС,ВР'!G216</f>
        <v>#REF!</v>
      </c>
      <c r="F20" s="28" t="e">
        <f>'ПРил.№3 Рд,пр, ЦС,ВР'!H216</f>
        <v>#REF!</v>
      </c>
      <c r="G20" s="28" t="e">
        <f>'ПРил.№3 Рд,пр, ЦС,ВР'!I216</f>
        <v>#REF!</v>
      </c>
      <c r="H20" s="28" t="e">
        <f>'ПРил.№3 Рд,пр, ЦС,ВР'!J216</f>
        <v>#REF!</v>
      </c>
      <c r="I20" s="28">
        <f>'ПРил.№3 Рд,пр, ЦС,ВР'!K216</f>
        <v>5701.9</v>
      </c>
      <c r="J20" s="28">
        <f>'ПРил.№3 Рд,пр, ЦС,ВР'!L216</f>
        <v>5614.1</v>
      </c>
      <c r="K20" s="319">
        <f t="shared" si="1"/>
        <v>98.46016240200636</v>
      </c>
    </row>
    <row r="21" spans="1:11" ht="15.75">
      <c r="A21" s="49" t="s">
        <v>283</v>
      </c>
      <c r="B21" s="25" t="s">
        <v>201</v>
      </c>
      <c r="C21" s="25"/>
      <c r="D21" s="46" t="e">
        <f aca="true" t="shared" si="4" ref="D21:J21">D22+D23+D24+D25</f>
        <v>#REF!</v>
      </c>
      <c r="E21" s="46" t="e">
        <f t="shared" si="4"/>
        <v>#REF!</v>
      </c>
      <c r="F21" s="46" t="e">
        <f t="shared" si="4"/>
        <v>#REF!</v>
      </c>
      <c r="G21" s="46" t="e">
        <f t="shared" si="4"/>
        <v>#REF!</v>
      </c>
      <c r="H21" s="46" t="e">
        <f t="shared" si="4"/>
        <v>#REF!</v>
      </c>
      <c r="I21" s="46">
        <f t="shared" si="4"/>
        <v>10825.400000000001</v>
      </c>
      <c r="J21" s="46">
        <f t="shared" si="4"/>
        <v>9599.1</v>
      </c>
      <c r="K21" s="116">
        <f t="shared" si="1"/>
        <v>88.67201211964453</v>
      </c>
    </row>
    <row r="22" spans="1:11" ht="15.75">
      <c r="A22" s="118" t="s">
        <v>284</v>
      </c>
      <c r="B22" s="21" t="s">
        <v>201</v>
      </c>
      <c r="C22" s="21" t="s">
        <v>285</v>
      </c>
      <c r="D22" s="28" t="e">
        <f>'ПРил.№3 Рд,пр, ЦС,ВР'!F234</f>
        <v>#REF!</v>
      </c>
      <c r="E22" s="28" t="e">
        <f>'ПРил.№3 Рд,пр, ЦС,ВР'!G234</f>
        <v>#REF!</v>
      </c>
      <c r="F22" s="28" t="e">
        <f>'ПРил.№3 Рд,пр, ЦС,ВР'!H234</f>
        <v>#REF!</v>
      </c>
      <c r="G22" s="28" t="e">
        <f>'ПРил.№3 Рд,пр, ЦС,ВР'!I234</f>
        <v>#REF!</v>
      </c>
      <c r="H22" s="28" t="e">
        <f>'ПРил.№3 Рд,пр, ЦС,ВР'!J234</f>
        <v>#REF!</v>
      </c>
      <c r="I22" s="28">
        <f>'ПРил.№3 Рд,пр, ЦС,ВР'!K234</f>
        <v>919.6</v>
      </c>
      <c r="J22" s="28">
        <f>'ПРил.№3 Рд,пр, ЦС,ВР'!L234</f>
        <v>822.6</v>
      </c>
      <c r="K22" s="319">
        <f t="shared" si="1"/>
        <v>89.45193562418443</v>
      </c>
    </row>
    <row r="23" spans="1:11" ht="15.75">
      <c r="A23" s="117" t="s">
        <v>557</v>
      </c>
      <c r="B23" s="21" t="s">
        <v>201</v>
      </c>
      <c r="C23" s="21" t="s">
        <v>350</v>
      </c>
      <c r="D23" s="28" t="e">
        <f>'ПРил.№3 Рд,пр, ЦС,ВР'!F250</f>
        <v>#REF!</v>
      </c>
      <c r="E23" s="28" t="e">
        <f>'ПРил.№3 Рд,пр, ЦС,ВР'!G250</f>
        <v>#REF!</v>
      </c>
      <c r="F23" s="28" t="e">
        <f>'ПРил.№3 Рд,пр, ЦС,ВР'!H250</f>
        <v>#REF!</v>
      </c>
      <c r="G23" s="28" t="e">
        <f>'ПРил.№3 Рд,пр, ЦС,ВР'!I250</f>
        <v>#REF!</v>
      </c>
      <c r="H23" s="28" t="e">
        <f>'ПРил.№3 Рд,пр, ЦС,ВР'!J250</f>
        <v>#REF!</v>
      </c>
      <c r="I23" s="28">
        <f>'ПРил.№3 Рд,пр, ЦС,ВР'!K250</f>
        <v>3258.3</v>
      </c>
      <c r="J23" s="28">
        <f>'ПРил.№3 Рд,пр, ЦС,ВР'!L250</f>
        <v>3232.9</v>
      </c>
      <c r="K23" s="319">
        <f t="shared" si="1"/>
        <v>99.22045238314459</v>
      </c>
    </row>
    <row r="24" spans="1:11" ht="15.75">
      <c r="A24" s="117" t="s">
        <v>560</v>
      </c>
      <c r="B24" s="21" t="s">
        <v>201</v>
      </c>
      <c r="C24" s="21" t="s">
        <v>270</v>
      </c>
      <c r="D24" s="28" t="e">
        <f>'ПРил.№3 Рд,пр, ЦС,ВР'!F256</f>
        <v>#REF!</v>
      </c>
      <c r="E24" s="28" t="e">
        <f>'ПРил.№3 Рд,пр, ЦС,ВР'!G256</f>
        <v>#REF!</v>
      </c>
      <c r="F24" s="28" t="e">
        <f>'ПРил.№3 Рд,пр, ЦС,ВР'!H256</f>
        <v>#REF!</v>
      </c>
      <c r="G24" s="28" t="e">
        <f>'ПРил.№3 Рд,пр, ЦС,ВР'!I256</f>
        <v>#REF!</v>
      </c>
      <c r="H24" s="28" t="e">
        <f>'ПРил.№3 Рд,пр, ЦС,ВР'!J256</f>
        <v>#REF!</v>
      </c>
      <c r="I24" s="28">
        <f>'ПРил.№3 Рд,пр, ЦС,ВР'!K256</f>
        <v>5347.3</v>
      </c>
      <c r="J24" s="28">
        <f>'ПРил.№3 Рд,пр, ЦС,ВР'!L256</f>
        <v>4338</v>
      </c>
      <c r="K24" s="319">
        <f t="shared" si="1"/>
        <v>81.12505376545171</v>
      </c>
    </row>
    <row r="25" spans="1:11" ht="15.75">
      <c r="A25" s="119" t="s">
        <v>288</v>
      </c>
      <c r="B25" s="21" t="s">
        <v>201</v>
      </c>
      <c r="C25" s="21" t="s">
        <v>289</v>
      </c>
      <c r="D25" s="28" t="e">
        <f>'ПРил.№3 Рд,пр, ЦС,ВР'!F263</f>
        <v>#REF!</v>
      </c>
      <c r="E25" s="28" t="e">
        <f>'ПРил.№3 Рд,пр, ЦС,ВР'!G263</f>
        <v>#REF!</v>
      </c>
      <c r="F25" s="28" t="e">
        <f>'ПРил.№3 Рд,пр, ЦС,ВР'!H263</f>
        <v>#REF!</v>
      </c>
      <c r="G25" s="28" t="e">
        <f>'ПРил.№3 Рд,пр, ЦС,ВР'!I263</f>
        <v>#REF!</v>
      </c>
      <c r="H25" s="28" t="e">
        <f>'ПРил.№3 Рд,пр, ЦС,ВР'!J263</f>
        <v>#REF!</v>
      </c>
      <c r="I25" s="28">
        <f>'ПРил.№3 Рд,пр, ЦС,ВР'!K263</f>
        <v>1300.1999999999998</v>
      </c>
      <c r="J25" s="28">
        <f>'ПРил.№3 Рд,пр, ЦС,ВР'!L263</f>
        <v>1205.6</v>
      </c>
      <c r="K25" s="319">
        <f t="shared" si="1"/>
        <v>92.72419627749578</v>
      </c>
    </row>
    <row r="26" spans="1:11" ht="15.75">
      <c r="A26" s="49" t="s">
        <v>442</v>
      </c>
      <c r="B26" s="25" t="s">
        <v>285</v>
      </c>
      <c r="C26" s="25"/>
      <c r="D26" s="46" t="e">
        <f aca="true" t="shared" si="5" ref="D26:J26">SUM(D27:D30)</f>
        <v>#REF!</v>
      </c>
      <c r="E26" s="46" t="e">
        <f t="shared" si="5"/>
        <v>#REF!</v>
      </c>
      <c r="F26" s="46" t="e">
        <f t="shared" si="5"/>
        <v>#REF!</v>
      </c>
      <c r="G26" s="46" t="e">
        <f t="shared" si="5"/>
        <v>#REF!</v>
      </c>
      <c r="H26" s="46" t="e">
        <f t="shared" si="5"/>
        <v>#REF!</v>
      </c>
      <c r="I26" s="46">
        <f t="shared" si="5"/>
        <v>151915.88</v>
      </c>
      <c r="J26" s="46">
        <f t="shared" si="5"/>
        <v>144098.40000000002</v>
      </c>
      <c r="K26" s="116">
        <f t="shared" si="1"/>
        <v>94.85407318839874</v>
      </c>
    </row>
    <row r="27" spans="1:11" ht="15.75">
      <c r="A27" s="118" t="s">
        <v>443</v>
      </c>
      <c r="B27" s="21" t="s">
        <v>285</v>
      </c>
      <c r="C27" s="21" t="s">
        <v>169</v>
      </c>
      <c r="D27" s="28" t="e">
        <f>'ПРил.№3 Рд,пр, ЦС,ВР'!F279</f>
        <v>#REF!</v>
      </c>
      <c r="E27" s="28" t="e">
        <f>'ПРил.№3 Рд,пр, ЦС,ВР'!G279</f>
        <v>#REF!</v>
      </c>
      <c r="F27" s="28" t="e">
        <f>'ПРил.№3 Рд,пр, ЦС,ВР'!H279</f>
        <v>#REF!</v>
      </c>
      <c r="G27" s="28" t="e">
        <f>'ПРил.№3 Рд,пр, ЦС,ВР'!I279</f>
        <v>#REF!</v>
      </c>
      <c r="H27" s="28" t="e">
        <f>'ПРил.№3 Рд,пр, ЦС,ВР'!J279</f>
        <v>#REF!</v>
      </c>
      <c r="I27" s="28">
        <f>'ПРил.№3 Рд,пр, ЦС,ВР'!K279</f>
        <v>7604.1</v>
      </c>
      <c r="J27" s="28">
        <f>'ПРил.№3 Рд,пр, ЦС,ВР'!L279</f>
        <v>7357.800000000001</v>
      </c>
      <c r="K27" s="319">
        <f t="shared" si="1"/>
        <v>96.76095790428847</v>
      </c>
    </row>
    <row r="28" spans="1:11" ht="15.75">
      <c r="A28" s="118" t="s">
        <v>569</v>
      </c>
      <c r="B28" s="21" t="s">
        <v>285</v>
      </c>
      <c r="C28" s="21" t="s">
        <v>264</v>
      </c>
      <c r="D28" s="28" t="e">
        <f>'ПРил.№3 Рд,пр, ЦС,ВР'!F298</f>
        <v>#REF!</v>
      </c>
      <c r="E28" s="28" t="e">
        <f>'ПРил.№3 Рд,пр, ЦС,ВР'!G298</f>
        <v>#REF!</v>
      </c>
      <c r="F28" s="28" t="e">
        <f>'ПРил.№3 Рд,пр, ЦС,ВР'!H298</f>
        <v>#REF!</v>
      </c>
      <c r="G28" s="28" t="e">
        <f>'ПРил.№3 Рд,пр, ЦС,ВР'!I298</f>
        <v>#REF!</v>
      </c>
      <c r="H28" s="28" t="e">
        <f>'ПРил.№3 Рд,пр, ЦС,ВР'!J298</f>
        <v>#REF!</v>
      </c>
      <c r="I28" s="28">
        <f>'ПРил.№3 Рд,пр, ЦС,ВР'!K298</f>
        <v>103836.4</v>
      </c>
      <c r="J28" s="28">
        <f>'ПРил.№3 Рд,пр, ЦС,ВР'!L298</f>
        <v>99820.6</v>
      </c>
      <c r="K28" s="319">
        <f t="shared" si="1"/>
        <v>96.13257008139729</v>
      </c>
    </row>
    <row r="29" spans="1:11" ht="15.75">
      <c r="A29" s="117" t="s">
        <v>593</v>
      </c>
      <c r="B29" s="21" t="s">
        <v>285</v>
      </c>
      <c r="C29" s="21" t="s">
        <v>266</v>
      </c>
      <c r="D29" s="28" t="e">
        <f>'ПРил.№3 Рд,пр, ЦС,ВР'!F373</f>
        <v>#REF!</v>
      </c>
      <c r="E29" s="28" t="e">
        <f>'ПРил.№3 Рд,пр, ЦС,ВР'!G373</f>
        <v>#REF!</v>
      </c>
      <c r="F29" s="28" t="e">
        <f>'ПРил.№3 Рд,пр, ЦС,ВР'!H373</f>
        <v>#REF!</v>
      </c>
      <c r="G29" s="28" t="e">
        <f>'ПРил.№3 Рд,пр, ЦС,ВР'!I373</f>
        <v>#REF!</v>
      </c>
      <c r="H29" s="28" t="e">
        <f>'ПРил.№3 Рд,пр, ЦС,ВР'!J373</f>
        <v>#REF!</v>
      </c>
      <c r="I29" s="28">
        <f>'ПРил.№3 Рд,пр, ЦС,ВР'!K373</f>
        <v>15195.28</v>
      </c>
      <c r="J29" s="28">
        <f>'ПРил.№3 Рд,пр, ЦС,ВР'!L373</f>
        <v>11827.2</v>
      </c>
      <c r="K29" s="319">
        <f t="shared" si="1"/>
        <v>77.8346960371905</v>
      </c>
    </row>
    <row r="30" spans="1:11" ht="15.75">
      <c r="A30" s="26" t="s">
        <v>621</v>
      </c>
      <c r="B30" s="21" t="s">
        <v>285</v>
      </c>
      <c r="C30" s="21" t="s">
        <v>285</v>
      </c>
      <c r="D30" s="28" t="e">
        <f>'ПРил.№3 Рд,пр, ЦС,ВР'!F433</f>
        <v>#REF!</v>
      </c>
      <c r="E30" s="28" t="e">
        <f>'ПРил.№3 Рд,пр, ЦС,ВР'!G433</f>
        <v>#REF!</v>
      </c>
      <c r="F30" s="28" t="e">
        <f>'ПРил.№3 Рд,пр, ЦС,ВР'!H433</f>
        <v>#REF!</v>
      </c>
      <c r="G30" s="28" t="e">
        <f>'ПРил.№3 Рд,пр, ЦС,ВР'!I433</f>
        <v>#REF!</v>
      </c>
      <c r="H30" s="28" t="e">
        <f>'ПРил.№3 Рд,пр, ЦС,ВР'!J433</f>
        <v>#REF!</v>
      </c>
      <c r="I30" s="28">
        <f>'ПРил.№3 Рд,пр, ЦС,ВР'!K433</f>
        <v>25280.100000000002</v>
      </c>
      <c r="J30" s="28">
        <f>'ПРил.№3 Рд,пр, ЦС,ВР'!L433</f>
        <v>25092.800000000003</v>
      </c>
      <c r="K30" s="319">
        <f t="shared" si="1"/>
        <v>99.25910103203705</v>
      </c>
    </row>
    <row r="31" spans="1:11" ht="15.75">
      <c r="A31" s="49" t="s">
        <v>314</v>
      </c>
      <c r="B31" s="25" t="s">
        <v>315</v>
      </c>
      <c r="C31" s="25"/>
      <c r="D31" s="46" t="e">
        <f aca="true" t="shared" si="6" ref="D31:J31">SUM(D32:D36)</f>
        <v>#REF!</v>
      </c>
      <c r="E31" s="46" t="e">
        <f t="shared" si="6"/>
        <v>#REF!</v>
      </c>
      <c r="F31" s="46" t="e">
        <f t="shared" si="6"/>
        <v>#REF!</v>
      </c>
      <c r="G31" s="46" t="e">
        <f t="shared" si="6"/>
        <v>#REF!</v>
      </c>
      <c r="H31" s="46" t="e">
        <f t="shared" si="6"/>
        <v>#REF!</v>
      </c>
      <c r="I31" s="46">
        <f t="shared" si="6"/>
        <v>324702</v>
      </c>
      <c r="J31" s="46">
        <f t="shared" si="6"/>
        <v>322656.19999999995</v>
      </c>
      <c r="K31" s="116">
        <f t="shared" si="1"/>
        <v>99.36994536528877</v>
      </c>
    </row>
    <row r="32" spans="1:11" ht="15.75">
      <c r="A32" s="117" t="s">
        <v>456</v>
      </c>
      <c r="B32" s="21" t="s">
        <v>315</v>
      </c>
      <c r="C32" s="21" t="s">
        <v>169</v>
      </c>
      <c r="D32" s="28" t="e">
        <f>'ПРил.№3 Рд,пр, ЦС,ВР'!F453</f>
        <v>#REF!</v>
      </c>
      <c r="E32" s="28" t="e">
        <f>'ПРил.№3 Рд,пр, ЦС,ВР'!G453</f>
        <v>#REF!</v>
      </c>
      <c r="F32" s="28" t="e">
        <f>'ПРил.№3 Рд,пр, ЦС,ВР'!H453</f>
        <v>#REF!</v>
      </c>
      <c r="G32" s="28" t="e">
        <f>'ПРил.№3 Рд,пр, ЦС,ВР'!I453</f>
        <v>#REF!</v>
      </c>
      <c r="H32" s="28" t="e">
        <f>'ПРил.№3 Рд,пр, ЦС,ВР'!J453</f>
        <v>#REF!</v>
      </c>
      <c r="I32" s="28">
        <f>'ПРил.№3 Рд,пр, ЦС,ВР'!K453</f>
        <v>96331.9</v>
      </c>
      <c r="J32" s="28">
        <f>'ПРил.№3 Рд,пр, ЦС,ВР'!L453</f>
        <v>95786.1</v>
      </c>
      <c r="K32" s="319">
        <f t="shared" si="1"/>
        <v>99.43341717541128</v>
      </c>
    </row>
    <row r="33" spans="1:11" ht="15.75">
      <c r="A33" s="117" t="s">
        <v>477</v>
      </c>
      <c r="B33" s="21" t="s">
        <v>315</v>
      </c>
      <c r="C33" s="21" t="s">
        <v>264</v>
      </c>
      <c r="D33" s="28" t="e">
        <f>'ПРил.№3 Рд,пр, ЦС,ВР'!F504</f>
        <v>#REF!</v>
      </c>
      <c r="E33" s="28" t="e">
        <f>'ПРил.№3 Рд,пр, ЦС,ВР'!G504</f>
        <v>#REF!</v>
      </c>
      <c r="F33" s="28" t="e">
        <f>'ПРил.№3 Рд,пр, ЦС,ВР'!H504</f>
        <v>#REF!</v>
      </c>
      <c r="G33" s="28" t="e">
        <f>'ПРил.№3 Рд,пр, ЦС,ВР'!I504</f>
        <v>#REF!</v>
      </c>
      <c r="H33" s="28" t="e">
        <f>'ПРил.№3 Рд,пр, ЦС,ВР'!J504</f>
        <v>#REF!</v>
      </c>
      <c r="I33" s="28">
        <f>'ПРил.№3 Рд,пр, ЦС,ВР'!K504</f>
        <v>142709.3</v>
      </c>
      <c r="J33" s="28">
        <f>'ПРил.№3 Рд,пр, ЦС,ВР'!L504</f>
        <v>142028.5</v>
      </c>
      <c r="K33" s="319">
        <f t="shared" si="1"/>
        <v>99.5229462971229</v>
      </c>
    </row>
    <row r="34" spans="1:11" ht="15.75">
      <c r="A34" s="117" t="s">
        <v>316</v>
      </c>
      <c r="B34" s="21" t="s">
        <v>315</v>
      </c>
      <c r="C34" s="21" t="s">
        <v>266</v>
      </c>
      <c r="D34" s="28" t="e">
        <f>'ПРил.№3 Рд,пр, ЦС,ВР'!F581</f>
        <v>#REF!</v>
      </c>
      <c r="E34" s="28" t="e">
        <f>'ПРил.№3 Рд,пр, ЦС,ВР'!G581</f>
        <v>#REF!</v>
      </c>
      <c r="F34" s="28" t="e">
        <f>'ПРил.№3 Рд,пр, ЦС,ВР'!H581</f>
        <v>#REF!</v>
      </c>
      <c r="G34" s="28" t="e">
        <f>'ПРил.№3 Рд,пр, ЦС,ВР'!I581</f>
        <v>#REF!</v>
      </c>
      <c r="H34" s="28" t="e">
        <f>'ПРил.№3 Рд,пр, ЦС,ВР'!J581</f>
        <v>#REF!</v>
      </c>
      <c r="I34" s="28">
        <f>'ПРил.№3 Рд,пр, ЦС,ВР'!K581</f>
        <v>60817.00000000001</v>
      </c>
      <c r="J34" s="28">
        <f>'ПРил.№3 Рд,пр, ЦС,ВР'!L581</f>
        <v>60316</v>
      </c>
      <c r="K34" s="319">
        <f t="shared" si="1"/>
        <v>99.17621717611851</v>
      </c>
    </row>
    <row r="35" spans="1:11" ht="15.75">
      <c r="A35" s="117" t="s">
        <v>518</v>
      </c>
      <c r="B35" s="21" t="s">
        <v>315</v>
      </c>
      <c r="C35" s="21" t="s">
        <v>315</v>
      </c>
      <c r="D35" s="28" t="e">
        <f>'ПРил.№3 Рд,пр, ЦС,ВР'!F651</f>
        <v>#REF!</v>
      </c>
      <c r="E35" s="28" t="e">
        <f>'ПРил.№3 Рд,пр, ЦС,ВР'!G651</f>
        <v>#REF!</v>
      </c>
      <c r="F35" s="28" t="e">
        <f>'ПРил.№3 Рд,пр, ЦС,ВР'!H651</f>
        <v>#REF!</v>
      </c>
      <c r="G35" s="28" t="e">
        <f>'ПРил.№3 Рд,пр, ЦС,ВР'!I651</f>
        <v>#REF!</v>
      </c>
      <c r="H35" s="28" t="e">
        <f>'ПРил.№3 Рд,пр, ЦС,ВР'!J651</f>
        <v>#REF!</v>
      </c>
      <c r="I35" s="28">
        <f>'ПРил.№3 Рд,пр, ЦС,ВР'!K651</f>
        <v>4887.8</v>
      </c>
      <c r="J35" s="28">
        <f>'ПРил.№3 Рд,пр, ЦС,ВР'!L651</f>
        <v>4887.8</v>
      </c>
      <c r="K35" s="319">
        <f t="shared" si="1"/>
        <v>100</v>
      </c>
    </row>
    <row r="36" spans="1:11" ht="15.75">
      <c r="A36" s="117" t="s">
        <v>346</v>
      </c>
      <c r="B36" s="21" t="s">
        <v>315</v>
      </c>
      <c r="C36" s="21" t="s">
        <v>270</v>
      </c>
      <c r="D36" s="28" t="e">
        <f>'ПРил.№3 Рд,пр, ЦС,ВР'!F662</f>
        <v>#REF!</v>
      </c>
      <c r="E36" s="28" t="e">
        <f>'ПРил.№3 Рд,пр, ЦС,ВР'!G662</f>
        <v>#REF!</v>
      </c>
      <c r="F36" s="28" t="e">
        <f>'ПРил.№3 Рд,пр, ЦС,ВР'!H662</f>
        <v>#REF!</v>
      </c>
      <c r="G36" s="28" t="e">
        <f>'ПРил.№3 Рд,пр, ЦС,ВР'!I662</f>
        <v>#REF!</v>
      </c>
      <c r="H36" s="28" t="e">
        <f>'ПРил.№3 Рд,пр, ЦС,ВР'!J662</f>
        <v>#REF!</v>
      </c>
      <c r="I36" s="28">
        <f>'ПРил.№3 Рд,пр, ЦС,ВР'!K662</f>
        <v>19956.000000000004</v>
      </c>
      <c r="J36" s="28">
        <f>'ПРил.№3 Рд,пр, ЦС,ВР'!L662</f>
        <v>19637.8</v>
      </c>
      <c r="K36" s="319">
        <f t="shared" si="1"/>
        <v>98.40549208258166</v>
      </c>
    </row>
    <row r="37" spans="1:11" ht="15.75">
      <c r="A37" s="120" t="s">
        <v>349</v>
      </c>
      <c r="B37" s="25" t="s">
        <v>350</v>
      </c>
      <c r="C37" s="21"/>
      <c r="D37" s="46" t="e">
        <f aca="true" t="shared" si="7" ref="D37:J37">D38+D39</f>
        <v>#REF!</v>
      </c>
      <c r="E37" s="46" t="e">
        <f t="shared" si="7"/>
        <v>#REF!</v>
      </c>
      <c r="F37" s="46" t="e">
        <f t="shared" si="7"/>
        <v>#REF!</v>
      </c>
      <c r="G37" s="46" t="e">
        <f t="shared" si="7"/>
        <v>#REF!</v>
      </c>
      <c r="H37" s="46" t="e">
        <f t="shared" si="7"/>
        <v>#REF!</v>
      </c>
      <c r="I37" s="46">
        <f t="shared" si="7"/>
        <v>63365.399999999994</v>
      </c>
      <c r="J37" s="46">
        <f t="shared" si="7"/>
        <v>62963.200000000004</v>
      </c>
      <c r="K37" s="116">
        <f t="shared" si="1"/>
        <v>99.36526874287863</v>
      </c>
    </row>
    <row r="38" spans="1:11" ht="15.75">
      <c r="A38" s="119" t="s">
        <v>351</v>
      </c>
      <c r="B38" s="21" t="s">
        <v>350</v>
      </c>
      <c r="C38" s="21" t="s">
        <v>169</v>
      </c>
      <c r="D38" s="28" t="e">
        <f>'ПРил.№3 Рд,пр, ЦС,ВР'!F695</f>
        <v>#REF!</v>
      </c>
      <c r="E38" s="28" t="e">
        <f>'ПРил.№3 Рд,пр, ЦС,ВР'!G695</f>
        <v>#REF!</v>
      </c>
      <c r="F38" s="28" t="e">
        <f>'ПРил.№3 Рд,пр, ЦС,ВР'!H695</f>
        <v>#REF!</v>
      </c>
      <c r="G38" s="28" t="e">
        <f>'ПРил.№3 Рд,пр, ЦС,ВР'!I695</f>
        <v>#REF!</v>
      </c>
      <c r="H38" s="28" t="e">
        <f>'ПРил.№3 Рд,пр, ЦС,ВР'!J695</f>
        <v>#REF!</v>
      </c>
      <c r="I38" s="28">
        <f>'ПРил.№3 Рд,пр, ЦС,ВР'!K695</f>
        <v>45079.7</v>
      </c>
      <c r="J38" s="28">
        <f>'ПРил.№3 Рд,пр, ЦС,ВР'!L695</f>
        <v>44678.3</v>
      </c>
      <c r="K38" s="319">
        <f t="shared" si="1"/>
        <v>99.10957703800159</v>
      </c>
    </row>
    <row r="39" spans="1:11" ht="15.75">
      <c r="A39" s="119" t="s">
        <v>384</v>
      </c>
      <c r="B39" s="21" t="s">
        <v>350</v>
      </c>
      <c r="C39" s="21" t="s">
        <v>201</v>
      </c>
      <c r="D39" s="28" t="e">
        <f>'ПРил.№3 Рд,пр, ЦС,ВР'!F786</f>
        <v>#REF!</v>
      </c>
      <c r="E39" s="28" t="e">
        <f>'ПРил.№3 Рд,пр, ЦС,ВР'!G786</f>
        <v>#REF!</v>
      </c>
      <c r="F39" s="28" t="e">
        <f>'ПРил.№3 Рд,пр, ЦС,ВР'!H786</f>
        <v>#REF!</v>
      </c>
      <c r="G39" s="28" t="e">
        <f>'ПРил.№3 Рд,пр, ЦС,ВР'!I786</f>
        <v>#REF!</v>
      </c>
      <c r="H39" s="28" t="e">
        <f>'ПРил.№3 Рд,пр, ЦС,ВР'!J786</f>
        <v>#REF!</v>
      </c>
      <c r="I39" s="28">
        <f>'ПРил.№3 Рд,пр, ЦС,ВР'!K786</f>
        <v>18285.7</v>
      </c>
      <c r="J39" s="28">
        <f>'ПРил.№3 Рд,пр, ЦС,ВР'!L786</f>
        <v>18284.9</v>
      </c>
      <c r="K39" s="319">
        <f t="shared" si="1"/>
        <v>99.99562499658204</v>
      </c>
    </row>
    <row r="40" spans="1:11" ht="15.75">
      <c r="A40" s="49" t="s">
        <v>294</v>
      </c>
      <c r="B40" s="25" t="s">
        <v>295</v>
      </c>
      <c r="C40" s="25"/>
      <c r="D40" s="46" t="e">
        <f aca="true" t="shared" si="8" ref="D40:J40">D41+D42+D43+D44</f>
        <v>#REF!</v>
      </c>
      <c r="E40" s="46" t="e">
        <f t="shared" si="8"/>
        <v>#REF!</v>
      </c>
      <c r="F40" s="46" t="e">
        <f t="shared" si="8"/>
        <v>#REF!</v>
      </c>
      <c r="G40" s="46" t="e">
        <f t="shared" si="8"/>
        <v>#REF!</v>
      </c>
      <c r="H40" s="46" t="e">
        <f t="shared" si="8"/>
        <v>#REF!</v>
      </c>
      <c r="I40" s="46">
        <f t="shared" si="8"/>
        <v>16611.2</v>
      </c>
      <c r="J40" s="46">
        <f t="shared" si="8"/>
        <v>15948.2</v>
      </c>
      <c r="K40" s="116">
        <f t="shared" si="1"/>
        <v>96.00871701020998</v>
      </c>
    </row>
    <row r="41" spans="1:11" ht="15.75">
      <c r="A41" s="117" t="s">
        <v>296</v>
      </c>
      <c r="B41" s="21" t="s">
        <v>295</v>
      </c>
      <c r="C41" s="21" t="s">
        <v>169</v>
      </c>
      <c r="D41" s="28" t="e">
        <f>'ПРил.№3 Рд,пр, ЦС,ВР'!F817</f>
        <v>#REF!</v>
      </c>
      <c r="E41" s="28" t="e">
        <f>'ПРил.№3 Рд,пр, ЦС,ВР'!G817</f>
        <v>#REF!</v>
      </c>
      <c r="F41" s="28" t="e">
        <f>'ПРил.№3 Рд,пр, ЦС,ВР'!H817</f>
        <v>#REF!</v>
      </c>
      <c r="G41" s="28" t="e">
        <f>'ПРил.№3 Рд,пр, ЦС,ВР'!I817</f>
        <v>#REF!</v>
      </c>
      <c r="H41" s="28" t="e">
        <f>'ПРил.№3 Рд,пр, ЦС,ВР'!J817</f>
        <v>#REF!</v>
      </c>
      <c r="I41" s="28">
        <f>'ПРил.№3 Рд,пр, ЦС,ВР'!K817</f>
        <v>9133.1</v>
      </c>
      <c r="J41" s="28">
        <f>'ПРил.№3 Рд,пр, ЦС,ВР'!L817</f>
        <v>9133.1</v>
      </c>
      <c r="K41" s="319">
        <f t="shared" si="1"/>
        <v>100</v>
      </c>
    </row>
    <row r="42" spans="1:11" ht="15.75">
      <c r="A42" s="26" t="s">
        <v>303</v>
      </c>
      <c r="B42" s="21" t="s">
        <v>295</v>
      </c>
      <c r="C42" s="21" t="s">
        <v>266</v>
      </c>
      <c r="D42" s="28" t="e">
        <f>'ПРил.№3 Рд,пр, ЦС,ВР'!F823</f>
        <v>#REF!</v>
      </c>
      <c r="E42" s="28" t="e">
        <f>'ПРил.№3 Рд,пр, ЦС,ВР'!G823</f>
        <v>#REF!</v>
      </c>
      <c r="F42" s="28" t="e">
        <f>'ПРил.№3 Рд,пр, ЦС,ВР'!H823</f>
        <v>#REF!</v>
      </c>
      <c r="G42" s="28" t="e">
        <f>'ПРил.№3 Рд,пр, ЦС,ВР'!I823</f>
        <v>#REF!</v>
      </c>
      <c r="H42" s="28" t="e">
        <f>'ПРил.№3 Рд,пр, ЦС,ВР'!J823</f>
        <v>#REF!</v>
      </c>
      <c r="I42" s="28">
        <f>'ПРил.№3 Рд,пр, ЦС,ВР'!K823</f>
        <v>4342.7</v>
      </c>
      <c r="J42" s="28">
        <f>'ПРил.№3 Рд,пр, ЦС,ВР'!L823</f>
        <v>3770.6000000000004</v>
      </c>
      <c r="K42" s="319">
        <f t="shared" si="1"/>
        <v>86.82616805213348</v>
      </c>
    </row>
    <row r="43" spans="1:11" ht="15.75" hidden="1">
      <c r="A43" s="119" t="s">
        <v>452</v>
      </c>
      <c r="B43" s="21" t="s">
        <v>295</v>
      </c>
      <c r="C43" s="21" t="s">
        <v>201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ЦС,ВР'!K901</f>
        <v>0</v>
      </c>
      <c r="J43" s="28">
        <f>'ПРил.№3 Рд,пр, ЦС,ВР'!L901</f>
        <v>0</v>
      </c>
      <c r="K43" s="319" t="e">
        <f t="shared" si="1"/>
        <v>#DIV/0!</v>
      </c>
    </row>
    <row r="44" spans="1:11" ht="15.75">
      <c r="A44" s="26" t="s">
        <v>309</v>
      </c>
      <c r="B44" s="21" t="s">
        <v>295</v>
      </c>
      <c r="C44" s="21" t="s">
        <v>171</v>
      </c>
      <c r="D44" s="28" t="e">
        <f>'ПРил.№3 Рд,пр, ЦС,ВР'!F909</f>
        <v>#REF!</v>
      </c>
      <c r="E44" s="28" t="e">
        <f>'ПРил.№3 Рд,пр, ЦС,ВР'!G909</f>
        <v>#REF!</v>
      </c>
      <c r="F44" s="28" t="e">
        <f>'ПРил.№3 Рд,пр, ЦС,ВР'!H909</f>
        <v>#REF!</v>
      </c>
      <c r="G44" s="28" t="e">
        <f>'ПРил.№3 Рд,пр, ЦС,ВР'!I909</f>
        <v>#REF!</v>
      </c>
      <c r="H44" s="28" t="e">
        <f>'ПРил.№3 Рд,пр, ЦС,ВР'!J909</f>
        <v>#REF!</v>
      </c>
      <c r="I44" s="28">
        <f>'ПРил.№3 Рд,пр, ЦС,ВР'!K909</f>
        <v>3135.4</v>
      </c>
      <c r="J44" s="28">
        <f>'ПРил.№3 Рд,пр, ЦС,ВР'!L909</f>
        <v>3044.4999999999995</v>
      </c>
      <c r="K44" s="319">
        <f t="shared" si="1"/>
        <v>97.10084837660264</v>
      </c>
    </row>
    <row r="45" spans="1:11" ht="15.75">
      <c r="A45" s="120" t="s">
        <v>542</v>
      </c>
      <c r="B45" s="25" t="s">
        <v>543</v>
      </c>
      <c r="C45" s="21"/>
      <c r="D45" s="46" t="e">
        <f aca="true" t="shared" si="9" ref="D45:J45">D46+D47</f>
        <v>#REF!</v>
      </c>
      <c r="E45" s="46" t="e">
        <f t="shared" si="9"/>
        <v>#REF!</v>
      </c>
      <c r="F45" s="46" t="e">
        <f t="shared" si="9"/>
        <v>#REF!</v>
      </c>
      <c r="G45" s="46" t="e">
        <f t="shared" si="9"/>
        <v>#REF!</v>
      </c>
      <c r="H45" s="46" t="e">
        <f t="shared" si="9"/>
        <v>#REF!</v>
      </c>
      <c r="I45" s="46">
        <f t="shared" si="9"/>
        <v>49789</v>
      </c>
      <c r="J45" s="46">
        <f t="shared" si="9"/>
        <v>49463.600000000006</v>
      </c>
      <c r="K45" s="116">
        <f t="shared" si="1"/>
        <v>99.34644198517746</v>
      </c>
    </row>
    <row r="46" spans="1:11" ht="15.75">
      <c r="A46" s="119" t="s">
        <v>544</v>
      </c>
      <c r="B46" s="21" t="s">
        <v>543</v>
      </c>
      <c r="C46" s="21" t="s">
        <v>169</v>
      </c>
      <c r="D46" s="28" t="e">
        <f>'ПРил.№3 Рд,пр, ЦС,ВР'!F926</f>
        <v>#REF!</v>
      </c>
      <c r="E46" s="28" t="e">
        <f>'ПРил.№3 Рд,пр, ЦС,ВР'!G926</f>
        <v>#REF!</v>
      </c>
      <c r="F46" s="28" t="e">
        <f>'ПРил.№3 Рд,пр, ЦС,ВР'!H926</f>
        <v>#REF!</v>
      </c>
      <c r="G46" s="28" t="e">
        <f>'ПРил.№3 Рд,пр, ЦС,ВР'!I926</f>
        <v>#REF!</v>
      </c>
      <c r="H46" s="28" t="e">
        <f>'ПРил.№3 Рд,пр, ЦС,ВР'!J926</f>
        <v>#REF!</v>
      </c>
      <c r="I46" s="28">
        <f>'ПРил.№3 Рд,пр, ЦС,ВР'!K926</f>
        <v>38020</v>
      </c>
      <c r="J46" s="28">
        <f>'ПРил.№3 Рд,пр, ЦС,ВР'!L926</f>
        <v>37905.5</v>
      </c>
      <c r="K46" s="319">
        <f t="shared" si="1"/>
        <v>99.69884271436086</v>
      </c>
    </row>
    <row r="47" spans="1:11" ht="15.75">
      <c r="A47" s="119" t="s">
        <v>552</v>
      </c>
      <c r="B47" s="21" t="s">
        <v>543</v>
      </c>
      <c r="C47" s="21" t="s">
        <v>285</v>
      </c>
      <c r="D47" s="28" t="e">
        <f>'ПРил.№3 Рд,пр, ЦС,ВР'!F953</f>
        <v>#REF!</v>
      </c>
      <c r="E47" s="28" t="e">
        <f>'ПРил.№3 Рд,пр, ЦС,ВР'!G953</f>
        <v>#REF!</v>
      </c>
      <c r="F47" s="28" t="e">
        <f>'ПРил.№3 Рд,пр, ЦС,ВР'!H953</f>
        <v>#REF!</v>
      </c>
      <c r="G47" s="28" t="e">
        <f>'ПРил.№3 Рд,пр, ЦС,ВР'!I953</f>
        <v>#REF!</v>
      </c>
      <c r="H47" s="28" t="e">
        <f>'ПРил.№3 Рд,пр, ЦС,ВР'!J953</f>
        <v>#REF!</v>
      </c>
      <c r="I47" s="28">
        <f>'ПРил.№3 Рд,пр, ЦС,ВР'!K953</f>
        <v>11769</v>
      </c>
      <c r="J47" s="28">
        <f>'ПРил.№3 Рд,пр, ЦС,ВР'!L953</f>
        <v>11558.100000000002</v>
      </c>
      <c r="K47" s="319">
        <f t="shared" si="1"/>
        <v>98.20800407851135</v>
      </c>
    </row>
    <row r="48" spans="1:11" ht="15.75">
      <c r="A48" s="20" t="s">
        <v>634</v>
      </c>
      <c r="B48" s="25" t="s">
        <v>289</v>
      </c>
      <c r="C48" s="21"/>
      <c r="D48" s="46" t="e">
        <f>D49</f>
        <v>#REF!</v>
      </c>
      <c r="E48" s="46" t="e">
        <f aca="true" t="shared" si="10" ref="E48:J48">E49</f>
        <v>#REF!</v>
      </c>
      <c r="F48" s="46" t="e">
        <f t="shared" si="10"/>
        <v>#REF!</v>
      </c>
      <c r="G48" s="46" t="e">
        <f t="shared" si="10"/>
        <v>#REF!</v>
      </c>
      <c r="H48" s="46" t="e">
        <f t="shared" si="10"/>
        <v>#REF!</v>
      </c>
      <c r="I48" s="46">
        <f t="shared" si="10"/>
        <v>6764.8</v>
      </c>
      <c r="J48" s="46">
        <f t="shared" si="10"/>
        <v>6699.3</v>
      </c>
      <c r="K48" s="116">
        <f t="shared" si="1"/>
        <v>99.03175260170293</v>
      </c>
    </row>
    <row r="49" spans="1:11" ht="15.75">
      <c r="A49" s="33" t="s">
        <v>635</v>
      </c>
      <c r="B49" s="21" t="s">
        <v>289</v>
      </c>
      <c r="C49" s="21" t="s">
        <v>264</v>
      </c>
      <c r="D49" s="28" t="e">
        <f>'ПРил.№3 Рд,пр, ЦС,ВР'!F977</f>
        <v>#REF!</v>
      </c>
      <c r="E49" s="28" t="e">
        <f>'ПРил.№3 Рд,пр, ЦС,ВР'!G977</f>
        <v>#REF!</v>
      </c>
      <c r="F49" s="28" t="e">
        <f>'ПРил.№3 Рд,пр, ЦС,ВР'!H977</f>
        <v>#REF!</v>
      </c>
      <c r="G49" s="28" t="e">
        <f>'ПРил.№3 Рд,пр, ЦС,ВР'!I977</f>
        <v>#REF!</v>
      </c>
      <c r="H49" s="28" t="e">
        <f>'ПРил.№3 Рд,пр, ЦС,ВР'!J977</f>
        <v>#REF!</v>
      </c>
      <c r="I49" s="28">
        <f>'ПРил.№3 Рд,пр, ЦС,ВР'!K977</f>
        <v>6764.8</v>
      </c>
      <c r="J49" s="28">
        <f>'ПРил.№3 Рд,пр, ЦС,ВР'!L977</f>
        <v>6699.3</v>
      </c>
      <c r="K49" s="319">
        <f t="shared" si="1"/>
        <v>99.03175260170293</v>
      </c>
    </row>
    <row r="50" spans="1:11" ht="15.75">
      <c r="A50" s="115" t="s">
        <v>756</v>
      </c>
      <c r="B50" s="25"/>
      <c r="C50" s="25"/>
      <c r="D50" s="46" t="e">
        <f aca="true" t="shared" si="11" ref="D50:J50">D10+D19+D21+D26+D31+D37+D40+D45+D48+D17</f>
        <v>#REF!</v>
      </c>
      <c r="E50" s="46" t="e">
        <f t="shared" si="11"/>
        <v>#REF!</v>
      </c>
      <c r="F50" s="46" t="e">
        <f t="shared" si="11"/>
        <v>#REF!</v>
      </c>
      <c r="G50" s="46" t="e">
        <f t="shared" si="11"/>
        <v>#REF!</v>
      </c>
      <c r="H50" s="46" t="e">
        <f t="shared" si="11"/>
        <v>#REF!</v>
      </c>
      <c r="I50" s="46">
        <f t="shared" si="11"/>
        <v>777897.58</v>
      </c>
      <c r="J50" s="46">
        <f t="shared" si="11"/>
        <v>759777.6</v>
      </c>
      <c r="K50" s="116">
        <f t="shared" si="1"/>
        <v>97.67064707927231</v>
      </c>
    </row>
    <row r="51" spans="4:11" ht="15" hidden="1"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>
        <f>'Прил.№4 ведомств.'!G1147</f>
        <v>777897.5800000001</v>
      </c>
      <c r="J51">
        <f>'Прил.№4 ведомств.'!H1147</f>
        <v>759777.6</v>
      </c>
      <c r="K51">
        <f>'Прил.№4 ведомств.'!I1147</f>
        <v>97.6706470792723</v>
      </c>
    </row>
    <row r="52" spans="4:11" ht="15" hidden="1">
      <c r="D52" s="23" t="e">
        <f aca="true" t="shared" si="12" ref="D52:K52">D51-D50</f>
        <v>#REF!</v>
      </c>
      <c r="E52" s="23" t="e">
        <f t="shared" si="12"/>
        <v>#REF!</v>
      </c>
      <c r="F52" s="23" t="e">
        <f t="shared" si="12"/>
        <v>#REF!</v>
      </c>
      <c r="G52" s="23" t="e">
        <f t="shared" si="12"/>
        <v>#REF!</v>
      </c>
      <c r="H52" s="23" t="e">
        <f t="shared" si="12"/>
        <v>#REF!</v>
      </c>
      <c r="I52" s="23">
        <f t="shared" si="12"/>
        <v>0</v>
      </c>
      <c r="J52" s="23">
        <f t="shared" si="12"/>
        <v>0</v>
      </c>
      <c r="K52" s="23">
        <f t="shared" si="12"/>
        <v>0</v>
      </c>
    </row>
    <row r="54" spans="9:11" ht="15">
      <c r="I54" s="23"/>
      <c r="J54" s="23"/>
      <c r="K54" s="23"/>
    </row>
  </sheetData>
  <mergeCells count="4">
    <mergeCell ref="A7:D7"/>
    <mergeCell ref="A4:K4"/>
    <mergeCell ref="A5:K5"/>
    <mergeCell ref="A6:K6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9"/>
  <sheetViews>
    <sheetView view="pageBreakPreview" zoomScaleSheetLayoutView="100" workbookViewId="0" topLeftCell="A1">
      <selection activeCell="L1" sqref="L1:L2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3.140625" style="0" customWidth="1"/>
    <col min="12" max="12" width="13.421875" style="0" customWidth="1"/>
    <col min="13" max="13" width="11.421875" style="0" customWidth="1"/>
    <col min="14" max="19" width="9.140625" style="0" hidden="1" customWidth="1"/>
  </cols>
  <sheetData>
    <row r="1" spans="1:12" ht="18.75">
      <c r="A1" s="58"/>
      <c r="B1" s="29"/>
      <c r="C1" s="29"/>
      <c r="F1" s="29"/>
      <c r="L1" s="379" t="s">
        <v>963</v>
      </c>
    </row>
    <row r="2" spans="1:12" ht="18.75">
      <c r="A2" s="58"/>
      <c r="B2" s="29"/>
      <c r="C2" s="29"/>
      <c r="F2" s="60"/>
      <c r="L2" s="379" t="s">
        <v>1</v>
      </c>
    </row>
    <row r="3" spans="1:13" ht="18.75">
      <c r="A3" s="58"/>
      <c r="B3" s="29"/>
      <c r="C3" s="29"/>
      <c r="F3" s="60"/>
      <c r="M3" s="261"/>
    </row>
    <row r="4" spans="1:6" ht="15">
      <c r="A4" s="58"/>
      <c r="B4" s="29"/>
      <c r="C4" s="29"/>
      <c r="D4" s="29"/>
      <c r="E4" s="29"/>
      <c r="F4" s="58"/>
    </row>
    <row r="5" spans="1:13" ht="77.25" customHeight="1">
      <c r="A5" s="391" t="s">
        <v>1068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4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3" ht="15.75">
      <c r="A7" s="58"/>
      <c r="B7" s="29"/>
      <c r="C7" s="29"/>
      <c r="D7" s="29"/>
      <c r="E7" s="29"/>
      <c r="F7" s="61" t="s">
        <v>2</v>
      </c>
      <c r="K7" s="251"/>
      <c r="L7" s="251"/>
      <c r="M7" s="251"/>
    </row>
    <row r="8" spans="1:13" ht="30" customHeight="1">
      <c r="A8" s="392" t="s">
        <v>645</v>
      </c>
      <c r="B8" s="394" t="s">
        <v>163</v>
      </c>
      <c r="C8" s="394" t="s">
        <v>164</v>
      </c>
      <c r="D8" s="394" t="s">
        <v>165</v>
      </c>
      <c r="E8" s="394" t="s">
        <v>166</v>
      </c>
      <c r="F8" s="396" t="s">
        <v>5</v>
      </c>
      <c r="G8" s="396" t="s">
        <v>872</v>
      </c>
      <c r="H8" s="396" t="s">
        <v>876</v>
      </c>
      <c r="I8" s="396" t="s">
        <v>873</v>
      </c>
      <c r="J8" s="396" t="s">
        <v>874</v>
      </c>
      <c r="K8" s="396" t="s">
        <v>1046</v>
      </c>
      <c r="L8" s="396" t="s">
        <v>1043</v>
      </c>
      <c r="M8" s="398" t="s">
        <v>1044</v>
      </c>
    </row>
    <row r="9" spans="1:13" ht="27" customHeight="1">
      <c r="A9" s="393"/>
      <c r="B9" s="395"/>
      <c r="C9" s="395"/>
      <c r="D9" s="395"/>
      <c r="E9" s="395"/>
      <c r="F9" s="397"/>
      <c r="G9" s="397"/>
      <c r="H9" s="397"/>
      <c r="I9" s="397"/>
      <c r="J9" s="397"/>
      <c r="K9" s="397"/>
      <c r="L9" s="397"/>
      <c r="M9" s="399"/>
    </row>
    <row r="10" spans="1:13" ht="15.75">
      <c r="A10" s="6">
        <v>1</v>
      </c>
      <c r="B10" s="2">
        <v>2</v>
      </c>
      <c r="C10" s="2">
        <v>3</v>
      </c>
      <c r="D10" s="2">
        <v>4</v>
      </c>
      <c r="E10" s="2">
        <v>5</v>
      </c>
      <c r="F10" s="62">
        <v>6</v>
      </c>
      <c r="G10" s="62">
        <v>7</v>
      </c>
      <c r="H10" s="62">
        <v>6</v>
      </c>
      <c r="I10" s="62">
        <v>9</v>
      </c>
      <c r="J10" s="62">
        <v>10</v>
      </c>
      <c r="K10" s="62">
        <v>6</v>
      </c>
      <c r="L10" s="62">
        <v>7</v>
      </c>
      <c r="M10" s="62">
        <v>8</v>
      </c>
    </row>
    <row r="11" spans="1:13" ht="15.75">
      <c r="A11" s="43" t="s">
        <v>168</v>
      </c>
      <c r="B11" s="8" t="s">
        <v>169</v>
      </c>
      <c r="C11" s="8"/>
      <c r="D11" s="8"/>
      <c r="E11" s="8"/>
      <c r="F11" s="4" t="e">
        <f aca="true" t="shared" si="0" ref="F11:K11">F12+F20+F30+F55+F73</f>
        <v>#REF!</v>
      </c>
      <c r="G11" s="4" t="e">
        <f t="shared" si="0"/>
        <v>#REF!</v>
      </c>
      <c r="H11" s="4" t="e">
        <f t="shared" si="0"/>
        <v>#REF!</v>
      </c>
      <c r="I11" s="4" t="e">
        <f t="shared" si="0"/>
        <v>#REF!</v>
      </c>
      <c r="J11" s="4" t="e">
        <f t="shared" si="0"/>
        <v>#REF!</v>
      </c>
      <c r="K11" s="4">
        <f t="shared" si="0"/>
        <v>148222</v>
      </c>
      <c r="L11" s="4">
        <f>L12+L20+L30+L55+L73</f>
        <v>142735.5</v>
      </c>
      <c r="M11" s="4">
        <f>L11/K11*100</f>
        <v>96.29845771882717</v>
      </c>
    </row>
    <row r="12" spans="1:13" ht="47.25">
      <c r="A12" s="43" t="s">
        <v>627</v>
      </c>
      <c r="B12" s="8" t="s">
        <v>169</v>
      </c>
      <c r="C12" s="8" t="s">
        <v>264</v>
      </c>
      <c r="D12" s="8"/>
      <c r="E12" s="8"/>
      <c r="F12" s="4" t="e">
        <f>F13</f>
        <v>#REF!</v>
      </c>
      <c r="G12" s="4" t="e">
        <f aca="true" t="shared" si="1" ref="G12:L14">G13</f>
        <v>#REF!</v>
      </c>
      <c r="H12" s="4" t="e">
        <f t="shared" si="1"/>
        <v>#REF!</v>
      </c>
      <c r="I12" s="4" t="e">
        <f t="shared" si="1"/>
        <v>#REF!</v>
      </c>
      <c r="J12" s="4" t="e">
        <f t="shared" si="1"/>
        <v>#REF!</v>
      </c>
      <c r="K12" s="4">
        <f t="shared" si="1"/>
        <v>4535.7</v>
      </c>
      <c r="L12" s="4">
        <f t="shared" si="1"/>
        <v>4517.6</v>
      </c>
      <c r="M12" s="4">
        <f aca="true" t="shared" si="2" ref="M12:M75">L12/K12*100</f>
        <v>99.6009436250193</v>
      </c>
    </row>
    <row r="13" spans="1:13" ht="15.75">
      <c r="A13" s="31" t="s">
        <v>172</v>
      </c>
      <c r="B13" s="42" t="s">
        <v>169</v>
      </c>
      <c r="C13" s="42" t="s">
        <v>264</v>
      </c>
      <c r="D13" s="42" t="s">
        <v>173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4535.7</v>
      </c>
      <c r="L13" s="7">
        <f t="shared" si="1"/>
        <v>4517.6</v>
      </c>
      <c r="M13" s="7">
        <f t="shared" si="2"/>
        <v>99.6009436250193</v>
      </c>
    </row>
    <row r="14" spans="1:13" ht="31.5">
      <c r="A14" s="31" t="s">
        <v>174</v>
      </c>
      <c r="B14" s="42" t="s">
        <v>169</v>
      </c>
      <c r="C14" s="42" t="s">
        <v>264</v>
      </c>
      <c r="D14" s="42" t="s">
        <v>175</v>
      </c>
      <c r="E14" s="42"/>
      <c r="F14" s="7" t="e">
        <f>F15</f>
        <v>#REF!</v>
      </c>
      <c r="G14" s="7" t="e">
        <f t="shared" si="1"/>
        <v>#REF!</v>
      </c>
      <c r="H14" s="7" t="e">
        <f t="shared" si="1"/>
        <v>#REF!</v>
      </c>
      <c r="I14" s="7" t="e">
        <f t="shared" si="1"/>
        <v>#REF!</v>
      </c>
      <c r="J14" s="7" t="e">
        <f t="shared" si="1"/>
        <v>#REF!</v>
      </c>
      <c r="K14" s="7">
        <f t="shared" si="1"/>
        <v>4535.7</v>
      </c>
      <c r="L14" s="7">
        <f t="shared" si="1"/>
        <v>4517.6</v>
      </c>
      <c r="M14" s="7">
        <f t="shared" si="2"/>
        <v>99.6009436250193</v>
      </c>
    </row>
    <row r="15" spans="1:13" ht="31.5">
      <c r="A15" s="31" t="s">
        <v>628</v>
      </c>
      <c r="B15" s="42" t="s">
        <v>169</v>
      </c>
      <c r="C15" s="42" t="s">
        <v>264</v>
      </c>
      <c r="D15" s="42" t="s">
        <v>629</v>
      </c>
      <c r="E15" s="42"/>
      <c r="F15" s="7" t="e">
        <f aca="true" t="shared" si="3" ref="F15:L15">F16+F18</f>
        <v>#REF!</v>
      </c>
      <c r="G15" s="7" t="e">
        <f t="shared" si="3"/>
        <v>#REF!</v>
      </c>
      <c r="H15" s="7" t="e">
        <f t="shared" si="3"/>
        <v>#REF!</v>
      </c>
      <c r="I15" s="7" t="e">
        <f t="shared" si="3"/>
        <v>#REF!</v>
      </c>
      <c r="J15" s="7" t="e">
        <f t="shared" si="3"/>
        <v>#REF!</v>
      </c>
      <c r="K15" s="7">
        <f t="shared" si="3"/>
        <v>4535.7</v>
      </c>
      <c r="L15" s="7">
        <f t="shared" si="3"/>
        <v>4517.6</v>
      </c>
      <c r="M15" s="7">
        <f t="shared" si="2"/>
        <v>99.6009436250193</v>
      </c>
    </row>
    <row r="16" spans="1:13" ht="78.75">
      <c r="A16" s="31" t="s">
        <v>178</v>
      </c>
      <c r="B16" s="42" t="s">
        <v>169</v>
      </c>
      <c r="C16" s="42" t="s">
        <v>264</v>
      </c>
      <c r="D16" s="42" t="s">
        <v>629</v>
      </c>
      <c r="E16" s="42" t="s">
        <v>179</v>
      </c>
      <c r="F16" s="63" t="e">
        <f>F17</f>
        <v>#REF!</v>
      </c>
      <c r="G16" s="63" t="e">
        <f aca="true" t="shared" si="4" ref="G16:L16">G17</f>
        <v>#REF!</v>
      </c>
      <c r="H16" s="63" t="e">
        <f t="shared" si="4"/>
        <v>#REF!</v>
      </c>
      <c r="I16" s="63" t="e">
        <f t="shared" si="4"/>
        <v>#REF!</v>
      </c>
      <c r="J16" s="63" t="e">
        <f t="shared" si="4"/>
        <v>#REF!</v>
      </c>
      <c r="K16" s="63">
        <f t="shared" si="4"/>
        <v>4535.7</v>
      </c>
      <c r="L16" s="63">
        <f t="shared" si="4"/>
        <v>4517.6</v>
      </c>
      <c r="M16" s="7">
        <f t="shared" si="2"/>
        <v>99.6009436250193</v>
      </c>
    </row>
    <row r="17" spans="1:13" ht="31.5">
      <c r="A17" s="31" t="s">
        <v>180</v>
      </c>
      <c r="B17" s="42" t="s">
        <v>169</v>
      </c>
      <c r="C17" s="42" t="s">
        <v>264</v>
      </c>
      <c r="D17" s="42" t="s">
        <v>629</v>
      </c>
      <c r="E17" s="42" t="s">
        <v>181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>
        <f>'Прил.№4 ведомств.'!G1098</f>
        <v>4535.7</v>
      </c>
      <c r="L17" s="63">
        <f>'Прил.№4 ведомств.'!H1098</f>
        <v>4517.6</v>
      </c>
      <c r="M17" s="7">
        <f t="shared" si="2"/>
        <v>99.6009436250193</v>
      </c>
    </row>
    <row r="18" spans="1:13" ht="31.5" hidden="1">
      <c r="A18" s="31" t="s">
        <v>182</v>
      </c>
      <c r="B18" s="42" t="s">
        <v>169</v>
      </c>
      <c r="C18" s="42" t="s">
        <v>264</v>
      </c>
      <c r="D18" s="42" t="s">
        <v>629</v>
      </c>
      <c r="E18" s="42" t="s">
        <v>183</v>
      </c>
      <c r="F18" s="30" t="e">
        <f>F19</f>
        <v>#REF!</v>
      </c>
      <c r="G18" s="30" t="e">
        <f aca="true" t="shared" si="5" ref="G18:L18">G19</f>
        <v>#REF!</v>
      </c>
      <c r="H18" s="30" t="e">
        <f t="shared" si="5"/>
        <v>#REF!</v>
      </c>
      <c r="I18" s="30" t="e">
        <f t="shared" si="5"/>
        <v>#REF!</v>
      </c>
      <c r="J18" s="30" t="e">
        <f t="shared" si="5"/>
        <v>#REF!</v>
      </c>
      <c r="K18" s="30">
        <f t="shared" si="5"/>
        <v>0</v>
      </c>
      <c r="L18" s="30">
        <f t="shared" si="5"/>
        <v>0</v>
      </c>
      <c r="M18" s="7" t="e">
        <f t="shared" si="2"/>
        <v>#DIV/0!</v>
      </c>
    </row>
    <row r="19" spans="1:13" ht="47.25" hidden="1">
      <c r="A19" s="31" t="s">
        <v>184</v>
      </c>
      <c r="B19" s="42" t="s">
        <v>169</v>
      </c>
      <c r="C19" s="42" t="s">
        <v>264</v>
      </c>
      <c r="D19" s="42" t="s">
        <v>629</v>
      </c>
      <c r="E19" s="42" t="s">
        <v>185</v>
      </c>
      <c r="F19" s="30" t="e">
        <f>#REF!</f>
        <v>#REF!</v>
      </c>
      <c r="G19" s="30" t="e">
        <f>#REF!</f>
        <v>#REF!</v>
      </c>
      <c r="H19" s="30" t="e">
        <f>#REF!</f>
        <v>#REF!</v>
      </c>
      <c r="I19" s="30" t="e">
        <f>#REF!</f>
        <v>#REF!</v>
      </c>
      <c r="J19" s="30" t="e">
        <f>#REF!</f>
        <v>#REF!</v>
      </c>
      <c r="K19" s="30">
        <f>'Прил.№4 ведомств.'!G1100</f>
        <v>0</v>
      </c>
      <c r="L19" s="30">
        <f>'Прил.№4 ведомств.'!H1100</f>
        <v>0</v>
      </c>
      <c r="M19" s="7" t="e">
        <f t="shared" si="2"/>
        <v>#DIV/0!</v>
      </c>
    </row>
    <row r="20" spans="1:13" ht="63">
      <c r="A20" s="43" t="s">
        <v>630</v>
      </c>
      <c r="B20" s="8" t="s">
        <v>169</v>
      </c>
      <c r="C20" s="8" t="s">
        <v>266</v>
      </c>
      <c r="D20" s="8"/>
      <c r="E20" s="8"/>
      <c r="F20" s="4" t="e">
        <f>F21</f>
        <v>#REF!</v>
      </c>
      <c r="G20" s="4" t="e">
        <f aca="true" t="shared" si="6" ref="G20:L22">G21</f>
        <v>#REF!</v>
      </c>
      <c r="H20" s="4" t="e">
        <f t="shared" si="6"/>
        <v>#REF!</v>
      </c>
      <c r="I20" s="4" t="e">
        <f t="shared" si="6"/>
        <v>#REF!</v>
      </c>
      <c r="J20" s="4" t="e">
        <f t="shared" si="6"/>
        <v>#REF!</v>
      </c>
      <c r="K20" s="4">
        <f t="shared" si="6"/>
        <v>1298.6000000000001</v>
      </c>
      <c r="L20" s="4">
        <f t="shared" si="6"/>
        <v>1287</v>
      </c>
      <c r="M20" s="4">
        <f t="shared" si="2"/>
        <v>99.10673032496534</v>
      </c>
    </row>
    <row r="21" spans="1:13" ht="15.75">
      <c r="A21" s="31" t="s">
        <v>172</v>
      </c>
      <c r="B21" s="42" t="s">
        <v>169</v>
      </c>
      <c r="C21" s="42" t="s">
        <v>266</v>
      </c>
      <c r="D21" s="42" t="s">
        <v>173</v>
      </c>
      <c r="E21" s="8"/>
      <c r="F21" s="7" t="e">
        <f>F22</f>
        <v>#REF!</v>
      </c>
      <c r="G21" s="7" t="e">
        <f t="shared" si="6"/>
        <v>#REF!</v>
      </c>
      <c r="H21" s="7" t="e">
        <f t="shared" si="6"/>
        <v>#REF!</v>
      </c>
      <c r="I21" s="7" t="e">
        <f t="shared" si="6"/>
        <v>#REF!</v>
      </c>
      <c r="J21" s="7" t="e">
        <f t="shared" si="6"/>
        <v>#REF!</v>
      </c>
      <c r="K21" s="7">
        <f t="shared" si="6"/>
        <v>1298.6000000000001</v>
      </c>
      <c r="L21" s="7">
        <f t="shared" si="6"/>
        <v>1287</v>
      </c>
      <c r="M21" s="7">
        <f t="shared" si="2"/>
        <v>99.10673032496534</v>
      </c>
    </row>
    <row r="22" spans="1:13" ht="31.5">
      <c r="A22" s="31" t="s">
        <v>174</v>
      </c>
      <c r="B22" s="42" t="s">
        <v>169</v>
      </c>
      <c r="C22" s="42" t="s">
        <v>266</v>
      </c>
      <c r="D22" s="42" t="s">
        <v>175</v>
      </c>
      <c r="E22" s="8"/>
      <c r="F22" s="7" t="e">
        <f>F23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1298.6000000000001</v>
      </c>
      <c r="L22" s="7">
        <f t="shared" si="6"/>
        <v>1287</v>
      </c>
      <c r="M22" s="7">
        <f t="shared" si="2"/>
        <v>99.10673032496534</v>
      </c>
    </row>
    <row r="23" spans="1:13" ht="47.25">
      <c r="A23" s="31" t="s">
        <v>631</v>
      </c>
      <c r="B23" s="42" t="s">
        <v>169</v>
      </c>
      <c r="C23" s="42" t="s">
        <v>266</v>
      </c>
      <c r="D23" s="42" t="s">
        <v>632</v>
      </c>
      <c r="E23" s="42"/>
      <c r="F23" s="7" t="e">
        <f>F24+F26</f>
        <v>#REF!</v>
      </c>
      <c r="G23" s="7" t="e">
        <f>G24+G26</f>
        <v>#REF!</v>
      </c>
      <c r="H23" s="7" t="e">
        <f>H24+H26</f>
        <v>#REF!</v>
      </c>
      <c r="I23" s="7" t="e">
        <f>I24+I26</f>
        <v>#REF!</v>
      </c>
      <c r="J23" s="7" t="e">
        <f>J24+J26</f>
        <v>#REF!</v>
      </c>
      <c r="K23" s="7">
        <f>K24+K26+K28</f>
        <v>1298.6000000000001</v>
      </c>
      <c r="L23" s="7">
        <f>L24+L26+L28</f>
        <v>1287</v>
      </c>
      <c r="M23" s="7">
        <f t="shared" si="2"/>
        <v>99.10673032496534</v>
      </c>
    </row>
    <row r="24" spans="1:13" ht="78.75">
      <c r="A24" s="31" t="s">
        <v>178</v>
      </c>
      <c r="B24" s="42" t="s">
        <v>169</v>
      </c>
      <c r="C24" s="42" t="s">
        <v>266</v>
      </c>
      <c r="D24" s="42" t="s">
        <v>632</v>
      </c>
      <c r="E24" s="42" t="s">
        <v>179</v>
      </c>
      <c r="F24" s="63" t="e">
        <f>F25</f>
        <v>#REF!</v>
      </c>
      <c r="G24" s="63" t="e">
        <f aca="true" t="shared" si="7" ref="G24:L24">G25</f>
        <v>#REF!</v>
      </c>
      <c r="H24" s="63" t="e">
        <f t="shared" si="7"/>
        <v>#REF!</v>
      </c>
      <c r="I24" s="63" t="e">
        <f t="shared" si="7"/>
        <v>#REF!</v>
      </c>
      <c r="J24" s="63" t="e">
        <f t="shared" si="7"/>
        <v>#REF!</v>
      </c>
      <c r="K24" s="63">
        <f t="shared" si="7"/>
        <v>1191.7</v>
      </c>
      <c r="L24" s="63">
        <f t="shared" si="7"/>
        <v>1182.2</v>
      </c>
      <c r="M24" s="7">
        <f t="shared" si="2"/>
        <v>99.20281950155241</v>
      </c>
    </row>
    <row r="25" spans="1:13" ht="31.5">
      <c r="A25" s="31" t="s">
        <v>180</v>
      </c>
      <c r="B25" s="42" t="s">
        <v>169</v>
      </c>
      <c r="C25" s="42" t="s">
        <v>266</v>
      </c>
      <c r="D25" s="42" t="s">
        <v>632</v>
      </c>
      <c r="E25" s="42" t="s">
        <v>181</v>
      </c>
      <c r="F25" s="63" t="e">
        <f>#REF!</f>
        <v>#REF!</v>
      </c>
      <c r="G25" s="63" t="e">
        <f>#REF!</f>
        <v>#REF!</v>
      </c>
      <c r="H25" s="63" t="e">
        <f>#REF!</f>
        <v>#REF!</v>
      </c>
      <c r="I25" s="63" t="e">
        <f>#REF!</f>
        <v>#REF!</v>
      </c>
      <c r="J25" s="63" t="e">
        <f>#REF!</f>
        <v>#REF!</v>
      </c>
      <c r="K25" s="63">
        <f>'Прил.№4 ведомств.'!G1106</f>
        <v>1191.7</v>
      </c>
      <c r="L25" s="63">
        <f>'Прил.№4 ведомств.'!H1106</f>
        <v>1182.2</v>
      </c>
      <c r="M25" s="7">
        <f t="shared" si="2"/>
        <v>99.20281950155241</v>
      </c>
    </row>
    <row r="26" spans="1:13" ht="31.5">
      <c r="A26" s="31" t="s">
        <v>182</v>
      </c>
      <c r="B26" s="42" t="s">
        <v>169</v>
      </c>
      <c r="C26" s="42" t="s">
        <v>266</v>
      </c>
      <c r="D26" s="42" t="s">
        <v>632</v>
      </c>
      <c r="E26" s="42" t="s">
        <v>183</v>
      </c>
      <c r="F26" s="7" t="e">
        <f>F27</f>
        <v>#REF!</v>
      </c>
      <c r="G26" s="7" t="e">
        <f aca="true" t="shared" si="8" ref="G26:L26">G27</f>
        <v>#REF!</v>
      </c>
      <c r="H26" s="7" t="e">
        <f t="shared" si="8"/>
        <v>#REF!</v>
      </c>
      <c r="I26" s="7" t="e">
        <f t="shared" si="8"/>
        <v>#REF!</v>
      </c>
      <c r="J26" s="7" t="e">
        <f t="shared" si="8"/>
        <v>#REF!</v>
      </c>
      <c r="K26" s="7">
        <f t="shared" si="8"/>
        <v>104.89999999999999</v>
      </c>
      <c r="L26" s="7">
        <f t="shared" si="8"/>
        <v>104.8</v>
      </c>
      <c r="M26" s="7">
        <f t="shared" si="2"/>
        <v>99.90467111534795</v>
      </c>
    </row>
    <row r="27" spans="1:13" ht="47.25">
      <c r="A27" s="31" t="s">
        <v>184</v>
      </c>
      <c r="B27" s="42" t="s">
        <v>169</v>
      </c>
      <c r="C27" s="42" t="s">
        <v>266</v>
      </c>
      <c r="D27" s="42" t="s">
        <v>632</v>
      </c>
      <c r="E27" s="42" t="s">
        <v>185</v>
      </c>
      <c r="F27" s="7" t="e">
        <f>#REF!</f>
        <v>#REF!</v>
      </c>
      <c r="G27" s="7" t="e">
        <f>#REF!</f>
        <v>#REF!</v>
      </c>
      <c r="H27" s="7" t="e">
        <f>#REF!</f>
        <v>#REF!</v>
      </c>
      <c r="I27" s="7" t="e">
        <f>#REF!</f>
        <v>#REF!</v>
      </c>
      <c r="J27" s="7" t="e">
        <f>#REF!</f>
        <v>#REF!</v>
      </c>
      <c r="K27" s="7">
        <f>'Прил.№4 ведомств.'!G1108</f>
        <v>104.89999999999999</v>
      </c>
      <c r="L27" s="7">
        <f>'Прил.№4 ведомств.'!H1108</f>
        <v>104.8</v>
      </c>
      <c r="M27" s="7">
        <f t="shared" si="2"/>
        <v>99.90467111534795</v>
      </c>
    </row>
    <row r="28" spans="1:13" ht="15.75" customHeight="1">
      <c r="A28" s="31" t="s">
        <v>186</v>
      </c>
      <c r="B28" s="42" t="s">
        <v>169</v>
      </c>
      <c r="C28" s="42" t="s">
        <v>266</v>
      </c>
      <c r="D28" s="42" t="s">
        <v>632</v>
      </c>
      <c r="E28" s="42" t="s">
        <v>196</v>
      </c>
      <c r="F28" s="7">
        <f>F29</f>
        <v>0</v>
      </c>
      <c r="G28" s="7">
        <f aca="true" t="shared" si="9" ref="G28:L28">G29</f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2</v>
      </c>
      <c r="L28" s="7">
        <f t="shared" si="9"/>
        <v>0</v>
      </c>
      <c r="M28" s="7">
        <f t="shared" si="2"/>
        <v>0</v>
      </c>
    </row>
    <row r="29" spans="1:13" ht="15.75" customHeight="1">
      <c r="A29" s="31" t="s">
        <v>188</v>
      </c>
      <c r="B29" s="42" t="s">
        <v>169</v>
      </c>
      <c r="C29" s="42" t="s">
        <v>266</v>
      </c>
      <c r="D29" s="42" t="s">
        <v>632</v>
      </c>
      <c r="E29" s="42" t="s">
        <v>189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>'Прил.№4 ведомств.'!G1110</f>
        <v>2</v>
      </c>
      <c r="L29" s="7">
        <f>'Прил.№4 ведомств.'!H1110</f>
        <v>0</v>
      </c>
      <c r="M29" s="7">
        <f t="shared" si="2"/>
        <v>0</v>
      </c>
    </row>
    <row r="30" spans="1:13" ht="70.5" customHeight="1">
      <c r="A30" s="43" t="s">
        <v>200</v>
      </c>
      <c r="B30" s="8" t="s">
        <v>169</v>
      </c>
      <c r="C30" s="8" t="s">
        <v>201</v>
      </c>
      <c r="D30" s="8"/>
      <c r="E30" s="8"/>
      <c r="F30" s="4" t="e">
        <f>F31</f>
        <v>#REF!</v>
      </c>
      <c r="G30" s="4" t="e">
        <f aca="true" t="shared" si="10" ref="G30:L30">G31</f>
        <v>#REF!</v>
      </c>
      <c r="H30" s="4" t="e">
        <f t="shared" si="10"/>
        <v>#REF!</v>
      </c>
      <c r="I30" s="4" t="e">
        <f t="shared" si="10"/>
        <v>#REF!</v>
      </c>
      <c r="J30" s="4" t="e">
        <f t="shared" si="10"/>
        <v>#REF!</v>
      </c>
      <c r="K30" s="4">
        <f t="shared" si="10"/>
        <v>63362.2</v>
      </c>
      <c r="L30" s="4">
        <f t="shared" si="10"/>
        <v>60400.99999999999</v>
      </c>
      <c r="M30" s="4">
        <f t="shared" si="2"/>
        <v>95.326551161418</v>
      </c>
    </row>
    <row r="31" spans="1:13" ht="15.75">
      <c r="A31" s="31" t="s">
        <v>172</v>
      </c>
      <c r="B31" s="42" t="s">
        <v>169</v>
      </c>
      <c r="C31" s="42" t="s">
        <v>201</v>
      </c>
      <c r="D31" s="42" t="s">
        <v>173</v>
      </c>
      <c r="E31" s="42"/>
      <c r="F31" s="7" t="e">
        <f aca="true" t="shared" si="11" ref="F31:K31">F32+F49</f>
        <v>#REF!</v>
      </c>
      <c r="G31" s="7" t="e">
        <f t="shared" si="11"/>
        <v>#REF!</v>
      </c>
      <c r="H31" s="7" t="e">
        <f t="shared" si="11"/>
        <v>#REF!</v>
      </c>
      <c r="I31" s="7" t="e">
        <f t="shared" si="11"/>
        <v>#REF!</v>
      </c>
      <c r="J31" s="7" t="e">
        <f t="shared" si="11"/>
        <v>#REF!</v>
      </c>
      <c r="K31" s="7">
        <f t="shared" si="11"/>
        <v>63362.2</v>
      </c>
      <c r="L31" s="7">
        <f>L32+L49</f>
        <v>60400.99999999999</v>
      </c>
      <c r="M31" s="7">
        <f t="shared" si="2"/>
        <v>95.326551161418</v>
      </c>
    </row>
    <row r="32" spans="1:13" ht="31.5">
      <c r="A32" s="31" t="s">
        <v>174</v>
      </c>
      <c r="B32" s="42" t="s">
        <v>169</v>
      </c>
      <c r="C32" s="42" t="s">
        <v>201</v>
      </c>
      <c r="D32" s="42" t="s">
        <v>175</v>
      </c>
      <c r="E32" s="42"/>
      <c r="F32" s="7" t="e">
        <f>F33+F41</f>
        <v>#REF!</v>
      </c>
      <c r="G32" s="7" t="e">
        <f>G33+G41</f>
        <v>#REF!</v>
      </c>
      <c r="H32" s="7" t="e">
        <f>H33+H41</f>
        <v>#REF!</v>
      </c>
      <c r="I32" s="7" t="e">
        <f>I33+I41</f>
        <v>#REF!</v>
      </c>
      <c r="J32" s="7" t="e">
        <f>J33+J41</f>
        <v>#REF!</v>
      </c>
      <c r="K32" s="7">
        <f>K33+K41+K44</f>
        <v>60871.7</v>
      </c>
      <c r="L32" s="7">
        <f>L33+L41+L44</f>
        <v>58175.399999999994</v>
      </c>
      <c r="M32" s="7">
        <f t="shared" si="2"/>
        <v>95.57051963391855</v>
      </c>
    </row>
    <row r="33" spans="1:13" ht="47.25">
      <c r="A33" s="31" t="s">
        <v>176</v>
      </c>
      <c r="B33" s="42" t="s">
        <v>169</v>
      </c>
      <c r="C33" s="42" t="s">
        <v>201</v>
      </c>
      <c r="D33" s="42" t="s">
        <v>177</v>
      </c>
      <c r="E33" s="42"/>
      <c r="F33" s="7" t="e">
        <f aca="true" t="shared" si="12" ref="F33:L33">F34+F36+F38</f>
        <v>#REF!</v>
      </c>
      <c r="G33" s="7" t="e">
        <f t="shared" si="12"/>
        <v>#REF!</v>
      </c>
      <c r="H33" s="7" t="e">
        <f t="shared" si="12"/>
        <v>#REF!</v>
      </c>
      <c r="I33" s="7" t="e">
        <f t="shared" si="12"/>
        <v>#REF!</v>
      </c>
      <c r="J33" s="7" t="e">
        <f t="shared" si="12"/>
        <v>#REF!</v>
      </c>
      <c r="K33" s="7">
        <f t="shared" si="12"/>
        <v>54129</v>
      </c>
      <c r="L33" s="7">
        <f t="shared" si="12"/>
        <v>52046.7</v>
      </c>
      <c r="M33" s="7">
        <f t="shared" si="2"/>
        <v>96.15307875630438</v>
      </c>
    </row>
    <row r="34" spans="1:13" ht="78.75">
      <c r="A34" s="31" t="s">
        <v>178</v>
      </c>
      <c r="B34" s="42" t="s">
        <v>169</v>
      </c>
      <c r="C34" s="42" t="s">
        <v>201</v>
      </c>
      <c r="D34" s="42" t="s">
        <v>177</v>
      </c>
      <c r="E34" s="42" t="s">
        <v>179</v>
      </c>
      <c r="F34" s="63" t="e">
        <f>F35</f>
        <v>#REF!</v>
      </c>
      <c r="G34" s="63" t="e">
        <f aca="true" t="shared" si="13" ref="G34:L34">G35</f>
        <v>#REF!</v>
      </c>
      <c r="H34" s="63" t="e">
        <f t="shared" si="13"/>
        <v>#REF!</v>
      </c>
      <c r="I34" s="63" t="e">
        <f t="shared" si="13"/>
        <v>#REF!</v>
      </c>
      <c r="J34" s="63" t="e">
        <f t="shared" si="13"/>
        <v>#REF!</v>
      </c>
      <c r="K34" s="63">
        <f t="shared" si="13"/>
        <v>46218</v>
      </c>
      <c r="L34" s="63">
        <f t="shared" si="13"/>
        <v>45360</v>
      </c>
      <c r="M34" s="7">
        <f t="shared" si="2"/>
        <v>98.14358042321174</v>
      </c>
    </row>
    <row r="35" spans="1:13" ht="31.5">
      <c r="A35" s="31" t="s">
        <v>180</v>
      </c>
      <c r="B35" s="42" t="s">
        <v>169</v>
      </c>
      <c r="C35" s="42" t="s">
        <v>201</v>
      </c>
      <c r="D35" s="42" t="s">
        <v>177</v>
      </c>
      <c r="E35" s="42" t="s">
        <v>181</v>
      </c>
      <c r="F35" s="63" t="e">
        <f>#REF!+#REF!</f>
        <v>#REF!</v>
      </c>
      <c r="G35" s="63" t="e">
        <f>#REF!+#REF!</f>
        <v>#REF!</v>
      </c>
      <c r="H35" s="63" t="e">
        <f>#REF!+#REF!</f>
        <v>#REF!</v>
      </c>
      <c r="I35" s="63" t="e">
        <f>#REF!+#REF!</f>
        <v>#REF!</v>
      </c>
      <c r="J35" s="63" t="e">
        <f>#REF!+#REF!</f>
        <v>#REF!</v>
      </c>
      <c r="K35" s="63">
        <f>'Прил.№4 ведомств.'!G535+'Прил.№4 ведомств.'!G34</f>
        <v>46218</v>
      </c>
      <c r="L35" s="63">
        <f>'Прил.№4 ведомств.'!H535+'Прил.№4 ведомств.'!H34</f>
        <v>45360</v>
      </c>
      <c r="M35" s="7">
        <f t="shared" si="2"/>
        <v>98.14358042321174</v>
      </c>
    </row>
    <row r="36" spans="1:13" ht="31.5">
      <c r="A36" s="31" t="s">
        <v>182</v>
      </c>
      <c r="B36" s="42" t="s">
        <v>169</v>
      </c>
      <c r="C36" s="42" t="s">
        <v>201</v>
      </c>
      <c r="D36" s="42" t="s">
        <v>177</v>
      </c>
      <c r="E36" s="42" t="s">
        <v>183</v>
      </c>
      <c r="F36" s="7" t="e">
        <f>F37</f>
        <v>#REF!</v>
      </c>
      <c r="G36" s="7" t="e">
        <f aca="true" t="shared" si="14" ref="G36:L36">G37</f>
        <v>#REF!</v>
      </c>
      <c r="H36" s="7" t="e">
        <f t="shared" si="14"/>
        <v>#REF!</v>
      </c>
      <c r="I36" s="7" t="e">
        <f t="shared" si="14"/>
        <v>#REF!</v>
      </c>
      <c r="J36" s="7" t="e">
        <f t="shared" si="14"/>
        <v>#REF!</v>
      </c>
      <c r="K36" s="7">
        <f t="shared" si="14"/>
        <v>7649</v>
      </c>
      <c r="L36" s="7">
        <f t="shared" si="14"/>
        <v>6433</v>
      </c>
      <c r="M36" s="7">
        <f t="shared" si="2"/>
        <v>84.10249705843901</v>
      </c>
    </row>
    <row r="37" spans="1:13" ht="47.25">
      <c r="A37" s="31" t="s">
        <v>184</v>
      </c>
      <c r="B37" s="42" t="s">
        <v>169</v>
      </c>
      <c r="C37" s="42" t="s">
        <v>201</v>
      </c>
      <c r="D37" s="42" t="s">
        <v>177</v>
      </c>
      <c r="E37" s="42" t="s">
        <v>185</v>
      </c>
      <c r="F37" s="7" t="e">
        <f>#REF!+#REF!</f>
        <v>#REF!</v>
      </c>
      <c r="G37" s="7" t="e">
        <f>#REF!+#REF!</f>
        <v>#REF!</v>
      </c>
      <c r="H37" s="7" t="e">
        <f>#REF!+#REF!</f>
        <v>#REF!</v>
      </c>
      <c r="I37" s="7" t="e">
        <f>#REF!+#REF!</f>
        <v>#REF!</v>
      </c>
      <c r="J37" s="7" t="e">
        <f>#REF!+#REF!</f>
        <v>#REF!</v>
      </c>
      <c r="K37" s="7">
        <f>'Прил.№4 ведомств.'!G36+'Прил.№4 ведомств.'!G537</f>
        <v>7649</v>
      </c>
      <c r="L37" s="7">
        <f>'Прил.№4 ведомств.'!H36+'Прил.№4 ведомств.'!H537</f>
        <v>6433</v>
      </c>
      <c r="M37" s="7">
        <f t="shared" si="2"/>
        <v>84.10249705843901</v>
      </c>
    </row>
    <row r="38" spans="1:13" ht="15.75">
      <c r="A38" s="31" t="s">
        <v>186</v>
      </c>
      <c r="B38" s="42" t="s">
        <v>169</v>
      </c>
      <c r="C38" s="42" t="s">
        <v>201</v>
      </c>
      <c r="D38" s="42" t="s">
        <v>177</v>
      </c>
      <c r="E38" s="42" t="s">
        <v>196</v>
      </c>
      <c r="F38" s="7" t="e">
        <f>F39</f>
        <v>#REF!</v>
      </c>
      <c r="G38" s="7" t="e">
        <f aca="true" t="shared" si="15" ref="G38:L38">G39</f>
        <v>#REF!</v>
      </c>
      <c r="H38" s="7" t="e">
        <f t="shared" si="15"/>
        <v>#REF!</v>
      </c>
      <c r="I38" s="7" t="e">
        <f t="shared" si="15"/>
        <v>#REF!</v>
      </c>
      <c r="J38" s="7" t="e">
        <f t="shared" si="15"/>
        <v>#REF!</v>
      </c>
      <c r="K38" s="7">
        <f t="shared" si="15"/>
        <v>262</v>
      </c>
      <c r="L38" s="7">
        <f t="shared" si="15"/>
        <v>253.7</v>
      </c>
      <c r="M38" s="7">
        <f t="shared" si="2"/>
        <v>96.83206106870229</v>
      </c>
    </row>
    <row r="39" spans="1:13" ht="15.75">
      <c r="A39" s="31" t="s">
        <v>620</v>
      </c>
      <c r="B39" s="42" t="s">
        <v>169</v>
      </c>
      <c r="C39" s="42" t="s">
        <v>201</v>
      </c>
      <c r="D39" s="42" t="s">
        <v>177</v>
      </c>
      <c r="E39" s="42" t="s">
        <v>189</v>
      </c>
      <c r="F39" s="7" t="e">
        <f>#REF!+#REF!</f>
        <v>#REF!</v>
      </c>
      <c r="G39" s="7" t="e">
        <f>#REF!+#REF!</f>
        <v>#REF!</v>
      </c>
      <c r="H39" s="7" t="e">
        <f>#REF!+#REF!</f>
        <v>#REF!</v>
      </c>
      <c r="I39" s="7" t="e">
        <f>#REF!+#REF!</f>
        <v>#REF!</v>
      </c>
      <c r="J39" s="7" t="e">
        <f>#REF!+#REF!</f>
        <v>#REF!</v>
      </c>
      <c r="K39" s="7">
        <f>'Прил.№4 ведомств.'!G539+'Прил.№4 ведомств.'!G38</f>
        <v>262</v>
      </c>
      <c r="L39" s="7">
        <f>'Прил.№4 ведомств.'!H539+'Прил.№4 ведомств.'!H38</f>
        <v>253.7</v>
      </c>
      <c r="M39" s="7">
        <f t="shared" si="2"/>
        <v>96.83206106870229</v>
      </c>
    </row>
    <row r="40" spans="1:13" ht="31.5">
      <c r="A40" s="26" t="s">
        <v>646</v>
      </c>
      <c r="B40" s="42" t="s">
        <v>169</v>
      </c>
      <c r="C40" s="42" t="s">
        <v>201</v>
      </c>
      <c r="D40" s="42" t="s">
        <v>203</v>
      </c>
      <c r="E40" s="42"/>
      <c r="F40" s="7" t="e">
        <f>F41</f>
        <v>#REF!</v>
      </c>
      <c r="G40" s="7" t="e">
        <f aca="true" t="shared" si="16" ref="G40:L42">G41</f>
        <v>#REF!</v>
      </c>
      <c r="H40" s="7" t="e">
        <f t="shared" si="16"/>
        <v>#REF!</v>
      </c>
      <c r="I40" s="7" t="e">
        <f t="shared" si="16"/>
        <v>#REF!</v>
      </c>
      <c r="J40" s="7" t="e">
        <f t="shared" si="16"/>
        <v>#REF!</v>
      </c>
      <c r="K40" s="7">
        <f t="shared" si="16"/>
        <v>3545.6</v>
      </c>
      <c r="L40" s="7">
        <f t="shared" si="16"/>
        <v>3055.2</v>
      </c>
      <c r="M40" s="7">
        <f t="shared" si="2"/>
        <v>86.16877256317689</v>
      </c>
    </row>
    <row r="41" spans="1:13" ht="31.5">
      <c r="A41" s="31" t="s">
        <v>202</v>
      </c>
      <c r="B41" s="42" t="s">
        <v>169</v>
      </c>
      <c r="C41" s="42" t="s">
        <v>201</v>
      </c>
      <c r="D41" s="42" t="s">
        <v>203</v>
      </c>
      <c r="E41" s="42"/>
      <c r="F41" s="7" t="e">
        <f>F42</f>
        <v>#REF!</v>
      </c>
      <c r="G41" s="7" t="e">
        <f t="shared" si="16"/>
        <v>#REF!</v>
      </c>
      <c r="H41" s="7" t="e">
        <f t="shared" si="16"/>
        <v>#REF!</v>
      </c>
      <c r="I41" s="7" t="e">
        <f t="shared" si="16"/>
        <v>#REF!</v>
      </c>
      <c r="J41" s="7" t="e">
        <f t="shared" si="16"/>
        <v>#REF!</v>
      </c>
      <c r="K41" s="7">
        <f t="shared" si="16"/>
        <v>3545.6</v>
      </c>
      <c r="L41" s="7">
        <f t="shared" si="16"/>
        <v>3055.2</v>
      </c>
      <c r="M41" s="7">
        <f t="shared" si="2"/>
        <v>86.16877256317689</v>
      </c>
    </row>
    <row r="42" spans="1:13" ht="78.75">
      <c r="A42" s="31" t="s">
        <v>178</v>
      </c>
      <c r="B42" s="42" t="s">
        <v>169</v>
      </c>
      <c r="C42" s="42" t="s">
        <v>201</v>
      </c>
      <c r="D42" s="42" t="s">
        <v>203</v>
      </c>
      <c r="E42" s="42" t="s">
        <v>179</v>
      </c>
      <c r="F42" s="63" t="e">
        <f>F43</f>
        <v>#REF!</v>
      </c>
      <c r="G42" s="63" t="e">
        <f t="shared" si="16"/>
        <v>#REF!</v>
      </c>
      <c r="H42" s="63" t="e">
        <f t="shared" si="16"/>
        <v>#REF!</v>
      </c>
      <c r="I42" s="63" t="e">
        <f t="shared" si="16"/>
        <v>#REF!</v>
      </c>
      <c r="J42" s="63" t="e">
        <f t="shared" si="16"/>
        <v>#REF!</v>
      </c>
      <c r="K42" s="63">
        <f t="shared" si="16"/>
        <v>3545.6</v>
      </c>
      <c r="L42" s="63">
        <f t="shared" si="16"/>
        <v>3055.2</v>
      </c>
      <c r="M42" s="7">
        <f t="shared" si="2"/>
        <v>86.16877256317689</v>
      </c>
    </row>
    <row r="43" spans="1:13" ht="31.5">
      <c r="A43" s="31" t="s">
        <v>180</v>
      </c>
      <c r="B43" s="42" t="s">
        <v>169</v>
      </c>
      <c r="C43" s="42" t="s">
        <v>201</v>
      </c>
      <c r="D43" s="42" t="s">
        <v>203</v>
      </c>
      <c r="E43" s="42" t="s">
        <v>181</v>
      </c>
      <c r="F43" s="63" t="e">
        <f>#REF!</f>
        <v>#REF!</v>
      </c>
      <c r="G43" s="63" t="e">
        <f>#REF!</f>
        <v>#REF!</v>
      </c>
      <c r="H43" s="63" t="e">
        <f>#REF!</f>
        <v>#REF!</v>
      </c>
      <c r="I43" s="63" t="e">
        <f>#REF!</f>
        <v>#REF!</v>
      </c>
      <c r="J43" s="63" t="e">
        <f>#REF!</f>
        <v>#REF!</v>
      </c>
      <c r="K43" s="63">
        <f>'Прил.№4 ведомств.'!G41</f>
        <v>3545.6</v>
      </c>
      <c r="L43" s="63">
        <f>'Прил.№4 ведомств.'!H41</f>
        <v>3055.2</v>
      </c>
      <c r="M43" s="7">
        <f t="shared" si="2"/>
        <v>86.16877256317689</v>
      </c>
    </row>
    <row r="44" spans="1:13" ht="47.25">
      <c r="A44" s="31" t="s">
        <v>261</v>
      </c>
      <c r="B44" s="42" t="s">
        <v>169</v>
      </c>
      <c r="C44" s="42" t="s">
        <v>201</v>
      </c>
      <c r="D44" s="42" t="s">
        <v>958</v>
      </c>
      <c r="E44" s="42"/>
      <c r="F44" s="63"/>
      <c r="G44" s="63"/>
      <c r="H44" s="63"/>
      <c r="I44" s="63"/>
      <c r="J44" s="63"/>
      <c r="K44" s="63">
        <f>K45+K47</f>
        <v>3197.1000000000004</v>
      </c>
      <c r="L44" s="63">
        <f>L45+L47</f>
        <v>3073.5</v>
      </c>
      <c r="M44" s="7">
        <f t="shared" si="2"/>
        <v>96.13399643426854</v>
      </c>
    </row>
    <row r="45" spans="1:13" ht="78.75">
      <c r="A45" s="31" t="s">
        <v>178</v>
      </c>
      <c r="B45" s="42" t="s">
        <v>169</v>
      </c>
      <c r="C45" s="42" t="s">
        <v>201</v>
      </c>
      <c r="D45" s="42" t="s">
        <v>958</v>
      </c>
      <c r="E45" s="42" t="s">
        <v>179</v>
      </c>
      <c r="F45" s="63"/>
      <c r="G45" s="63"/>
      <c r="H45" s="63"/>
      <c r="I45" s="63"/>
      <c r="J45" s="63"/>
      <c r="K45" s="63">
        <f>K46</f>
        <v>2571.7000000000003</v>
      </c>
      <c r="L45" s="63">
        <f>L46</f>
        <v>2467.7</v>
      </c>
      <c r="M45" s="7">
        <f t="shared" si="2"/>
        <v>95.95598242407745</v>
      </c>
    </row>
    <row r="46" spans="1:13" ht="31.5">
      <c r="A46" s="31" t="s">
        <v>180</v>
      </c>
      <c r="B46" s="42" t="s">
        <v>169</v>
      </c>
      <c r="C46" s="42" t="s">
        <v>201</v>
      </c>
      <c r="D46" s="42" t="s">
        <v>958</v>
      </c>
      <c r="E46" s="42" t="s">
        <v>181</v>
      </c>
      <c r="F46" s="63"/>
      <c r="G46" s="63"/>
      <c r="H46" s="63"/>
      <c r="I46" s="63"/>
      <c r="J46" s="63"/>
      <c r="K46" s="63">
        <f>'Прил.№4 ведомств.'!G44</f>
        <v>2571.7000000000003</v>
      </c>
      <c r="L46" s="63">
        <f>'Прил.№4 ведомств.'!H44</f>
        <v>2467.7</v>
      </c>
      <c r="M46" s="7">
        <f t="shared" si="2"/>
        <v>95.95598242407745</v>
      </c>
    </row>
    <row r="47" spans="1:13" ht="31.5">
      <c r="A47" s="31" t="s">
        <v>182</v>
      </c>
      <c r="B47" s="42" t="s">
        <v>169</v>
      </c>
      <c r="C47" s="42" t="s">
        <v>201</v>
      </c>
      <c r="D47" s="42" t="s">
        <v>958</v>
      </c>
      <c r="E47" s="42" t="s">
        <v>183</v>
      </c>
      <c r="F47" s="63"/>
      <c r="G47" s="63"/>
      <c r="H47" s="63"/>
      <c r="I47" s="63"/>
      <c r="J47" s="63"/>
      <c r="K47" s="63">
        <f>K48</f>
        <v>625.4</v>
      </c>
      <c r="L47" s="63">
        <f>L48</f>
        <v>605.8</v>
      </c>
      <c r="M47" s="7">
        <f t="shared" si="2"/>
        <v>96.86600575631596</v>
      </c>
    </row>
    <row r="48" spans="1:13" ht="48" customHeight="1">
      <c r="A48" s="31" t="s">
        <v>184</v>
      </c>
      <c r="B48" s="42" t="s">
        <v>169</v>
      </c>
      <c r="C48" s="42" t="s">
        <v>201</v>
      </c>
      <c r="D48" s="42" t="s">
        <v>958</v>
      </c>
      <c r="E48" s="42" t="s">
        <v>185</v>
      </c>
      <c r="F48" s="63"/>
      <c r="G48" s="63"/>
      <c r="H48" s="63"/>
      <c r="I48" s="63"/>
      <c r="J48" s="63"/>
      <c r="K48" s="63">
        <f>'Прил.№4 ведомств.'!G46</f>
        <v>625.4</v>
      </c>
      <c r="L48" s="63">
        <f>'Прил.№4 ведомств.'!H46</f>
        <v>605.8</v>
      </c>
      <c r="M48" s="7">
        <f t="shared" si="2"/>
        <v>96.86600575631596</v>
      </c>
    </row>
    <row r="49" spans="1:13" ht="15.75">
      <c r="A49" s="26" t="s">
        <v>192</v>
      </c>
      <c r="B49" s="21" t="s">
        <v>169</v>
      </c>
      <c r="C49" s="21" t="s">
        <v>201</v>
      </c>
      <c r="D49" s="21" t="s">
        <v>193</v>
      </c>
      <c r="E49" s="21"/>
      <c r="F49" s="30" t="e">
        <f>F50</f>
        <v>#REF!</v>
      </c>
      <c r="G49" s="30" t="e">
        <f aca="true" t="shared" si="17" ref="G49:L49">G50</f>
        <v>#REF!</v>
      </c>
      <c r="H49" s="30" t="e">
        <f t="shared" si="17"/>
        <v>#REF!</v>
      </c>
      <c r="I49" s="30" t="e">
        <f t="shared" si="17"/>
        <v>#REF!</v>
      </c>
      <c r="J49" s="30" t="e">
        <f t="shared" si="17"/>
        <v>#REF!</v>
      </c>
      <c r="K49" s="30">
        <f t="shared" si="17"/>
        <v>2490.5</v>
      </c>
      <c r="L49" s="30">
        <f t="shared" si="17"/>
        <v>2225.6</v>
      </c>
      <c r="M49" s="7">
        <f t="shared" si="2"/>
        <v>89.36358161011844</v>
      </c>
    </row>
    <row r="50" spans="1:13" ht="36.75" customHeight="1">
      <c r="A50" s="26" t="s">
        <v>204</v>
      </c>
      <c r="B50" s="21" t="s">
        <v>169</v>
      </c>
      <c r="C50" s="21" t="s">
        <v>201</v>
      </c>
      <c r="D50" s="21" t="s">
        <v>205</v>
      </c>
      <c r="E50" s="21"/>
      <c r="F50" s="27" t="e">
        <f aca="true" t="shared" si="18" ref="F50:L50">F51+F53</f>
        <v>#REF!</v>
      </c>
      <c r="G50" s="27" t="e">
        <f t="shared" si="18"/>
        <v>#REF!</v>
      </c>
      <c r="H50" s="27" t="e">
        <f t="shared" si="18"/>
        <v>#REF!</v>
      </c>
      <c r="I50" s="27" t="e">
        <f t="shared" si="18"/>
        <v>#REF!</v>
      </c>
      <c r="J50" s="27" t="e">
        <f t="shared" si="18"/>
        <v>#REF!</v>
      </c>
      <c r="K50" s="27">
        <f t="shared" si="18"/>
        <v>2490.5</v>
      </c>
      <c r="L50" s="27">
        <f t="shared" si="18"/>
        <v>2225.6</v>
      </c>
      <c r="M50" s="7">
        <f t="shared" si="2"/>
        <v>89.36358161011844</v>
      </c>
    </row>
    <row r="51" spans="1:13" ht="84" customHeight="1">
      <c r="A51" s="26" t="s">
        <v>178</v>
      </c>
      <c r="B51" s="21" t="s">
        <v>169</v>
      </c>
      <c r="C51" s="21" t="s">
        <v>201</v>
      </c>
      <c r="D51" s="21" t="s">
        <v>205</v>
      </c>
      <c r="E51" s="21" t="s">
        <v>179</v>
      </c>
      <c r="F51" s="27" t="e">
        <f>F52</f>
        <v>#REF!</v>
      </c>
      <c r="G51" s="27" t="e">
        <f aca="true" t="shared" si="19" ref="G51:L51">G52</f>
        <v>#REF!</v>
      </c>
      <c r="H51" s="27" t="e">
        <f t="shared" si="19"/>
        <v>#REF!</v>
      </c>
      <c r="I51" s="27" t="e">
        <f t="shared" si="19"/>
        <v>#REF!</v>
      </c>
      <c r="J51" s="27" t="e">
        <f t="shared" si="19"/>
        <v>#REF!</v>
      </c>
      <c r="K51" s="27">
        <f t="shared" si="19"/>
        <v>2490.5</v>
      </c>
      <c r="L51" s="27">
        <f t="shared" si="19"/>
        <v>2225.6</v>
      </c>
      <c r="M51" s="7">
        <f t="shared" si="2"/>
        <v>89.36358161011844</v>
      </c>
    </row>
    <row r="52" spans="1:13" ht="31.5">
      <c r="A52" s="26" t="s">
        <v>180</v>
      </c>
      <c r="B52" s="21" t="s">
        <v>169</v>
      </c>
      <c r="C52" s="21" t="s">
        <v>201</v>
      </c>
      <c r="D52" s="21" t="s">
        <v>205</v>
      </c>
      <c r="E52" s="21" t="s">
        <v>181</v>
      </c>
      <c r="F52" s="28" t="e">
        <f>#REF!</f>
        <v>#REF!</v>
      </c>
      <c r="G52" s="28" t="e">
        <f>#REF!</f>
        <v>#REF!</v>
      </c>
      <c r="H52" s="28" t="e">
        <f>#REF!</f>
        <v>#REF!</v>
      </c>
      <c r="I52" s="28" t="e">
        <f>#REF!</f>
        <v>#REF!</v>
      </c>
      <c r="J52" s="28" t="e">
        <f>#REF!</f>
        <v>#REF!</v>
      </c>
      <c r="K52" s="28">
        <f>'Прил.№4 ведомств.'!G50</f>
        <v>2490.5</v>
      </c>
      <c r="L52" s="28">
        <f>'Прил.№4 ведомств.'!H50</f>
        <v>2225.6</v>
      </c>
      <c r="M52" s="7">
        <f t="shared" si="2"/>
        <v>89.36358161011844</v>
      </c>
    </row>
    <row r="53" spans="1:13" ht="31.5" hidden="1">
      <c r="A53" s="26" t="s">
        <v>182</v>
      </c>
      <c r="B53" s="21" t="s">
        <v>169</v>
      </c>
      <c r="C53" s="21" t="s">
        <v>201</v>
      </c>
      <c r="D53" s="21" t="s">
        <v>205</v>
      </c>
      <c r="E53" s="21" t="s">
        <v>183</v>
      </c>
      <c r="F53" s="27" t="e">
        <f>F54</f>
        <v>#REF!</v>
      </c>
      <c r="G53" s="27" t="e">
        <f aca="true" t="shared" si="20" ref="G53:L53">G54</f>
        <v>#REF!</v>
      </c>
      <c r="H53" s="27" t="e">
        <f t="shared" si="20"/>
        <v>#REF!</v>
      </c>
      <c r="I53" s="27" t="e">
        <f t="shared" si="20"/>
        <v>#REF!</v>
      </c>
      <c r="J53" s="27" t="e">
        <f t="shared" si="20"/>
        <v>#REF!</v>
      </c>
      <c r="K53" s="27">
        <f t="shared" si="20"/>
        <v>0</v>
      </c>
      <c r="L53" s="27">
        <f t="shared" si="20"/>
        <v>0</v>
      </c>
      <c r="M53" s="4" t="e">
        <f t="shared" si="2"/>
        <v>#DIV/0!</v>
      </c>
    </row>
    <row r="54" spans="1:13" ht="47.25" hidden="1">
      <c r="A54" s="26" t="s">
        <v>184</v>
      </c>
      <c r="B54" s="21" t="s">
        <v>169</v>
      </c>
      <c r="C54" s="21" t="s">
        <v>201</v>
      </c>
      <c r="D54" s="21" t="s">
        <v>205</v>
      </c>
      <c r="E54" s="21" t="s">
        <v>185</v>
      </c>
      <c r="F54" s="28" t="e">
        <f>#REF!</f>
        <v>#REF!</v>
      </c>
      <c r="G54" s="28" t="e">
        <f>#REF!</f>
        <v>#REF!</v>
      </c>
      <c r="H54" s="28" t="e">
        <f>#REF!</f>
        <v>#REF!</v>
      </c>
      <c r="I54" s="28" t="e">
        <f>#REF!</f>
        <v>#REF!</v>
      </c>
      <c r="J54" s="28" t="e">
        <f>#REF!</f>
        <v>#REF!</v>
      </c>
      <c r="K54" s="28">
        <f>'Прил.№4 ведомств.'!G52</f>
        <v>0</v>
      </c>
      <c r="L54" s="28">
        <f>'Прил.№4 ведомств.'!H52</f>
        <v>0</v>
      </c>
      <c r="M54" s="4" t="e">
        <f t="shared" si="2"/>
        <v>#DIV/0!</v>
      </c>
    </row>
    <row r="55" spans="1:13" ht="47.25">
      <c r="A55" s="43" t="s">
        <v>170</v>
      </c>
      <c r="B55" s="8" t="s">
        <v>169</v>
      </c>
      <c r="C55" s="8" t="s">
        <v>171</v>
      </c>
      <c r="D55" s="8"/>
      <c r="E55" s="8"/>
      <c r="F55" s="4" t="e">
        <f>F56</f>
        <v>#REF!</v>
      </c>
      <c r="G55" s="4" t="e">
        <f aca="true" t="shared" si="21" ref="G55:L57">G56</f>
        <v>#REF!</v>
      </c>
      <c r="H55" s="4" t="e">
        <f t="shared" si="21"/>
        <v>#REF!</v>
      </c>
      <c r="I55" s="4" t="e">
        <f t="shared" si="21"/>
        <v>#REF!</v>
      </c>
      <c r="J55" s="4" t="e">
        <f t="shared" si="21"/>
        <v>#REF!</v>
      </c>
      <c r="K55" s="4">
        <f t="shared" si="21"/>
        <v>15326.2</v>
      </c>
      <c r="L55" s="4">
        <f t="shared" si="21"/>
        <v>14937.7</v>
      </c>
      <c r="M55" s="4">
        <f t="shared" si="2"/>
        <v>97.4651250799285</v>
      </c>
    </row>
    <row r="56" spans="1:13" ht="15.75">
      <c r="A56" s="31" t="s">
        <v>172</v>
      </c>
      <c r="B56" s="42" t="s">
        <v>169</v>
      </c>
      <c r="C56" s="42" t="s">
        <v>171</v>
      </c>
      <c r="D56" s="42" t="s">
        <v>173</v>
      </c>
      <c r="E56" s="42"/>
      <c r="F56" s="7" t="e">
        <f>F57</f>
        <v>#REF!</v>
      </c>
      <c r="G56" s="7" t="e">
        <f t="shared" si="21"/>
        <v>#REF!</v>
      </c>
      <c r="H56" s="7" t="e">
        <f t="shared" si="21"/>
        <v>#REF!</v>
      </c>
      <c r="I56" s="7" t="e">
        <f t="shared" si="21"/>
        <v>#REF!</v>
      </c>
      <c r="J56" s="7" t="e">
        <f t="shared" si="21"/>
        <v>#REF!</v>
      </c>
      <c r="K56" s="7">
        <f t="shared" si="21"/>
        <v>15326.2</v>
      </c>
      <c r="L56" s="7">
        <f t="shared" si="21"/>
        <v>14937.7</v>
      </c>
      <c r="M56" s="7">
        <f t="shared" si="2"/>
        <v>97.4651250799285</v>
      </c>
    </row>
    <row r="57" spans="1:13" ht="31.5">
      <c r="A57" s="31" t="s">
        <v>174</v>
      </c>
      <c r="B57" s="42" t="s">
        <v>169</v>
      </c>
      <c r="C57" s="42" t="s">
        <v>171</v>
      </c>
      <c r="D57" s="42" t="s">
        <v>175</v>
      </c>
      <c r="E57" s="42"/>
      <c r="F57" s="7" t="e">
        <f>F58</f>
        <v>#REF!</v>
      </c>
      <c r="G57" s="7" t="e">
        <f t="shared" si="21"/>
        <v>#REF!</v>
      </c>
      <c r="H57" s="7" t="e">
        <f t="shared" si="21"/>
        <v>#REF!</v>
      </c>
      <c r="I57" s="7" t="e">
        <f t="shared" si="21"/>
        <v>#REF!</v>
      </c>
      <c r="J57" s="7" t="e">
        <f t="shared" si="21"/>
        <v>#REF!</v>
      </c>
      <c r="K57" s="7">
        <f t="shared" si="21"/>
        <v>15326.2</v>
      </c>
      <c r="L57" s="7">
        <f t="shared" si="21"/>
        <v>14937.7</v>
      </c>
      <c r="M57" s="7">
        <f t="shared" si="2"/>
        <v>97.4651250799285</v>
      </c>
    </row>
    <row r="58" spans="1:13" ht="47.25">
      <c r="A58" s="31" t="s">
        <v>176</v>
      </c>
      <c r="B58" s="42" t="s">
        <v>169</v>
      </c>
      <c r="C58" s="42" t="s">
        <v>171</v>
      </c>
      <c r="D58" s="42" t="s">
        <v>177</v>
      </c>
      <c r="E58" s="42"/>
      <c r="F58" s="7" t="e">
        <f aca="true" t="shared" si="22" ref="F58:L58">F59+F61+F63</f>
        <v>#REF!</v>
      </c>
      <c r="G58" s="7" t="e">
        <f t="shared" si="22"/>
        <v>#REF!</v>
      </c>
      <c r="H58" s="7" t="e">
        <f t="shared" si="22"/>
        <v>#REF!</v>
      </c>
      <c r="I58" s="7" t="e">
        <f t="shared" si="22"/>
        <v>#REF!</v>
      </c>
      <c r="J58" s="7" t="e">
        <f t="shared" si="22"/>
        <v>#REF!</v>
      </c>
      <c r="K58" s="7">
        <f t="shared" si="22"/>
        <v>15326.2</v>
      </c>
      <c r="L58" s="7">
        <f t="shared" si="22"/>
        <v>14937.7</v>
      </c>
      <c r="M58" s="7">
        <f t="shared" si="2"/>
        <v>97.4651250799285</v>
      </c>
    </row>
    <row r="59" spans="1:13" ht="78.75">
      <c r="A59" s="31" t="s">
        <v>178</v>
      </c>
      <c r="B59" s="42" t="s">
        <v>169</v>
      </c>
      <c r="C59" s="42" t="s">
        <v>171</v>
      </c>
      <c r="D59" s="42" t="s">
        <v>177</v>
      </c>
      <c r="E59" s="42" t="s">
        <v>179</v>
      </c>
      <c r="F59" s="7" t="e">
        <f>F60</f>
        <v>#REF!</v>
      </c>
      <c r="G59" s="7" t="e">
        <f aca="true" t="shared" si="23" ref="G59:L59">G60</f>
        <v>#REF!</v>
      </c>
      <c r="H59" s="7" t="e">
        <f t="shared" si="23"/>
        <v>#REF!</v>
      </c>
      <c r="I59" s="7" t="e">
        <f t="shared" si="23"/>
        <v>#REF!</v>
      </c>
      <c r="J59" s="7" t="e">
        <f t="shared" si="23"/>
        <v>#REF!</v>
      </c>
      <c r="K59" s="7">
        <f t="shared" si="23"/>
        <v>14599.6</v>
      </c>
      <c r="L59" s="7">
        <f t="shared" si="23"/>
        <v>14235.2</v>
      </c>
      <c r="M59" s="7">
        <f t="shared" si="2"/>
        <v>97.5040412066084</v>
      </c>
    </row>
    <row r="60" spans="1:13" ht="31.5">
      <c r="A60" s="31" t="s">
        <v>180</v>
      </c>
      <c r="B60" s="42" t="s">
        <v>169</v>
      </c>
      <c r="C60" s="42" t="s">
        <v>171</v>
      </c>
      <c r="D60" s="42" t="s">
        <v>177</v>
      </c>
      <c r="E60" s="42" t="s">
        <v>181</v>
      </c>
      <c r="F60" s="63" t="e">
        <f>#REF!+#REF!+#REF!</f>
        <v>#REF!</v>
      </c>
      <c r="G60" s="63" t="e">
        <f>#REF!+#REF!+#REF!</f>
        <v>#REF!</v>
      </c>
      <c r="H60" s="63" t="e">
        <f>#REF!+#REF!+#REF!</f>
        <v>#REF!</v>
      </c>
      <c r="I60" s="63" t="e">
        <f>#REF!+#REF!+#REF!</f>
        <v>#REF!</v>
      </c>
      <c r="J60" s="63" t="e">
        <f>#REF!+#REF!+#REF!</f>
        <v>#REF!</v>
      </c>
      <c r="K60" s="63">
        <f>'Прил.№4 ведомств.'!G17+'Прил.№4 ведомств.'!G58+'Прил.№4 ведомств.'!G1116</f>
        <v>14599.6</v>
      </c>
      <c r="L60" s="63">
        <f>'Прил.№4 ведомств.'!H17+'Прил.№4 ведомств.'!H58+'Прил.№4 ведомств.'!H1116</f>
        <v>14235.2</v>
      </c>
      <c r="M60" s="7">
        <f t="shared" si="2"/>
        <v>97.5040412066084</v>
      </c>
    </row>
    <row r="61" spans="1:13" ht="31.5">
      <c r="A61" s="31" t="s">
        <v>182</v>
      </c>
      <c r="B61" s="42" t="s">
        <v>169</v>
      </c>
      <c r="C61" s="42" t="s">
        <v>171</v>
      </c>
      <c r="D61" s="42" t="s">
        <v>177</v>
      </c>
      <c r="E61" s="42" t="s">
        <v>183</v>
      </c>
      <c r="F61" s="7" t="e">
        <f>F62</f>
        <v>#REF!</v>
      </c>
      <c r="G61" s="7" t="e">
        <f aca="true" t="shared" si="24" ref="G61:L61">G62</f>
        <v>#REF!</v>
      </c>
      <c r="H61" s="7" t="e">
        <f t="shared" si="24"/>
        <v>#REF!</v>
      </c>
      <c r="I61" s="7" t="e">
        <f t="shared" si="24"/>
        <v>#REF!</v>
      </c>
      <c r="J61" s="7" t="e">
        <f t="shared" si="24"/>
        <v>#REF!</v>
      </c>
      <c r="K61" s="7">
        <f t="shared" si="24"/>
        <v>714.7</v>
      </c>
      <c r="L61" s="7">
        <f t="shared" si="24"/>
        <v>690.7</v>
      </c>
      <c r="M61" s="7">
        <f t="shared" si="2"/>
        <v>96.64194767035119</v>
      </c>
    </row>
    <row r="62" spans="1:13" ht="47.25">
      <c r="A62" s="31" t="s">
        <v>184</v>
      </c>
      <c r="B62" s="42" t="s">
        <v>169</v>
      </c>
      <c r="C62" s="42" t="s">
        <v>171</v>
      </c>
      <c r="D62" s="42" t="s">
        <v>177</v>
      </c>
      <c r="E62" s="42" t="s">
        <v>185</v>
      </c>
      <c r="F62" s="7" t="e">
        <f>#REF!+#REF!</f>
        <v>#REF!</v>
      </c>
      <c r="G62" s="7" t="e">
        <f>#REF!+#REF!</f>
        <v>#REF!</v>
      </c>
      <c r="H62" s="7" t="e">
        <f>#REF!+#REF!</f>
        <v>#REF!</v>
      </c>
      <c r="I62" s="7" t="e">
        <f>#REF!+#REF!</f>
        <v>#REF!</v>
      </c>
      <c r="J62" s="7" t="e">
        <f>#REF!+#REF!</f>
        <v>#REF!</v>
      </c>
      <c r="K62" s="7">
        <f>'Прил.№4 ведомств.'!G1118+'Прил.№4 ведомств.'!G19</f>
        <v>714.7</v>
      </c>
      <c r="L62" s="7">
        <f>'Прил.№4 ведомств.'!H1118+'Прил.№4 ведомств.'!H19</f>
        <v>690.7</v>
      </c>
      <c r="M62" s="7">
        <f t="shared" si="2"/>
        <v>96.64194767035119</v>
      </c>
    </row>
    <row r="63" spans="1:13" ht="15.75">
      <c r="A63" s="31" t="s">
        <v>186</v>
      </c>
      <c r="B63" s="42" t="s">
        <v>169</v>
      </c>
      <c r="C63" s="42" t="s">
        <v>171</v>
      </c>
      <c r="D63" s="42" t="s">
        <v>177</v>
      </c>
      <c r="E63" s="42" t="s">
        <v>196</v>
      </c>
      <c r="F63" s="7" t="e">
        <f>F64</f>
        <v>#REF!</v>
      </c>
      <c r="G63" s="7" t="e">
        <f aca="true" t="shared" si="25" ref="G63:L63">G64</f>
        <v>#REF!</v>
      </c>
      <c r="H63" s="7" t="e">
        <f t="shared" si="25"/>
        <v>#REF!</v>
      </c>
      <c r="I63" s="7" t="e">
        <f t="shared" si="25"/>
        <v>#REF!</v>
      </c>
      <c r="J63" s="7" t="e">
        <f t="shared" si="25"/>
        <v>#REF!</v>
      </c>
      <c r="K63" s="7">
        <f t="shared" si="25"/>
        <v>11.9</v>
      </c>
      <c r="L63" s="7">
        <f t="shared" si="25"/>
        <v>11.8</v>
      </c>
      <c r="M63" s="7">
        <f t="shared" si="2"/>
        <v>99.15966386554622</v>
      </c>
    </row>
    <row r="64" spans="1:13" ht="15.75">
      <c r="A64" s="31" t="s">
        <v>620</v>
      </c>
      <c r="B64" s="42" t="s">
        <v>169</v>
      </c>
      <c r="C64" s="42" t="s">
        <v>171</v>
      </c>
      <c r="D64" s="42" t="s">
        <v>177</v>
      </c>
      <c r="E64" s="42" t="s">
        <v>189</v>
      </c>
      <c r="F64" s="7" t="e">
        <f>#REF!</f>
        <v>#REF!</v>
      </c>
      <c r="G64" s="7" t="e">
        <f>#REF!</f>
        <v>#REF!</v>
      </c>
      <c r="H64" s="7" t="e">
        <f>#REF!</f>
        <v>#REF!</v>
      </c>
      <c r="I64" s="7" t="e">
        <f>#REF!</f>
        <v>#REF!</v>
      </c>
      <c r="J64" s="7" t="e">
        <f>#REF!</f>
        <v>#REF!</v>
      </c>
      <c r="K64" s="7">
        <f>'Прил.№4 ведомств.'!G21</f>
        <v>11.9</v>
      </c>
      <c r="L64" s="7">
        <f>'Прил.№4 ведомств.'!H21</f>
        <v>11.8</v>
      </c>
      <c r="M64" s="7">
        <f t="shared" si="2"/>
        <v>99.15966386554622</v>
      </c>
    </row>
    <row r="65" spans="1:13" ht="31.5" customHeight="1" hidden="1">
      <c r="A65" s="64" t="s">
        <v>647</v>
      </c>
      <c r="B65" s="9" t="s">
        <v>169</v>
      </c>
      <c r="C65" s="9" t="s">
        <v>315</v>
      </c>
      <c r="D65" s="9"/>
      <c r="E65" s="9"/>
      <c r="F65" s="7">
        <f aca="true" t="shared" si="26" ref="F65:L69">F66</f>
        <v>0</v>
      </c>
      <c r="G65" s="7">
        <f t="shared" si="26"/>
        <v>0</v>
      </c>
      <c r="H65" s="7">
        <f t="shared" si="26"/>
        <v>0</v>
      </c>
      <c r="I65" s="7">
        <f t="shared" si="26"/>
        <v>0</v>
      </c>
      <c r="J65" s="7">
        <f t="shared" si="26"/>
        <v>0</v>
      </c>
      <c r="K65" s="7">
        <f t="shared" si="26"/>
        <v>0</v>
      </c>
      <c r="L65" s="7">
        <f t="shared" si="26"/>
        <v>0</v>
      </c>
      <c r="M65" s="4" t="e">
        <f t="shared" si="2"/>
        <v>#DIV/0!</v>
      </c>
    </row>
    <row r="66" spans="1:13" ht="15.75" customHeight="1" hidden="1">
      <c r="A66" s="47" t="s">
        <v>172</v>
      </c>
      <c r="B66" s="10" t="s">
        <v>169</v>
      </c>
      <c r="C66" s="10" t="s">
        <v>315</v>
      </c>
      <c r="D66" s="10" t="s">
        <v>648</v>
      </c>
      <c r="E66" s="10"/>
      <c r="F66" s="7">
        <f t="shared" si="26"/>
        <v>0</v>
      </c>
      <c r="G66" s="7">
        <f t="shared" si="26"/>
        <v>0</v>
      </c>
      <c r="H66" s="7">
        <f t="shared" si="26"/>
        <v>0</v>
      </c>
      <c r="I66" s="7">
        <f t="shared" si="26"/>
        <v>0</v>
      </c>
      <c r="J66" s="7">
        <f t="shared" si="26"/>
        <v>0</v>
      </c>
      <c r="K66" s="7">
        <f t="shared" si="26"/>
        <v>0</v>
      </c>
      <c r="L66" s="7">
        <f t="shared" si="26"/>
        <v>0</v>
      </c>
      <c r="M66" s="4" t="e">
        <f t="shared" si="2"/>
        <v>#DIV/0!</v>
      </c>
    </row>
    <row r="67" spans="1:13" ht="15.75" customHeight="1" hidden="1">
      <c r="A67" s="47" t="s">
        <v>192</v>
      </c>
      <c r="B67" s="10" t="s">
        <v>169</v>
      </c>
      <c r="C67" s="10" t="s">
        <v>315</v>
      </c>
      <c r="D67" s="10" t="s">
        <v>649</v>
      </c>
      <c r="E67" s="10"/>
      <c r="F67" s="7">
        <f t="shared" si="26"/>
        <v>0</v>
      </c>
      <c r="G67" s="7">
        <f t="shared" si="26"/>
        <v>0</v>
      </c>
      <c r="H67" s="7">
        <f t="shared" si="26"/>
        <v>0</v>
      </c>
      <c r="I67" s="7">
        <f t="shared" si="26"/>
        <v>0</v>
      </c>
      <c r="J67" s="7">
        <f t="shared" si="26"/>
        <v>0</v>
      </c>
      <c r="K67" s="7">
        <f t="shared" si="26"/>
        <v>0</v>
      </c>
      <c r="L67" s="7">
        <f t="shared" si="26"/>
        <v>0</v>
      </c>
      <c r="M67" s="4" t="e">
        <f t="shared" si="2"/>
        <v>#DIV/0!</v>
      </c>
    </row>
    <row r="68" spans="1:13" ht="15.75" customHeight="1" hidden="1">
      <c r="A68" s="65" t="s">
        <v>650</v>
      </c>
      <c r="B68" s="10" t="s">
        <v>169</v>
      </c>
      <c r="C68" s="10" t="s">
        <v>315</v>
      </c>
      <c r="D68" s="6" t="s">
        <v>651</v>
      </c>
      <c r="E68" s="6"/>
      <c r="F68" s="7">
        <f aca="true" t="shared" si="27" ref="F68:L68">F69+F71</f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  <c r="L68" s="7">
        <f t="shared" si="27"/>
        <v>0</v>
      </c>
      <c r="M68" s="4" t="e">
        <f t="shared" si="2"/>
        <v>#DIV/0!</v>
      </c>
    </row>
    <row r="69" spans="1:13" ht="31.5" customHeight="1" hidden="1">
      <c r="A69" s="47" t="s">
        <v>182</v>
      </c>
      <c r="B69" s="10" t="s">
        <v>169</v>
      </c>
      <c r="C69" s="10" t="s">
        <v>315</v>
      </c>
      <c r="D69" s="6" t="s">
        <v>651</v>
      </c>
      <c r="E69" s="10" t="s">
        <v>183</v>
      </c>
      <c r="F69" s="7">
        <f t="shared" si="26"/>
        <v>0</v>
      </c>
      <c r="G69" s="7">
        <f t="shared" si="26"/>
        <v>0</v>
      </c>
      <c r="H69" s="7">
        <f t="shared" si="26"/>
        <v>0</v>
      </c>
      <c r="I69" s="7">
        <f t="shared" si="26"/>
        <v>0</v>
      </c>
      <c r="J69" s="7">
        <f t="shared" si="26"/>
        <v>0</v>
      </c>
      <c r="K69" s="7">
        <f t="shared" si="26"/>
        <v>0</v>
      </c>
      <c r="L69" s="7">
        <f t="shared" si="26"/>
        <v>0</v>
      </c>
      <c r="M69" s="4" t="e">
        <f t="shared" si="2"/>
        <v>#DIV/0!</v>
      </c>
    </row>
    <row r="70" spans="1:13" ht="47.25" customHeight="1" hidden="1">
      <c r="A70" s="47" t="s">
        <v>184</v>
      </c>
      <c r="B70" s="10" t="s">
        <v>169</v>
      </c>
      <c r="C70" s="10" t="s">
        <v>315</v>
      </c>
      <c r="D70" s="6" t="s">
        <v>651</v>
      </c>
      <c r="E70" s="10" t="s">
        <v>185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4" t="e">
        <f t="shared" si="2"/>
        <v>#DIV/0!</v>
      </c>
    </row>
    <row r="71" spans="1:13" ht="15.75" customHeight="1" hidden="1">
      <c r="A71" s="31" t="s">
        <v>186</v>
      </c>
      <c r="B71" s="10" t="s">
        <v>169</v>
      </c>
      <c r="C71" s="10" t="s">
        <v>315</v>
      </c>
      <c r="D71" s="6" t="s">
        <v>651</v>
      </c>
      <c r="E71" s="10" t="s">
        <v>196</v>
      </c>
      <c r="F71" s="7">
        <f>F72</f>
        <v>0</v>
      </c>
      <c r="G71" s="7">
        <f aca="true" t="shared" si="28" ref="G71:L71">G72</f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0</v>
      </c>
      <c r="L71" s="7">
        <f t="shared" si="28"/>
        <v>0</v>
      </c>
      <c r="M71" s="4" t="e">
        <f t="shared" si="2"/>
        <v>#DIV/0!</v>
      </c>
    </row>
    <row r="72" spans="1:13" ht="15.75" customHeight="1" hidden="1">
      <c r="A72" s="31" t="s">
        <v>188</v>
      </c>
      <c r="B72" s="10" t="s">
        <v>169</v>
      </c>
      <c r="C72" s="10" t="s">
        <v>315</v>
      </c>
      <c r="D72" s="6" t="s">
        <v>651</v>
      </c>
      <c r="E72" s="10" t="s">
        <v>189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4" t="e">
        <f t="shared" si="2"/>
        <v>#DIV/0!</v>
      </c>
    </row>
    <row r="73" spans="1:15" ht="15.75">
      <c r="A73" s="43" t="s">
        <v>190</v>
      </c>
      <c r="B73" s="8" t="s">
        <v>169</v>
      </c>
      <c r="C73" s="8" t="s">
        <v>191</v>
      </c>
      <c r="D73" s="8"/>
      <c r="E73" s="8"/>
      <c r="F73" s="4" t="e">
        <f>F74+F78+F93+F108+F145+F128+F112</f>
        <v>#REF!</v>
      </c>
      <c r="G73" s="4" t="e">
        <f>G74+G78+G93+G108+G145+G128+G112</f>
        <v>#REF!</v>
      </c>
      <c r="H73" s="4" t="e">
        <f>H74+H78+H93+H108+H145+H128+H112</f>
        <v>#REF!</v>
      </c>
      <c r="I73" s="4" t="e">
        <f>I74+I78+I93+I108+I145+I128+I112</f>
        <v>#REF!</v>
      </c>
      <c r="J73" s="4" t="e">
        <f>J74+J78+J93+J108+J145+J128+J112</f>
        <v>#REF!</v>
      </c>
      <c r="K73" s="4">
        <f>K74+K78+K93+K108+K145+K128+K112+K141</f>
        <v>63699.3</v>
      </c>
      <c r="L73" s="4">
        <f>L74+L78+L93+L108+L145+L128+L112+L141</f>
        <v>61592.2</v>
      </c>
      <c r="M73" s="4">
        <f t="shared" si="2"/>
        <v>96.69211435604473</v>
      </c>
      <c r="O73" s="23">
        <f>K73-N73</f>
        <v>63699.3</v>
      </c>
    </row>
    <row r="74" spans="1:13" ht="47.25" hidden="1">
      <c r="A74" s="31" t="s">
        <v>206</v>
      </c>
      <c r="B74" s="42" t="s">
        <v>169</v>
      </c>
      <c r="C74" s="42" t="s">
        <v>191</v>
      </c>
      <c r="D74" s="42" t="s">
        <v>207</v>
      </c>
      <c r="E74" s="42"/>
      <c r="F74" s="7" t="e">
        <f aca="true" t="shared" si="29" ref="F74:L74">F76</f>
        <v>#REF!</v>
      </c>
      <c r="G74" s="7" t="e">
        <f t="shared" si="29"/>
        <v>#REF!</v>
      </c>
      <c r="H74" s="7" t="e">
        <f t="shared" si="29"/>
        <v>#REF!</v>
      </c>
      <c r="I74" s="7" t="e">
        <f t="shared" si="29"/>
        <v>#REF!</v>
      </c>
      <c r="J74" s="7" t="e">
        <f t="shared" si="29"/>
        <v>#REF!</v>
      </c>
      <c r="K74" s="7">
        <f t="shared" si="29"/>
        <v>0</v>
      </c>
      <c r="L74" s="7">
        <f t="shared" si="29"/>
        <v>0</v>
      </c>
      <c r="M74" s="4" t="e">
        <f t="shared" si="2"/>
        <v>#DIV/0!</v>
      </c>
    </row>
    <row r="75" spans="1:13" ht="31.5" hidden="1">
      <c r="A75" s="31" t="s">
        <v>208</v>
      </c>
      <c r="B75" s="42" t="s">
        <v>169</v>
      </c>
      <c r="C75" s="42" t="s">
        <v>191</v>
      </c>
      <c r="D75" s="42" t="s">
        <v>209</v>
      </c>
      <c r="E75" s="42"/>
      <c r="F75" s="7" t="e">
        <f>F76</f>
        <v>#REF!</v>
      </c>
      <c r="G75" s="7" t="e">
        <f aca="true" t="shared" si="30" ref="G75:L76">G76</f>
        <v>#REF!</v>
      </c>
      <c r="H75" s="7" t="e">
        <f t="shared" si="30"/>
        <v>#REF!</v>
      </c>
      <c r="I75" s="7" t="e">
        <f t="shared" si="30"/>
        <v>#REF!</v>
      </c>
      <c r="J75" s="7" t="e">
        <f t="shared" si="30"/>
        <v>#REF!</v>
      </c>
      <c r="K75" s="7">
        <f t="shared" si="30"/>
        <v>0</v>
      </c>
      <c r="L75" s="7">
        <f t="shared" si="30"/>
        <v>0</v>
      </c>
      <c r="M75" s="4" t="e">
        <f t="shared" si="2"/>
        <v>#DIV/0!</v>
      </c>
    </row>
    <row r="76" spans="1:13" ht="15.75" hidden="1">
      <c r="A76" s="31" t="s">
        <v>186</v>
      </c>
      <c r="B76" s="42" t="s">
        <v>169</v>
      </c>
      <c r="C76" s="42" t="s">
        <v>191</v>
      </c>
      <c r="D76" s="42" t="s">
        <v>209</v>
      </c>
      <c r="E76" s="42" t="s">
        <v>196</v>
      </c>
      <c r="F76" s="7" t="e">
        <f>F77</f>
        <v>#REF!</v>
      </c>
      <c r="G76" s="7" t="e">
        <f t="shared" si="30"/>
        <v>#REF!</v>
      </c>
      <c r="H76" s="7" t="e">
        <f t="shared" si="30"/>
        <v>#REF!</v>
      </c>
      <c r="I76" s="7" t="e">
        <f t="shared" si="30"/>
        <v>#REF!</v>
      </c>
      <c r="J76" s="7" t="e">
        <f t="shared" si="30"/>
        <v>#REF!</v>
      </c>
      <c r="K76" s="7">
        <f t="shared" si="30"/>
        <v>0</v>
      </c>
      <c r="L76" s="7">
        <f t="shared" si="30"/>
        <v>0</v>
      </c>
      <c r="M76" s="4" t="e">
        <f aca="true" t="shared" si="31" ref="M76:M139">L76/K76*100</f>
        <v>#DIV/0!</v>
      </c>
    </row>
    <row r="77" spans="1:13" ht="47.25" hidden="1">
      <c r="A77" s="31" t="s">
        <v>235</v>
      </c>
      <c r="B77" s="42" t="s">
        <v>169</v>
      </c>
      <c r="C77" s="42" t="s">
        <v>191</v>
      </c>
      <c r="D77" s="42" t="s">
        <v>209</v>
      </c>
      <c r="E77" s="42" t="s">
        <v>211</v>
      </c>
      <c r="F77" s="7" t="e">
        <f>#REF!</f>
        <v>#REF!</v>
      </c>
      <c r="G77" s="7" t="e">
        <f>#REF!</f>
        <v>#REF!</v>
      </c>
      <c r="H77" s="7" t="e">
        <f>#REF!</f>
        <v>#REF!</v>
      </c>
      <c r="I77" s="7" t="e">
        <f>#REF!</f>
        <v>#REF!</v>
      </c>
      <c r="J77" s="7" t="e">
        <f>#REF!</f>
        <v>#REF!</v>
      </c>
      <c r="K77" s="7">
        <f>'Прил.№4 ведомств.'!G65</f>
        <v>0</v>
      </c>
      <c r="L77" s="7">
        <f>'Прил.№4 ведомств.'!H65</f>
        <v>0</v>
      </c>
      <c r="M77" s="4" t="e">
        <f t="shared" si="31"/>
        <v>#DIV/0!</v>
      </c>
    </row>
    <row r="78" spans="1:15" ht="47.25">
      <c r="A78" s="31" t="s">
        <v>997</v>
      </c>
      <c r="B78" s="42" t="s">
        <v>169</v>
      </c>
      <c r="C78" s="42" t="s">
        <v>191</v>
      </c>
      <c r="D78" s="42" t="s">
        <v>213</v>
      </c>
      <c r="E78" s="42"/>
      <c r="F78" s="7" t="e">
        <f aca="true" t="shared" si="32" ref="F78:L78">F79+F82+F87+F90</f>
        <v>#REF!</v>
      </c>
      <c r="G78" s="7" t="e">
        <f t="shared" si="32"/>
        <v>#REF!</v>
      </c>
      <c r="H78" s="7" t="e">
        <f t="shared" si="32"/>
        <v>#REF!</v>
      </c>
      <c r="I78" s="7" t="e">
        <f t="shared" si="32"/>
        <v>#REF!</v>
      </c>
      <c r="J78" s="7" t="e">
        <f t="shared" si="32"/>
        <v>#REF!</v>
      </c>
      <c r="K78" s="7">
        <f t="shared" si="32"/>
        <v>741</v>
      </c>
      <c r="L78" s="7">
        <f t="shared" si="32"/>
        <v>653.0999999999999</v>
      </c>
      <c r="M78" s="7">
        <f t="shared" si="31"/>
        <v>88.13765182186233</v>
      </c>
      <c r="O78">
        <v>30255.1</v>
      </c>
    </row>
    <row r="79" spans="1:15" ht="31.5">
      <c r="A79" s="31" t="s">
        <v>214</v>
      </c>
      <c r="B79" s="42" t="s">
        <v>169</v>
      </c>
      <c r="C79" s="42" t="s">
        <v>191</v>
      </c>
      <c r="D79" s="42" t="s">
        <v>215</v>
      </c>
      <c r="E79" s="42"/>
      <c r="F79" s="7" t="e">
        <f>F80</f>
        <v>#REF!</v>
      </c>
      <c r="G79" s="7" t="e">
        <f aca="true" t="shared" si="33" ref="G79:L80">G80</f>
        <v>#REF!</v>
      </c>
      <c r="H79" s="7" t="e">
        <f t="shared" si="33"/>
        <v>#REF!</v>
      </c>
      <c r="I79" s="7" t="e">
        <f t="shared" si="33"/>
        <v>#REF!</v>
      </c>
      <c r="J79" s="7" t="e">
        <f t="shared" si="33"/>
        <v>#REF!</v>
      </c>
      <c r="K79" s="7">
        <f t="shared" si="33"/>
        <v>491</v>
      </c>
      <c r="L79" s="7">
        <f t="shared" si="33"/>
        <v>485.9</v>
      </c>
      <c r="M79" s="7">
        <f t="shared" si="31"/>
        <v>98.9613034623218</v>
      </c>
      <c r="O79" s="23">
        <f>O73-O78</f>
        <v>33444.200000000004</v>
      </c>
    </row>
    <row r="80" spans="1:15" ht="31.5">
      <c r="A80" s="31" t="s">
        <v>182</v>
      </c>
      <c r="B80" s="42" t="s">
        <v>169</v>
      </c>
      <c r="C80" s="42" t="s">
        <v>191</v>
      </c>
      <c r="D80" s="42" t="s">
        <v>215</v>
      </c>
      <c r="E80" s="42" t="s">
        <v>183</v>
      </c>
      <c r="F80" s="7" t="e">
        <f>F81</f>
        <v>#REF!</v>
      </c>
      <c r="G80" s="7" t="e">
        <f t="shared" si="33"/>
        <v>#REF!</v>
      </c>
      <c r="H80" s="7" t="e">
        <f t="shared" si="33"/>
        <v>#REF!</v>
      </c>
      <c r="I80" s="7" t="e">
        <f t="shared" si="33"/>
        <v>#REF!</v>
      </c>
      <c r="J80" s="7" t="e">
        <f t="shared" si="33"/>
        <v>#REF!</v>
      </c>
      <c r="K80" s="7">
        <f t="shared" si="33"/>
        <v>491</v>
      </c>
      <c r="L80" s="7">
        <f t="shared" si="33"/>
        <v>485.9</v>
      </c>
      <c r="M80" s="7">
        <f t="shared" si="31"/>
        <v>98.9613034623218</v>
      </c>
      <c r="O80">
        <f>3624.1-29</f>
        <v>3595.1</v>
      </c>
    </row>
    <row r="81" spans="1:15" ht="47.25">
      <c r="A81" s="31" t="s">
        <v>184</v>
      </c>
      <c r="B81" s="42" t="s">
        <v>169</v>
      </c>
      <c r="C81" s="42" t="s">
        <v>191</v>
      </c>
      <c r="D81" s="42" t="s">
        <v>215</v>
      </c>
      <c r="E81" s="42" t="s">
        <v>185</v>
      </c>
      <c r="F81" s="7" t="e">
        <f>#REF!</f>
        <v>#REF!</v>
      </c>
      <c r="G81" s="7" t="e">
        <f>#REF!</f>
        <v>#REF!</v>
      </c>
      <c r="H81" s="7" t="e">
        <f>#REF!</f>
        <v>#REF!</v>
      </c>
      <c r="I81" s="7" t="e">
        <f>#REF!</f>
        <v>#REF!</v>
      </c>
      <c r="J81" s="7" t="e">
        <f>#REF!</f>
        <v>#REF!</v>
      </c>
      <c r="K81" s="7">
        <f>'Прил.№4 ведомств.'!G69</f>
        <v>491</v>
      </c>
      <c r="L81" s="7">
        <f>'Прил.№4 ведомств.'!H69</f>
        <v>485.9</v>
      </c>
      <c r="M81" s="7">
        <f t="shared" si="31"/>
        <v>98.9613034623218</v>
      </c>
      <c r="O81">
        <f>3624.1+175</f>
        <v>3799.1</v>
      </c>
    </row>
    <row r="82" spans="1:13" ht="63">
      <c r="A82" s="121" t="s">
        <v>216</v>
      </c>
      <c r="B82" s="42" t="s">
        <v>169</v>
      </c>
      <c r="C82" s="42" t="s">
        <v>191</v>
      </c>
      <c r="D82" s="42" t="s">
        <v>217</v>
      </c>
      <c r="E82" s="42"/>
      <c r="F82" s="7" t="e">
        <f aca="true" t="shared" si="34" ref="F82:L82">F83+F85</f>
        <v>#REF!</v>
      </c>
      <c r="G82" s="7" t="e">
        <f t="shared" si="34"/>
        <v>#REF!</v>
      </c>
      <c r="H82" s="7" t="e">
        <f t="shared" si="34"/>
        <v>#REF!</v>
      </c>
      <c r="I82" s="7" t="e">
        <f t="shared" si="34"/>
        <v>#REF!</v>
      </c>
      <c r="J82" s="7" t="e">
        <f t="shared" si="34"/>
        <v>#REF!</v>
      </c>
      <c r="K82" s="7">
        <f t="shared" si="34"/>
        <v>249.5</v>
      </c>
      <c r="L82" s="7">
        <f t="shared" si="34"/>
        <v>166.7</v>
      </c>
      <c r="M82" s="7">
        <f t="shared" si="31"/>
        <v>66.81362725450902</v>
      </c>
    </row>
    <row r="83" spans="1:13" ht="78.75">
      <c r="A83" s="31" t="s">
        <v>178</v>
      </c>
      <c r="B83" s="42" t="s">
        <v>169</v>
      </c>
      <c r="C83" s="42" t="s">
        <v>191</v>
      </c>
      <c r="D83" s="42" t="s">
        <v>217</v>
      </c>
      <c r="E83" s="42" t="s">
        <v>179</v>
      </c>
      <c r="F83" s="7" t="e">
        <f>F84</f>
        <v>#REF!</v>
      </c>
      <c r="G83" s="7" t="e">
        <f aca="true" t="shared" si="35" ref="G83:L83">G84</f>
        <v>#REF!</v>
      </c>
      <c r="H83" s="7" t="e">
        <f t="shared" si="35"/>
        <v>#REF!</v>
      </c>
      <c r="I83" s="7" t="e">
        <f t="shared" si="35"/>
        <v>#REF!</v>
      </c>
      <c r="J83" s="7" t="e">
        <f t="shared" si="35"/>
        <v>#REF!</v>
      </c>
      <c r="K83" s="7">
        <f t="shared" si="35"/>
        <v>159.7</v>
      </c>
      <c r="L83" s="7">
        <f t="shared" si="35"/>
        <v>124.5</v>
      </c>
      <c r="M83" s="7">
        <f t="shared" si="31"/>
        <v>77.95867251095805</v>
      </c>
    </row>
    <row r="84" spans="1:13" ht="31.5">
      <c r="A84" s="31" t="s">
        <v>180</v>
      </c>
      <c r="B84" s="42" t="s">
        <v>169</v>
      </c>
      <c r="C84" s="42" t="s">
        <v>191</v>
      </c>
      <c r="D84" s="42" t="s">
        <v>217</v>
      </c>
      <c r="E84" s="42" t="s">
        <v>181</v>
      </c>
      <c r="F84" s="7" t="e">
        <f>#REF!</f>
        <v>#REF!</v>
      </c>
      <c r="G84" s="7" t="e">
        <f>#REF!</f>
        <v>#REF!</v>
      </c>
      <c r="H84" s="7" t="e">
        <f>#REF!</f>
        <v>#REF!</v>
      </c>
      <c r="I84" s="7" t="e">
        <f>#REF!</f>
        <v>#REF!</v>
      </c>
      <c r="J84" s="7" t="e">
        <f>#REF!</f>
        <v>#REF!</v>
      </c>
      <c r="K84" s="7">
        <f>'Прил.№4 ведомств.'!G72</f>
        <v>159.7</v>
      </c>
      <c r="L84" s="7">
        <f>'Прил.№4 ведомств.'!H72</f>
        <v>124.5</v>
      </c>
      <c r="M84" s="7">
        <f t="shared" si="31"/>
        <v>77.95867251095805</v>
      </c>
    </row>
    <row r="85" spans="1:13" ht="31.5">
      <c r="A85" s="26" t="s">
        <v>182</v>
      </c>
      <c r="B85" s="42" t="s">
        <v>169</v>
      </c>
      <c r="C85" s="42" t="s">
        <v>191</v>
      </c>
      <c r="D85" s="42" t="s">
        <v>217</v>
      </c>
      <c r="E85" s="42" t="s">
        <v>183</v>
      </c>
      <c r="F85" s="7" t="e">
        <f>F86</f>
        <v>#REF!</v>
      </c>
      <c r="G85" s="7" t="e">
        <f aca="true" t="shared" si="36" ref="G85:L85">G86</f>
        <v>#REF!</v>
      </c>
      <c r="H85" s="7" t="e">
        <f t="shared" si="36"/>
        <v>#REF!</v>
      </c>
      <c r="I85" s="7" t="e">
        <f t="shared" si="36"/>
        <v>#REF!</v>
      </c>
      <c r="J85" s="7" t="e">
        <f t="shared" si="36"/>
        <v>#REF!</v>
      </c>
      <c r="K85" s="7">
        <f t="shared" si="36"/>
        <v>89.80000000000001</v>
      </c>
      <c r="L85" s="7">
        <f t="shared" si="36"/>
        <v>42.2</v>
      </c>
      <c r="M85" s="7">
        <f t="shared" si="31"/>
        <v>46.99331848552338</v>
      </c>
    </row>
    <row r="86" spans="1:13" ht="47.25">
      <c r="A86" s="26" t="s">
        <v>184</v>
      </c>
      <c r="B86" s="42" t="s">
        <v>169</v>
      </c>
      <c r="C86" s="42" t="s">
        <v>191</v>
      </c>
      <c r="D86" s="42" t="s">
        <v>217</v>
      </c>
      <c r="E86" s="42" t="s">
        <v>185</v>
      </c>
      <c r="F86" s="7" t="e">
        <f>#REF!</f>
        <v>#REF!</v>
      </c>
      <c r="G86" s="7" t="e">
        <f>#REF!</f>
        <v>#REF!</v>
      </c>
      <c r="H86" s="7" t="e">
        <f>#REF!</f>
        <v>#REF!</v>
      </c>
      <c r="I86" s="7" t="e">
        <f>#REF!</f>
        <v>#REF!</v>
      </c>
      <c r="J86" s="7" t="e">
        <f>#REF!</f>
        <v>#REF!</v>
      </c>
      <c r="K86" s="7">
        <f>'Прил.№4 ведомств.'!G74</f>
        <v>89.80000000000001</v>
      </c>
      <c r="L86" s="7">
        <f>'Прил.№4 ведомств.'!H74</f>
        <v>42.2</v>
      </c>
      <c r="M86" s="7">
        <f t="shared" si="31"/>
        <v>46.99331848552338</v>
      </c>
    </row>
    <row r="87" spans="1:13" ht="63">
      <c r="A87" s="33" t="s">
        <v>773</v>
      </c>
      <c r="B87" s="42" t="s">
        <v>169</v>
      </c>
      <c r="C87" s="42" t="s">
        <v>191</v>
      </c>
      <c r="D87" s="42" t="s">
        <v>774</v>
      </c>
      <c r="E87" s="42"/>
      <c r="F87" s="7" t="e">
        <f>F88</f>
        <v>#REF!</v>
      </c>
      <c r="G87" s="7" t="e">
        <f aca="true" t="shared" si="37" ref="G87:L88">G88</f>
        <v>#REF!</v>
      </c>
      <c r="H87" s="7" t="e">
        <f t="shared" si="37"/>
        <v>#REF!</v>
      </c>
      <c r="I87" s="7" t="e">
        <f t="shared" si="37"/>
        <v>#REF!</v>
      </c>
      <c r="J87" s="7" t="e">
        <f t="shared" si="37"/>
        <v>#REF!</v>
      </c>
      <c r="K87" s="7">
        <f t="shared" si="37"/>
        <v>0.5</v>
      </c>
      <c r="L87" s="7">
        <f t="shared" si="37"/>
        <v>0.5</v>
      </c>
      <c r="M87" s="7">
        <f t="shared" si="31"/>
        <v>100</v>
      </c>
    </row>
    <row r="88" spans="1:13" ht="31.5">
      <c r="A88" s="26" t="s">
        <v>182</v>
      </c>
      <c r="B88" s="42" t="s">
        <v>169</v>
      </c>
      <c r="C88" s="42" t="s">
        <v>191</v>
      </c>
      <c r="D88" s="42" t="s">
        <v>774</v>
      </c>
      <c r="E88" s="42" t="s">
        <v>183</v>
      </c>
      <c r="F88" s="7" t="e">
        <f>F89</f>
        <v>#REF!</v>
      </c>
      <c r="G88" s="7" t="e">
        <f t="shared" si="37"/>
        <v>#REF!</v>
      </c>
      <c r="H88" s="7" t="e">
        <f t="shared" si="37"/>
        <v>#REF!</v>
      </c>
      <c r="I88" s="7" t="e">
        <f t="shared" si="37"/>
        <v>#REF!</v>
      </c>
      <c r="J88" s="7" t="e">
        <f t="shared" si="37"/>
        <v>#REF!</v>
      </c>
      <c r="K88" s="7">
        <f t="shared" si="37"/>
        <v>0.5</v>
      </c>
      <c r="L88" s="7">
        <f t="shared" si="37"/>
        <v>0.5</v>
      </c>
      <c r="M88" s="7">
        <f t="shared" si="31"/>
        <v>100</v>
      </c>
    </row>
    <row r="89" spans="1:13" ht="47.25">
      <c r="A89" s="26" t="s">
        <v>184</v>
      </c>
      <c r="B89" s="42" t="s">
        <v>169</v>
      </c>
      <c r="C89" s="42" t="s">
        <v>191</v>
      </c>
      <c r="D89" s="42" t="s">
        <v>774</v>
      </c>
      <c r="E89" s="42" t="s">
        <v>185</v>
      </c>
      <c r="F89" s="7" t="e">
        <f>#REF!</f>
        <v>#REF!</v>
      </c>
      <c r="G89" s="7" t="e">
        <f>#REF!</f>
        <v>#REF!</v>
      </c>
      <c r="H89" s="7" t="e">
        <f>#REF!</f>
        <v>#REF!</v>
      </c>
      <c r="I89" s="7" t="e">
        <f>#REF!</f>
        <v>#REF!</v>
      </c>
      <c r="J89" s="7" t="e">
        <f>#REF!</f>
        <v>#REF!</v>
      </c>
      <c r="K89" s="7">
        <f>'Прил.№4 ведомств.'!G1123</f>
        <v>0.5</v>
      </c>
      <c r="L89" s="7">
        <f>'Прил.№4 ведомств.'!H1123</f>
        <v>0.5</v>
      </c>
      <c r="M89" s="7">
        <f t="shared" si="31"/>
        <v>100</v>
      </c>
    </row>
    <row r="90" spans="1:13" ht="47.25" hidden="1">
      <c r="A90" s="35" t="s">
        <v>242</v>
      </c>
      <c r="B90" s="42" t="s">
        <v>169</v>
      </c>
      <c r="C90" s="42" t="s">
        <v>191</v>
      </c>
      <c r="D90" s="42" t="s">
        <v>760</v>
      </c>
      <c r="E90" s="42"/>
      <c r="F90" s="7" t="e">
        <f>F91</f>
        <v>#REF!</v>
      </c>
      <c r="G90" s="7" t="e">
        <f aca="true" t="shared" si="38" ref="G90:L91">G91</f>
        <v>#REF!</v>
      </c>
      <c r="H90" s="7" t="e">
        <f t="shared" si="38"/>
        <v>#REF!</v>
      </c>
      <c r="I90" s="7" t="e">
        <f t="shared" si="38"/>
        <v>#REF!</v>
      </c>
      <c r="J90" s="7" t="e">
        <f t="shared" si="38"/>
        <v>#REF!</v>
      </c>
      <c r="K90" s="7">
        <f t="shared" si="38"/>
        <v>0</v>
      </c>
      <c r="L90" s="7">
        <f t="shared" si="38"/>
        <v>0</v>
      </c>
      <c r="M90" s="7" t="e">
        <f t="shared" si="31"/>
        <v>#DIV/0!</v>
      </c>
    </row>
    <row r="91" spans="1:13" ht="31.5" hidden="1">
      <c r="A91" s="26" t="s">
        <v>182</v>
      </c>
      <c r="B91" s="42" t="s">
        <v>169</v>
      </c>
      <c r="C91" s="42" t="s">
        <v>191</v>
      </c>
      <c r="D91" s="42" t="s">
        <v>760</v>
      </c>
      <c r="E91" s="42" t="s">
        <v>183</v>
      </c>
      <c r="F91" s="7" t="e">
        <f>F92</f>
        <v>#REF!</v>
      </c>
      <c r="G91" s="7" t="e">
        <f t="shared" si="38"/>
        <v>#REF!</v>
      </c>
      <c r="H91" s="7" t="e">
        <f t="shared" si="38"/>
        <v>#REF!</v>
      </c>
      <c r="I91" s="7" t="e">
        <f t="shared" si="38"/>
        <v>#REF!</v>
      </c>
      <c r="J91" s="7" t="e">
        <f t="shared" si="38"/>
        <v>#REF!</v>
      </c>
      <c r="K91" s="7">
        <f t="shared" si="38"/>
        <v>0</v>
      </c>
      <c r="L91" s="7">
        <f t="shared" si="38"/>
        <v>0</v>
      </c>
      <c r="M91" s="7" t="e">
        <f t="shared" si="31"/>
        <v>#DIV/0!</v>
      </c>
    </row>
    <row r="92" spans="1:13" ht="47.25" hidden="1">
      <c r="A92" s="26" t="s">
        <v>184</v>
      </c>
      <c r="B92" s="42" t="s">
        <v>169</v>
      </c>
      <c r="C92" s="42" t="s">
        <v>191</v>
      </c>
      <c r="D92" s="42" t="s">
        <v>760</v>
      </c>
      <c r="E92" s="42" t="s">
        <v>185</v>
      </c>
      <c r="F92" s="7" t="e">
        <f>#REF!</f>
        <v>#REF!</v>
      </c>
      <c r="G92" s="7" t="e">
        <f>#REF!</f>
        <v>#REF!</v>
      </c>
      <c r="H92" s="7" t="e">
        <f>#REF!</f>
        <v>#REF!</v>
      </c>
      <c r="I92" s="7" t="e">
        <f>#REF!</f>
        <v>#REF!</v>
      </c>
      <c r="J92" s="7" t="e">
        <f>#REF!</f>
        <v>#REF!</v>
      </c>
      <c r="K92" s="7">
        <f>'Прил.№4 ведомств.'!G77</f>
        <v>0</v>
      </c>
      <c r="L92" s="7">
        <f>'Прил.№4 ведомств.'!H77</f>
        <v>0</v>
      </c>
      <c r="M92" s="7" t="e">
        <f t="shared" si="31"/>
        <v>#DIV/0!</v>
      </c>
    </row>
    <row r="93" spans="1:13" ht="93.75" customHeight="1">
      <c r="A93" s="31" t="s">
        <v>652</v>
      </c>
      <c r="B93" s="10" t="s">
        <v>169</v>
      </c>
      <c r="C93" s="10" t="s">
        <v>191</v>
      </c>
      <c r="D93" s="6" t="s">
        <v>219</v>
      </c>
      <c r="E93" s="10"/>
      <c r="F93" s="11" t="e">
        <f aca="true" t="shared" si="39" ref="F93:L93">F98+F94+F102</f>
        <v>#REF!</v>
      </c>
      <c r="G93" s="11" t="e">
        <f t="shared" si="39"/>
        <v>#REF!</v>
      </c>
      <c r="H93" s="11" t="e">
        <f t="shared" si="39"/>
        <v>#REF!</v>
      </c>
      <c r="I93" s="11" t="e">
        <f t="shared" si="39"/>
        <v>#REF!</v>
      </c>
      <c r="J93" s="11" t="e">
        <f t="shared" si="39"/>
        <v>#REF!</v>
      </c>
      <c r="K93" s="11">
        <f t="shared" si="39"/>
        <v>120</v>
      </c>
      <c r="L93" s="11">
        <f t="shared" si="39"/>
        <v>49.5</v>
      </c>
      <c r="M93" s="7">
        <f t="shared" si="31"/>
        <v>41.25</v>
      </c>
    </row>
    <row r="94" spans="1:13" ht="78.75">
      <c r="A94" s="31" t="s">
        <v>220</v>
      </c>
      <c r="B94" s="10" t="s">
        <v>169</v>
      </c>
      <c r="C94" s="10" t="s">
        <v>191</v>
      </c>
      <c r="D94" s="32" t="s">
        <v>221</v>
      </c>
      <c r="E94" s="10"/>
      <c r="F94" s="11" t="e">
        <f>F95</f>
        <v>#REF!</v>
      </c>
      <c r="G94" s="11" t="e">
        <f aca="true" t="shared" si="40" ref="G94:L96">G95</f>
        <v>#REF!</v>
      </c>
      <c r="H94" s="11" t="e">
        <f t="shared" si="40"/>
        <v>#REF!</v>
      </c>
      <c r="I94" s="11" t="e">
        <f t="shared" si="40"/>
        <v>#REF!</v>
      </c>
      <c r="J94" s="11" t="e">
        <f t="shared" si="40"/>
        <v>#REF!</v>
      </c>
      <c r="K94" s="11">
        <f t="shared" si="40"/>
        <v>25</v>
      </c>
      <c r="L94" s="11">
        <f t="shared" si="40"/>
        <v>25</v>
      </c>
      <c r="M94" s="7">
        <f t="shared" si="31"/>
        <v>100</v>
      </c>
    </row>
    <row r="95" spans="1:13" ht="31.5">
      <c r="A95" s="121" t="s">
        <v>222</v>
      </c>
      <c r="B95" s="10" t="s">
        <v>169</v>
      </c>
      <c r="C95" s="10" t="s">
        <v>191</v>
      </c>
      <c r="D95" s="6" t="s">
        <v>223</v>
      </c>
      <c r="E95" s="10"/>
      <c r="F95" s="11" t="e">
        <f>F96</f>
        <v>#REF!</v>
      </c>
      <c r="G95" s="11" t="e">
        <f t="shared" si="40"/>
        <v>#REF!</v>
      </c>
      <c r="H95" s="11" t="e">
        <f t="shared" si="40"/>
        <v>#REF!</v>
      </c>
      <c r="I95" s="11" t="e">
        <f t="shared" si="40"/>
        <v>#REF!</v>
      </c>
      <c r="J95" s="11" t="e">
        <f t="shared" si="40"/>
        <v>#REF!</v>
      </c>
      <c r="K95" s="11">
        <f t="shared" si="40"/>
        <v>25</v>
      </c>
      <c r="L95" s="11">
        <f t="shared" si="40"/>
        <v>25</v>
      </c>
      <c r="M95" s="7">
        <f t="shared" si="31"/>
        <v>100</v>
      </c>
    </row>
    <row r="96" spans="1:13" ht="31.5">
      <c r="A96" s="26" t="s">
        <v>182</v>
      </c>
      <c r="B96" s="10" t="s">
        <v>169</v>
      </c>
      <c r="C96" s="10" t="s">
        <v>191</v>
      </c>
      <c r="D96" s="6" t="s">
        <v>223</v>
      </c>
      <c r="E96" s="10" t="s">
        <v>183</v>
      </c>
      <c r="F96" s="11" t="e">
        <f>F97</f>
        <v>#REF!</v>
      </c>
      <c r="G96" s="11" t="e">
        <f t="shared" si="40"/>
        <v>#REF!</v>
      </c>
      <c r="H96" s="11" t="e">
        <f t="shared" si="40"/>
        <v>#REF!</v>
      </c>
      <c r="I96" s="11" t="e">
        <f t="shared" si="40"/>
        <v>#REF!</v>
      </c>
      <c r="J96" s="11" t="e">
        <f t="shared" si="40"/>
        <v>#REF!</v>
      </c>
      <c r="K96" s="11">
        <f t="shared" si="40"/>
        <v>25</v>
      </c>
      <c r="L96" s="11">
        <f t="shared" si="40"/>
        <v>25</v>
      </c>
      <c r="M96" s="7">
        <f t="shared" si="31"/>
        <v>100</v>
      </c>
    </row>
    <row r="97" spans="1:13" ht="47.25">
      <c r="A97" s="26" t="s">
        <v>184</v>
      </c>
      <c r="B97" s="10" t="s">
        <v>169</v>
      </c>
      <c r="C97" s="10" t="s">
        <v>191</v>
      </c>
      <c r="D97" s="6" t="s">
        <v>223</v>
      </c>
      <c r="E97" s="10" t="s">
        <v>185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>
        <f>'Прил.№4 ведомств.'!G250</f>
        <v>25</v>
      </c>
      <c r="L97" s="11">
        <f>'Прил.№4 ведомств.'!H250</f>
        <v>25</v>
      </c>
      <c r="M97" s="7">
        <f t="shared" si="31"/>
        <v>100</v>
      </c>
    </row>
    <row r="98" spans="1:13" ht="63">
      <c r="A98" s="31" t="s">
        <v>224</v>
      </c>
      <c r="B98" s="10" t="s">
        <v>169</v>
      </c>
      <c r="C98" s="10" t="s">
        <v>191</v>
      </c>
      <c r="D98" s="32" t="s">
        <v>225</v>
      </c>
      <c r="E98" s="10"/>
      <c r="F98" s="11" t="e">
        <f>F99</f>
        <v>#REF!</v>
      </c>
      <c r="G98" s="11" t="e">
        <f aca="true" t="shared" si="41" ref="G98:L100">G99</f>
        <v>#REF!</v>
      </c>
      <c r="H98" s="11" t="e">
        <f t="shared" si="41"/>
        <v>#REF!</v>
      </c>
      <c r="I98" s="11" t="e">
        <f t="shared" si="41"/>
        <v>#REF!</v>
      </c>
      <c r="J98" s="11" t="e">
        <f t="shared" si="41"/>
        <v>#REF!</v>
      </c>
      <c r="K98" s="11">
        <f t="shared" si="41"/>
        <v>70</v>
      </c>
      <c r="L98" s="11">
        <f t="shared" si="41"/>
        <v>14.5</v>
      </c>
      <c r="M98" s="7">
        <f t="shared" si="31"/>
        <v>20.714285714285715</v>
      </c>
    </row>
    <row r="99" spans="1:13" ht="15.75">
      <c r="A99" s="47" t="s">
        <v>226</v>
      </c>
      <c r="B99" s="10" t="s">
        <v>169</v>
      </c>
      <c r="C99" s="10" t="s">
        <v>191</v>
      </c>
      <c r="D99" s="6" t="s">
        <v>227</v>
      </c>
      <c r="E99" s="10"/>
      <c r="F99" s="11" t="e">
        <f>F100</f>
        <v>#REF!</v>
      </c>
      <c r="G99" s="11" t="e">
        <f t="shared" si="41"/>
        <v>#REF!</v>
      </c>
      <c r="H99" s="11" t="e">
        <f t="shared" si="41"/>
        <v>#REF!</v>
      </c>
      <c r="I99" s="11" t="e">
        <f t="shared" si="41"/>
        <v>#REF!</v>
      </c>
      <c r="J99" s="11" t="e">
        <f t="shared" si="41"/>
        <v>#REF!</v>
      </c>
      <c r="K99" s="11">
        <f t="shared" si="41"/>
        <v>70</v>
      </c>
      <c r="L99" s="11">
        <f t="shared" si="41"/>
        <v>14.5</v>
      </c>
      <c r="M99" s="7">
        <f t="shared" si="31"/>
        <v>20.714285714285715</v>
      </c>
    </row>
    <row r="100" spans="1:13" ht="31.5">
      <c r="A100" s="26" t="s">
        <v>182</v>
      </c>
      <c r="B100" s="10" t="s">
        <v>169</v>
      </c>
      <c r="C100" s="10" t="s">
        <v>191</v>
      </c>
      <c r="D100" s="6" t="s">
        <v>227</v>
      </c>
      <c r="E100" s="10" t="s">
        <v>183</v>
      </c>
      <c r="F100" s="11" t="e">
        <f>F101</f>
        <v>#REF!</v>
      </c>
      <c r="G100" s="11" t="e">
        <f t="shared" si="41"/>
        <v>#REF!</v>
      </c>
      <c r="H100" s="11" t="e">
        <f t="shared" si="41"/>
        <v>#REF!</v>
      </c>
      <c r="I100" s="11" t="e">
        <f t="shared" si="41"/>
        <v>#REF!</v>
      </c>
      <c r="J100" s="11" t="e">
        <f t="shared" si="41"/>
        <v>#REF!</v>
      </c>
      <c r="K100" s="11">
        <f t="shared" si="41"/>
        <v>70</v>
      </c>
      <c r="L100" s="11">
        <f t="shared" si="41"/>
        <v>14.5</v>
      </c>
      <c r="M100" s="7">
        <f t="shared" si="31"/>
        <v>20.714285714285715</v>
      </c>
    </row>
    <row r="101" spans="1:13" ht="47.25">
      <c r="A101" s="26" t="s">
        <v>184</v>
      </c>
      <c r="B101" s="10" t="s">
        <v>169</v>
      </c>
      <c r="C101" s="10" t="s">
        <v>191</v>
      </c>
      <c r="D101" s="6" t="s">
        <v>227</v>
      </c>
      <c r="E101" s="10" t="s">
        <v>185</v>
      </c>
      <c r="F101" s="11" t="e">
        <f>#REF!</f>
        <v>#REF!</v>
      </c>
      <c r="G101" s="11" t="e">
        <f>#REF!</f>
        <v>#REF!</v>
      </c>
      <c r="H101" s="11" t="e">
        <f>#REF!</f>
        <v>#REF!</v>
      </c>
      <c r="I101" s="11" t="e">
        <f>#REF!</f>
        <v>#REF!</v>
      </c>
      <c r="J101" s="11" t="e">
        <f>#REF!</f>
        <v>#REF!</v>
      </c>
      <c r="K101" s="11">
        <f>'Прил.№4 ведомств.'!G86</f>
        <v>70</v>
      </c>
      <c r="L101" s="11">
        <f>'Прил.№4 ведомств.'!H86</f>
        <v>14.5</v>
      </c>
      <c r="M101" s="7">
        <f t="shared" si="31"/>
        <v>20.714285714285715</v>
      </c>
    </row>
    <row r="102" spans="1:13" ht="47.25">
      <c r="A102" s="26" t="s">
        <v>228</v>
      </c>
      <c r="B102" s="10" t="s">
        <v>169</v>
      </c>
      <c r="C102" s="10" t="s">
        <v>191</v>
      </c>
      <c r="D102" s="6" t="s">
        <v>229</v>
      </c>
      <c r="E102" s="10"/>
      <c r="F102" s="11" t="e">
        <f>F103</f>
        <v>#REF!</v>
      </c>
      <c r="G102" s="11" t="e">
        <f aca="true" t="shared" si="42" ref="G102:L104">G103</f>
        <v>#REF!</v>
      </c>
      <c r="H102" s="11" t="e">
        <f t="shared" si="42"/>
        <v>#REF!</v>
      </c>
      <c r="I102" s="11" t="e">
        <f t="shared" si="42"/>
        <v>#REF!</v>
      </c>
      <c r="J102" s="11" t="e">
        <f t="shared" si="42"/>
        <v>#REF!</v>
      </c>
      <c r="K102" s="11">
        <f>K103+K106</f>
        <v>25</v>
      </c>
      <c r="L102" s="11">
        <f>L103+L106</f>
        <v>10</v>
      </c>
      <c r="M102" s="7">
        <f t="shared" si="31"/>
        <v>40</v>
      </c>
    </row>
    <row r="103" spans="1:13" ht="15.75">
      <c r="A103" s="47" t="s">
        <v>230</v>
      </c>
      <c r="B103" s="10" t="s">
        <v>169</v>
      </c>
      <c r="C103" s="10" t="s">
        <v>191</v>
      </c>
      <c r="D103" s="6" t="s">
        <v>231</v>
      </c>
      <c r="E103" s="10"/>
      <c r="F103" s="11" t="e">
        <f>F104</f>
        <v>#REF!</v>
      </c>
      <c r="G103" s="11" t="e">
        <f t="shared" si="42"/>
        <v>#REF!</v>
      </c>
      <c r="H103" s="11" t="e">
        <f t="shared" si="42"/>
        <v>#REF!</v>
      </c>
      <c r="I103" s="11" t="e">
        <f t="shared" si="42"/>
        <v>#REF!</v>
      </c>
      <c r="J103" s="11" t="e">
        <f t="shared" si="42"/>
        <v>#REF!</v>
      </c>
      <c r="K103" s="11">
        <f t="shared" si="42"/>
        <v>15</v>
      </c>
      <c r="L103" s="11">
        <f t="shared" si="42"/>
        <v>0</v>
      </c>
      <c r="M103" s="7">
        <f t="shared" si="31"/>
        <v>0</v>
      </c>
    </row>
    <row r="104" spans="1:13" ht="31.5">
      <c r="A104" s="26" t="s">
        <v>182</v>
      </c>
      <c r="B104" s="10" t="s">
        <v>169</v>
      </c>
      <c r="C104" s="10" t="s">
        <v>191</v>
      </c>
      <c r="D104" s="6" t="s">
        <v>231</v>
      </c>
      <c r="E104" s="10" t="s">
        <v>183</v>
      </c>
      <c r="F104" s="11" t="e">
        <f>F105</f>
        <v>#REF!</v>
      </c>
      <c r="G104" s="11" t="e">
        <f t="shared" si="42"/>
        <v>#REF!</v>
      </c>
      <c r="H104" s="11" t="e">
        <f t="shared" si="42"/>
        <v>#REF!</v>
      </c>
      <c r="I104" s="11" t="e">
        <f t="shared" si="42"/>
        <v>#REF!</v>
      </c>
      <c r="J104" s="11" t="e">
        <f t="shared" si="42"/>
        <v>#REF!</v>
      </c>
      <c r="K104" s="11">
        <f t="shared" si="42"/>
        <v>15</v>
      </c>
      <c r="L104" s="11">
        <f t="shared" si="42"/>
        <v>0</v>
      </c>
      <c r="M104" s="7">
        <f t="shared" si="31"/>
        <v>0</v>
      </c>
    </row>
    <row r="105" spans="1:13" ht="47.25">
      <c r="A105" s="26" t="s">
        <v>184</v>
      </c>
      <c r="B105" s="10" t="s">
        <v>169</v>
      </c>
      <c r="C105" s="10" t="s">
        <v>191</v>
      </c>
      <c r="D105" s="6" t="s">
        <v>231</v>
      </c>
      <c r="E105" s="10" t="s">
        <v>185</v>
      </c>
      <c r="F105" s="11" t="e">
        <f>#REF!</f>
        <v>#REF!</v>
      </c>
      <c r="G105" s="11" t="e">
        <f>#REF!</f>
        <v>#REF!</v>
      </c>
      <c r="H105" s="11" t="e">
        <f>#REF!</f>
        <v>#REF!</v>
      </c>
      <c r="I105" s="11" t="e">
        <f>#REF!</f>
        <v>#REF!</v>
      </c>
      <c r="J105" s="11" t="e">
        <f>#REF!</f>
        <v>#REF!</v>
      </c>
      <c r="K105" s="11">
        <f>'Прил.№4 ведомств.'!G90</f>
        <v>15</v>
      </c>
      <c r="L105" s="11">
        <f>'Прил.№4 ведомств.'!H90</f>
        <v>0</v>
      </c>
      <c r="M105" s="7">
        <f t="shared" si="31"/>
        <v>0</v>
      </c>
    </row>
    <row r="106" spans="1:13" ht="31.5">
      <c r="A106" s="26" t="s">
        <v>299</v>
      </c>
      <c r="B106" s="10" t="s">
        <v>169</v>
      </c>
      <c r="C106" s="10" t="s">
        <v>191</v>
      </c>
      <c r="D106" s="6" t="s">
        <v>231</v>
      </c>
      <c r="E106" s="10" t="s">
        <v>300</v>
      </c>
      <c r="F106" s="11"/>
      <c r="G106" s="11"/>
      <c r="H106" s="11"/>
      <c r="I106" s="11"/>
      <c r="J106" s="11"/>
      <c r="K106" s="11">
        <f>K107</f>
        <v>10</v>
      </c>
      <c r="L106" s="11">
        <f>L107</f>
        <v>10</v>
      </c>
      <c r="M106" s="7">
        <f t="shared" si="31"/>
        <v>100</v>
      </c>
    </row>
    <row r="107" spans="1:13" ht="15.75">
      <c r="A107" s="26" t="s">
        <v>1036</v>
      </c>
      <c r="B107" s="10" t="s">
        <v>169</v>
      </c>
      <c r="C107" s="10" t="s">
        <v>191</v>
      </c>
      <c r="D107" s="6" t="s">
        <v>231</v>
      </c>
      <c r="E107" s="10" t="s">
        <v>1035</v>
      </c>
      <c r="F107" s="11"/>
      <c r="G107" s="11"/>
      <c r="H107" s="11"/>
      <c r="I107" s="11"/>
      <c r="J107" s="11"/>
      <c r="K107" s="11">
        <f>'Прил.№4 ведомств.'!G92</f>
        <v>10</v>
      </c>
      <c r="L107" s="11">
        <f>'Прил.№4 ведомств.'!H92</f>
        <v>10</v>
      </c>
      <c r="M107" s="7">
        <f t="shared" si="31"/>
        <v>100</v>
      </c>
    </row>
    <row r="108" spans="1:13" ht="47.25" hidden="1">
      <c r="A108" s="33" t="s">
        <v>232</v>
      </c>
      <c r="B108" s="10" t="s">
        <v>169</v>
      </c>
      <c r="C108" s="10" t="s">
        <v>191</v>
      </c>
      <c r="D108" s="32" t="s">
        <v>233</v>
      </c>
      <c r="E108" s="34"/>
      <c r="F108" s="11" t="e">
        <f>F109</f>
        <v>#REF!</v>
      </c>
      <c r="G108" s="11" t="e">
        <f aca="true" t="shared" si="43" ref="G108:L110">G109</f>
        <v>#REF!</v>
      </c>
      <c r="H108" s="11" t="e">
        <f t="shared" si="43"/>
        <v>#REF!</v>
      </c>
      <c r="I108" s="11" t="e">
        <f t="shared" si="43"/>
        <v>#REF!</v>
      </c>
      <c r="J108" s="11" t="e">
        <f t="shared" si="43"/>
        <v>#REF!</v>
      </c>
      <c r="K108" s="11">
        <f t="shared" si="43"/>
        <v>0</v>
      </c>
      <c r="L108" s="11">
        <f t="shared" si="43"/>
        <v>0</v>
      </c>
      <c r="M108" s="7" t="e">
        <f t="shared" si="31"/>
        <v>#DIV/0!</v>
      </c>
    </row>
    <row r="109" spans="1:13" ht="31.5" hidden="1">
      <c r="A109" s="26" t="s">
        <v>208</v>
      </c>
      <c r="B109" s="10" t="s">
        <v>169</v>
      </c>
      <c r="C109" s="10" t="s">
        <v>191</v>
      </c>
      <c r="D109" s="21" t="s">
        <v>234</v>
      </c>
      <c r="E109" s="34"/>
      <c r="F109" s="11" t="e">
        <f>F110</f>
        <v>#REF!</v>
      </c>
      <c r="G109" s="11" t="e">
        <f t="shared" si="43"/>
        <v>#REF!</v>
      </c>
      <c r="H109" s="11" t="e">
        <f t="shared" si="43"/>
        <v>#REF!</v>
      </c>
      <c r="I109" s="11" t="e">
        <f t="shared" si="43"/>
        <v>#REF!</v>
      </c>
      <c r="J109" s="11" t="e">
        <f t="shared" si="43"/>
        <v>#REF!</v>
      </c>
      <c r="K109" s="11">
        <f t="shared" si="43"/>
        <v>0</v>
      </c>
      <c r="L109" s="11">
        <f t="shared" si="43"/>
        <v>0</v>
      </c>
      <c r="M109" s="7" t="e">
        <f t="shared" si="31"/>
        <v>#DIV/0!</v>
      </c>
    </row>
    <row r="110" spans="1:13" ht="15.75" hidden="1">
      <c r="A110" s="31" t="s">
        <v>186</v>
      </c>
      <c r="B110" s="10" t="s">
        <v>169</v>
      </c>
      <c r="C110" s="10" t="s">
        <v>191</v>
      </c>
      <c r="D110" s="21" t="s">
        <v>234</v>
      </c>
      <c r="E110" s="34" t="s">
        <v>196</v>
      </c>
      <c r="F110" s="11" t="e">
        <f>F111</f>
        <v>#REF!</v>
      </c>
      <c r="G110" s="11" t="e">
        <f t="shared" si="43"/>
        <v>#REF!</v>
      </c>
      <c r="H110" s="11" t="e">
        <f t="shared" si="43"/>
        <v>#REF!</v>
      </c>
      <c r="I110" s="11" t="e">
        <f t="shared" si="43"/>
        <v>#REF!</v>
      </c>
      <c r="J110" s="11" t="e">
        <f t="shared" si="43"/>
        <v>#REF!</v>
      </c>
      <c r="K110" s="11">
        <f t="shared" si="43"/>
        <v>0</v>
      </c>
      <c r="L110" s="11">
        <f t="shared" si="43"/>
        <v>0</v>
      </c>
      <c r="M110" s="7" t="e">
        <f t="shared" si="31"/>
        <v>#DIV/0!</v>
      </c>
    </row>
    <row r="111" spans="1:13" ht="47.25" hidden="1">
      <c r="A111" s="31" t="s">
        <v>235</v>
      </c>
      <c r="B111" s="10" t="s">
        <v>169</v>
      </c>
      <c r="C111" s="10" t="s">
        <v>191</v>
      </c>
      <c r="D111" s="21" t="s">
        <v>234</v>
      </c>
      <c r="E111" s="34" t="s">
        <v>211</v>
      </c>
      <c r="F111" s="11" t="e">
        <f>#REF!</f>
        <v>#REF!</v>
      </c>
      <c r="G111" s="11" t="e">
        <f>#REF!</f>
        <v>#REF!</v>
      </c>
      <c r="H111" s="11" t="e">
        <f>#REF!</f>
        <v>#REF!</v>
      </c>
      <c r="I111" s="11" t="e">
        <f>#REF!</f>
        <v>#REF!</v>
      </c>
      <c r="J111" s="11" t="e">
        <f>#REF!</f>
        <v>#REF!</v>
      </c>
      <c r="K111" s="11">
        <f>'Прил.№4 ведомств.'!G96</f>
        <v>0</v>
      </c>
      <c r="L111" s="11">
        <f>'Прил.№4 ведомств.'!H96</f>
        <v>0</v>
      </c>
      <c r="M111" s="7" t="e">
        <f t="shared" si="31"/>
        <v>#DIV/0!</v>
      </c>
    </row>
    <row r="112" spans="1:13" ht="47.25">
      <c r="A112" s="26" t="s">
        <v>385</v>
      </c>
      <c r="B112" s="21" t="s">
        <v>169</v>
      </c>
      <c r="C112" s="21" t="s">
        <v>191</v>
      </c>
      <c r="D112" s="21" t="s">
        <v>386</v>
      </c>
      <c r="E112" s="21"/>
      <c r="F112" s="11">
        <f aca="true" t="shared" si="44" ref="F112:L112">F113+F116+F119+F122+F125</f>
        <v>0</v>
      </c>
      <c r="G112" s="11">
        <f t="shared" si="44"/>
        <v>0</v>
      </c>
      <c r="H112" s="11" t="e">
        <f t="shared" si="44"/>
        <v>#REF!</v>
      </c>
      <c r="I112" s="11" t="e">
        <f t="shared" si="44"/>
        <v>#REF!</v>
      </c>
      <c r="J112" s="11" t="e">
        <f t="shared" si="44"/>
        <v>#REF!</v>
      </c>
      <c r="K112" s="11">
        <f t="shared" si="44"/>
        <v>180</v>
      </c>
      <c r="L112" s="11">
        <f t="shared" si="44"/>
        <v>128.8</v>
      </c>
      <c r="M112" s="7">
        <f t="shared" si="31"/>
        <v>71.55555555555556</v>
      </c>
    </row>
    <row r="113" spans="1:13" ht="47.25">
      <c r="A113" s="121" t="s">
        <v>917</v>
      </c>
      <c r="B113" s="21" t="s">
        <v>169</v>
      </c>
      <c r="C113" s="21" t="s">
        <v>191</v>
      </c>
      <c r="D113" s="21" t="s">
        <v>388</v>
      </c>
      <c r="E113" s="21"/>
      <c r="F113" s="11">
        <f aca="true" t="shared" si="45" ref="F113:H114">F114</f>
        <v>0</v>
      </c>
      <c r="G113" s="11">
        <f t="shared" si="45"/>
        <v>0</v>
      </c>
      <c r="H113" s="11" t="e">
        <f t="shared" si="45"/>
        <v>#REF!</v>
      </c>
      <c r="I113" s="11" t="e">
        <f aca="true" t="shared" si="46" ref="I113:L114">I114</f>
        <v>#REF!</v>
      </c>
      <c r="J113" s="11" t="e">
        <f t="shared" si="46"/>
        <v>#REF!</v>
      </c>
      <c r="K113" s="11">
        <f t="shared" si="46"/>
        <v>150</v>
      </c>
      <c r="L113" s="11">
        <f t="shared" si="46"/>
        <v>111.2</v>
      </c>
      <c r="M113" s="7">
        <f t="shared" si="31"/>
        <v>74.13333333333334</v>
      </c>
    </row>
    <row r="114" spans="1:13" ht="31.5">
      <c r="A114" s="26" t="s">
        <v>182</v>
      </c>
      <c r="B114" s="21" t="s">
        <v>169</v>
      </c>
      <c r="C114" s="21" t="s">
        <v>191</v>
      </c>
      <c r="D114" s="21" t="s">
        <v>388</v>
      </c>
      <c r="E114" s="21" t="s">
        <v>183</v>
      </c>
      <c r="F114" s="11">
        <f t="shared" si="45"/>
        <v>0</v>
      </c>
      <c r="G114" s="11">
        <f t="shared" si="45"/>
        <v>0</v>
      </c>
      <c r="H114" s="11" t="e">
        <f t="shared" si="45"/>
        <v>#REF!</v>
      </c>
      <c r="I114" s="11" t="e">
        <f t="shared" si="46"/>
        <v>#REF!</v>
      </c>
      <c r="J114" s="11" t="e">
        <f t="shared" si="46"/>
        <v>#REF!</v>
      </c>
      <c r="K114" s="11">
        <f t="shared" si="46"/>
        <v>150</v>
      </c>
      <c r="L114" s="11">
        <f t="shared" si="46"/>
        <v>111.2</v>
      </c>
      <c r="M114" s="7">
        <f t="shared" si="31"/>
        <v>74.13333333333334</v>
      </c>
    </row>
    <row r="115" spans="1:13" ht="47.25">
      <c r="A115" s="26" t="s">
        <v>184</v>
      </c>
      <c r="B115" s="21" t="s">
        <v>169</v>
      </c>
      <c r="C115" s="21" t="s">
        <v>191</v>
      </c>
      <c r="D115" s="21" t="s">
        <v>388</v>
      </c>
      <c r="E115" s="21" t="s">
        <v>185</v>
      </c>
      <c r="F115" s="11">
        <v>0</v>
      </c>
      <c r="G115" s="11">
        <v>0</v>
      </c>
      <c r="H115" s="11" t="e">
        <f>#REF!+#REF!</f>
        <v>#REF!</v>
      </c>
      <c r="I115" s="11" t="e">
        <f>#REF!+#REF!</f>
        <v>#REF!</v>
      </c>
      <c r="J115" s="11" t="e">
        <f>#REF!+#REF!</f>
        <v>#REF!</v>
      </c>
      <c r="K115" s="11">
        <f>'Прил.№4 ведомств.'!G584+'Прил.№4 ведомств.'!G254</f>
        <v>150</v>
      </c>
      <c r="L115" s="11">
        <f>'Прил.№4 ведомств.'!H584+'Прил.№4 ведомств.'!H254</f>
        <v>111.2</v>
      </c>
      <c r="M115" s="7">
        <f t="shared" si="31"/>
        <v>74.13333333333334</v>
      </c>
    </row>
    <row r="116" spans="1:13" ht="31.5">
      <c r="A116" s="26" t="s">
        <v>389</v>
      </c>
      <c r="B116" s="21" t="s">
        <v>169</v>
      </c>
      <c r="C116" s="21" t="s">
        <v>191</v>
      </c>
      <c r="D116" s="21" t="s">
        <v>390</v>
      </c>
      <c r="E116" s="21"/>
      <c r="F116" s="11">
        <f aca="true" t="shared" si="47" ref="F116:H117">F117</f>
        <v>0</v>
      </c>
      <c r="G116" s="11">
        <f t="shared" si="47"/>
        <v>0</v>
      </c>
      <c r="H116" s="11" t="e">
        <f t="shared" si="47"/>
        <v>#REF!</v>
      </c>
      <c r="I116" s="11" t="e">
        <f aca="true" t="shared" si="48" ref="I116:L117">I117</f>
        <v>#REF!</v>
      </c>
      <c r="J116" s="11" t="e">
        <f t="shared" si="48"/>
        <v>#REF!</v>
      </c>
      <c r="K116" s="11">
        <f t="shared" si="48"/>
        <v>20</v>
      </c>
      <c r="L116" s="11">
        <f t="shared" si="48"/>
        <v>17.6</v>
      </c>
      <c r="M116" s="7">
        <f t="shared" si="31"/>
        <v>88.00000000000001</v>
      </c>
    </row>
    <row r="117" spans="1:13" ht="31.5">
      <c r="A117" s="26" t="s">
        <v>182</v>
      </c>
      <c r="B117" s="21" t="s">
        <v>169</v>
      </c>
      <c r="C117" s="21" t="s">
        <v>191</v>
      </c>
      <c r="D117" s="21" t="s">
        <v>390</v>
      </c>
      <c r="E117" s="21" t="s">
        <v>183</v>
      </c>
      <c r="F117" s="11">
        <f t="shared" si="47"/>
        <v>0</v>
      </c>
      <c r="G117" s="11">
        <f t="shared" si="47"/>
        <v>0</v>
      </c>
      <c r="H117" s="11" t="e">
        <f t="shared" si="47"/>
        <v>#REF!</v>
      </c>
      <c r="I117" s="11" t="e">
        <f t="shared" si="48"/>
        <v>#REF!</v>
      </c>
      <c r="J117" s="11" t="e">
        <f t="shared" si="48"/>
        <v>#REF!</v>
      </c>
      <c r="K117" s="11">
        <f t="shared" si="48"/>
        <v>20</v>
      </c>
      <c r="L117" s="11">
        <f t="shared" si="48"/>
        <v>17.6</v>
      </c>
      <c r="M117" s="7">
        <f t="shared" si="31"/>
        <v>88.00000000000001</v>
      </c>
    </row>
    <row r="118" spans="1:13" ht="47.25">
      <c r="A118" s="26" t="s">
        <v>184</v>
      </c>
      <c r="B118" s="21" t="s">
        <v>169</v>
      </c>
      <c r="C118" s="21" t="s">
        <v>191</v>
      </c>
      <c r="D118" s="21" t="s">
        <v>390</v>
      </c>
      <c r="E118" s="21" t="s">
        <v>185</v>
      </c>
      <c r="F118" s="11">
        <v>0</v>
      </c>
      <c r="G118" s="11">
        <v>0</v>
      </c>
      <c r="H118" s="11" t="e">
        <f>#REF!</f>
        <v>#REF!</v>
      </c>
      <c r="I118" s="11" t="e">
        <f>#REF!</f>
        <v>#REF!</v>
      </c>
      <c r="J118" s="11" t="e">
        <f>#REF!</f>
        <v>#REF!</v>
      </c>
      <c r="K118" s="11">
        <f>'Прил.№4 ведомств.'!G257</f>
        <v>20</v>
      </c>
      <c r="L118" s="11">
        <f>'Прил.№4 ведомств.'!H257</f>
        <v>17.6</v>
      </c>
      <c r="M118" s="7">
        <f t="shared" si="31"/>
        <v>88.00000000000001</v>
      </c>
    </row>
    <row r="119" spans="1:13" ht="47.25" hidden="1">
      <c r="A119" s="33" t="s">
        <v>918</v>
      </c>
      <c r="B119" s="21" t="s">
        <v>169</v>
      </c>
      <c r="C119" s="21" t="s">
        <v>191</v>
      </c>
      <c r="D119" s="21" t="s">
        <v>915</v>
      </c>
      <c r="E119" s="21"/>
      <c r="F119" s="11">
        <f aca="true" t="shared" si="49" ref="F119:H120">F120</f>
        <v>0</v>
      </c>
      <c r="G119" s="11">
        <f t="shared" si="49"/>
        <v>0</v>
      </c>
      <c r="H119" s="11" t="e">
        <f t="shared" si="49"/>
        <v>#REF!</v>
      </c>
      <c r="I119" s="11" t="e">
        <f aca="true" t="shared" si="50" ref="I119:L120">I120</f>
        <v>#REF!</v>
      </c>
      <c r="J119" s="11" t="e">
        <f t="shared" si="50"/>
        <v>#REF!</v>
      </c>
      <c r="K119" s="11">
        <f t="shared" si="50"/>
        <v>0</v>
      </c>
      <c r="L119" s="11">
        <f t="shared" si="50"/>
        <v>0</v>
      </c>
      <c r="M119" s="7" t="e">
        <f t="shared" si="31"/>
        <v>#DIV/0!</v>
      </c>
    </row>
    <row r="120" spans="1:13" ht="31.5" hidden="1">
      <c r="A120" s="26" t="s">
        <v>182</v>
      </c>
      <c r="B120" s="21" t="s">
        <v>169</v>
      </c>
      <c r="C120" s="21" t="s">
        <v>191</v>
      </c>
      <c r="D120" s="21" t="s">
        <v>915</v>
      </c>
      <c r="E120" s="21" t="s">
        <v>183</v>
      </c>
      <c r="F120" s="11">
        <f t="shared" si="49"/>
        <v>0</v>
      </c>
      <c r="G120" s="11">
        <f t="shared" si="49"/>
        <v>0</v>
      </c>
      <c r="H120" s="11" t="e">
        <f t="shared" si="49"/>
        <v>#REF!</v>
      </c>
      <c r="I120" s="11" t="e">
        <f t="shared" si="50"/>
        <v>#REF!</v>
      </c>
      <c r="J120" s="11" t="e">
        <f t="shared" si="50"/>
        <v>#REF!</v>
      </c>
      <c r="K120" s="11">
        <f t="shared" si="50"/>
        <v>0</v>
      </c>
      <c r="L120" s="11">
        <f t="shared" si="50"/>
        <v>0</v>
      </c>
      <c r="M120" s="7" t="e">
        <f t="shared" si="31"/>
        <v>#DIV/0!</v>
      </c>
    </row>
    <row r="121" spans="1:13" ht="47.25" hidden="1">
      <c r="A121" s="26" t="s">
        <v>184</v>
      </c>
      <c r="B121" s="21" t="s">
        <v>169</v>
      </c>
      <c r="C121" s="21" t="s">
        <v>191</v>
      </c>
      <c r="D121" s="21" t="s">
        <v>915</v>
      </c>
      <c r="E121" s="21" t="s">
        <v>185</v>
      </c>
      <c r="F121" s="11">
        <v>0</v>
      </c>
      <c r="G121" s="11">
        <v>0</v>
      </c>
      <c r="H121" s="11" t="e">
        <f>#REF!</f>
        <v>#REF!</v>
      </c>
      <c r="I121" s="11" t="e">
        <f>#REF!</f>
        <v>#REF!</v>
      </c>
      <c r="J121" s="11" t="e">
        <f>#REF!</f>
        <v>#REF!</v>
      </c>
      <c r="K121" s="11">
        <f>'Прил.№4 ведомств.'!G260</f>
        <v>0</v>
      </c>
      <c r="L121" s="11">
        <f>'Прил.№4 ведомств.'!H260</f>
        <v>0</v>
      </c>
      <c r="M121" s="7" t="e">
        <f t="shared" si="31"/>
        <v>#DIV/0!</v>
      </c>
    </row>
    <row r="122" spans="1:13" ht="31.5">
      <c r="A122" s="33" t="s">
        <v>922</v>
      </c>
      <c r="B122" s="21" t="s">
        <v>169</v>
      </c>
      <c r="C122" s="21" t="s">
        <v>191</v>
      </c>
      <c r="D122" s="21" t="s">
        <v>921</v>
      </c>
      <c r="E122" s="21"/>
      <c r="F122" s="11">
        <f aca="true" t="shared" si="51" ref="F122:H123">F123</f>
        <v>0</v>
      </c>
      <c r="G122" s="11">
        <f t="shared" si="51"/>
        <v>0</v>
      </c>
      <c r="H122" s="11" t="e">
        <f t="shared" si="51"/>
        <v>#REF!</v>
      </c>
      <c r="I122" s="11" t="e">
        <f aca="true" t="shared" si="52" ref="I122:L123">I123</f>
        <v>#REF!</v>
      </c>
      <c r="J122" s="11" t="e">
        <f t="shared" si="52"/>
        <v>#REF!</v>
      </c>
      <c r="K122" s="11">
        <f t="shared" si="52"/>
        <v>10</v>
      </c>
      <c r="L122" s="11">
        <f t="shared" si="52"/>
        <v>0</v>
      </c>
      <c r="M122" s="7">
        <f t="shared" si="31"/>
        <v>0</v>
      </c>
    </row>
    <row r="123" spans="1:13" ht="31.5">
      <c r="A123" s="26" t="s">
        <v>182</v>
      </c>
      <c r="B123" s="21" t="s">
        <v>169</v>
      </c>
      <c r="C123" s="21" t="s">
        <v>191</v>
      </c>
      <c r="D123" s="21" t="s">
        <v>921</v>
      </c>
      <c r="E123" s="21" t="s">
        <v>183</v>
      </c>
      <c r="F123" s="11">
        <f t="shared" si="51"/>
        <v>0</v>
      </c>
      <c r="G123" s="11">
        <f t="shared" si="51"/>
        <v>0</v>
      </c>
      <c r="H123" s="11" t="e">
        <f t="shared" si="51"/>
        <v>#REF!</v>
      </c>
      <c r="I123" s="11" t="e">
        <f t="shared" si="52"/>
        <v>#REF!</v>
      </c>
      <c r="J123" s="11" t="e">
        <f t="shared" si="52"/>
        <v>#REF!</v>
      </c>
      <c r="K123" s="11">
        <f t="shared" si="52"/>
        <v>10</v>
      </c>
      <c r="L123" s="11">
        <f t="shared" si="52"/>
        <v>0</v>
      </c>
      <c r="M123" s="7">
        <f t="shared" si="31"/>
        <v>0</v>
      </c>
    </row>
    <row r="124" spans="1:13" ht="47.25">
      <c r="A124" s="26" t="s">
        <v>184</v>
      </c>
      <c r="B124" s="21" t="s">
        <v>169</v>
      </c>
      <c r="C124" s="21" t="s">
        <v>191</v>
      </c>
      <c r="D124" s="21" t="s">
        <v>921</v>
      </c>
      <c r="E124" s="21" t="s">
        <v>185</v>
      </c>
      <c r="F124" s="11">
        <v>0</v>
      </c>
      <c r="G124" s="11">
        <v>0</v>
      </c>
      <c r="H124" s="11" t="e">
        <f>#REF!</f>
        <v>#REF!</v>
      </c>
      <c r="I124" s="11" t="e">
        <f>#REF!</f>
        <v>#REF!</v>
      </c>
      <c r="J124" s="11" t="e">
        <f>#REF!</f>
        <v>#REF!</v>
      </c>
      <c r="K124" s="11">
        <f>'Прил.№4 ведомств.'!G587</f>
        <v>10</v>
      </c>
      <c r="L124" s="11">
        <f>'Прил.№4 ведомств.'!H587</f>
        <v>0</v>
      </c>
      <c r="M124" s="7">
        <f t="shared" si="31"/>
        <v>0</v>
      </c>
    </row>
    <row r="125" spans="1:13" ht="31.5" hidden="1">
      <c r="A125" s="33" t="s">
        <v>919</v>
      </c>
      <c r="B125" s="21" t="s">
        <v>169</v>
      </c>
      <c r="C125" s="21" t="s">
        <v>191</v>
      </c>
      <c r="D125" s="21" t="s">
        <v>916</v>
      </c>
      <c r="E125" s="21"/>
      <c r="F125" s="11">
        <f aca="true" t="shared" si="53" ref="F125:H126">F126</f>
        <v>0</v>
      </c>
      <c r="G125" s="11">
        <f t="shared" si="53"/>
        <v>0</v>
      </c>
      <c r="H125" s="11" t="e">
        <f t="shared" si="53"/>
        <v>#REF!</v>
      </c>
      <c r="I125" s="11" t="e">
        <f aca="true" t="shared" si="54" ref="I125:L126">I126</f>
        <v>#REF!</v>
      </c>
      <c r="J125" s="11" t="e">
        <f t="shared" si="54"/>
        <v>#REF!</v>
      </c>
      <c r="K125" s="11">
        <f t="shared" si="54"/>
        <v>0</v>
      </c>
      <c r="L125" s="11">
        <f t="shared" si="54"/>
        <v>0</v>
      </c>
      <c r="M125" s="7" t="e">
        <f t="shared" si="31"/>
        <v>#DIV/0!</v>
      </c>
    </row>
    <row r="126" spans="1:13" ht="31.5" hidden="1">
      <c r="A126" s="26" t="s">
        <v>182</v>
      </c>
      <c r="B126" s="21" t="s">
        <v>169</v>
      </c>
      <c r="C126" s="21" t="s">
        <v>191</v>
      </c>
      <c r="D126" s="21" t="s">
        <v>916</v>
      </c>
      <c r="E126" s="21" t="s">
        <v>183</v>
      </c>
      <c r="F126" s="11">
        <f t="shared" si="53"/>
        <v>0</v>
      </c>
      <c r="G126" s="11">
        <f t="shared" si="53"/>
        <v>0</v>
      </c>
      <c r="H126" s="11" t="e">
        <f t="shared" si="53"/>
        <v>#REF!</v>
      </c>
      <c r="I126" s="11" t="e">
        <f t="shared" si="54"/>
        <v>#REF!</v>
      </c>
      <c r="J126" s="11" t="e">
        <f t="shared" si="54"/>
        <v>#REF!</v>
      </c>
      <c r="K126" s="11">
        <f t="shared" si="54"/>
        <v>0</v>
      </c>
      <c r="L126" s="11">
        <f t="shared" si="54"/>
        <v>0</v>
      </c>
      <c r="M126" s="7" t="e">
        <f t="shared" si="31"/>
        <v>#DIV/0!</v>
      </c>
    </row>
    <row r="127" spans="1:13" ht="47.25" hidden="1">
      <c r="A127" s="26" t="s">
        <v>184</v>
      </c>
      <c r="B127" s="21" t="s">
        <v>169</v>
      </c>
      <c r="C127" s="21" t="s">
        <v>191</v>
      </c>
      <c r="D127" s="21" t="s">
        <v>916</v>
      </c>
      <c r="E127" s="21" t="s">
        <v>185</v>
      </c>
      <c r="F127" s="11">
        <v>0</v>
      </c>
      <c r="G127" s="11">
        <v>0</v>
      </c>
      <c r="H127" s="11" t="e">
        <f>#REF!</f>
        <v>#REF!</v>
      </c>
      <c r="I127" s="11" t="e">
        <f>#REF!</f>
        <v>#REF!</v>
      </c>
      <c r="J127" s="11" t="e">
        <f>#REF!</f>
        <v>#REF!</v>
      </c>
      <c r="K127" s="11">
        <f>'Прил.№4 ведомств.'!G266</f>
        <v>0</v>
      </c>
      <c r="L127" s="11">
        <f>'Прил.№4 ведомств.'!H266</f>
        <v>0</v>
      </c>
      <c r="M127" s="7" t="e">
        <f t="shared" si="31"/>
        <v>#DIV/0!</v>
      </c>
    </row>
    <row r="128" spans="1:13" ht="63">
      <c r="A128" s="31" t="s">
        <v>794</v>
      </c>
      <c r="B128" s="10" t="s">
        <v>169</v>
      </c>
      <c r="C128" s="10" t="s">
        <v>191</v>
      </c>
      <c r="D128" s="21" t="s">
        <v>795</v>
      </c>
      <c r="E128" s="34"/>
      <c r="F128" s="11" t="e">
        <f>F129</f>
        <v>#REF!</v>
      </c>
      <c r="G128" s="11" t="e">
        <f aca="true" t="shared" si="55" ref="G128:L130">G129</f>
        <v>#REF!</v>
      </c>
      <c r="H128" s="11" t="e">
        <f t="shared" si="55"/>
        <v>#REF!</v>
      </c>
      <c r="I128" s="11" t="e">
        <f t="shared" si="55"/>
        <v>#REF!</v>
      </c>
      <c r="J128" s="11" t="e">
        <f t="shared" si="55"/>
        <v>#REF!</v>
      </c>
      <c r="K128" s="11">
        <f>K129+K132+K135+K138</f>
        <v>4725.100000000001</v>
      </c>
      <c r="L128" s="11">
        <f>L129+L132+L135+L138</f>
        <v>4574.099999999999</v>
      </c>
      <c r="M128" s="7">
        <f t="shared" si="31"/>
        <v>96.80430043808593</v>
      </c>
    </row>
    <row r="129" spans="1:13" ht="47.25">
      <c r="A129" s="253" t="s">
        <v>926</v>
      </c>
      <c r="B129" s="10" t="s">
        <v>169</v>
      </c>
      <c r="C129" s="10" t="s">
        <v>191</v>
      </c>
      <c r="D129" s="21" t="s">
        <v>925</v>
      </c>
      <c r="E129" s="34"/>
      <c r="F129" s="11" t="e">
        <f>F130</f>
        <v>#REF!</v>
      </c>
      <c r="G129" s="11" t="e">
        <f t="shared" si="55"/>
        <v>#REF!</v>
      </c>
      <c r="H129" s="11" t="e">
        <f t="shared" si="55"/>
        <v>#REF!</v>
      </c>
      <c r="I129" s="11" t="e">
        <f t="shared" si="55"/>
        <v>#REF!</v>
      </c>
      <c r="J129" s="11" t="e">
        <f t="shared" si="55"/>
        <v>#REF!</v>
      </c>
      <c r="K129" s="11">
        <f t="shared" si="55"/>
        <v>28</v>
      </c>
      <c r="L129" s="11">
        <f t="shared" si="55"/>
        <v>14.3</v>
      </c>
      <c r="M129" s="7">
        <f t="shared" si="31"/>
        <v>51.07142857142858</v>
      </c>
    </row>
    <row r="130" spans="1:13" ht="31.5">
      <c r="A130" s="26" t="s">
        <v>182</v>
      </c>
      <c r="B130" s="10" t="s">
        <v>169</v>
      </c>
      <c r="C130" s="10" t="s">
        <v>191</v>
      </c>
      <c r="D130" s="21" t="s">
        <v>925</v>
      </c>
      <c r="E130" s="34" t="s">
        <v>183</v>
      </c>
      <c r="F130" s="11" t="e">
        <f>F131</f>
        <v>#REF!</v>
      </c>
      <c r="G130" s="11" t="e">
        <f t="shared" si="55"/>
        <v>#REF!</v>
      </c>
      <c r="H130" s="11" t="e">
        <f t="shared" si="55"/>
        <v>#REF!</v>
      </c>
      <c r="I130" s="11" t="e">
        <f t="shared" si="55"/>
        <v>#REF!</v>
      </c>
      <c r="J130" s="11" t="e">
        <f t="shared" si="55"/>
        <v>#REF!</v>
      </c>
      <c r="K130" s="11">
        <f t="shared" si="55"/>
        <v>28</v>
      </c>
      <c r="L130" s="11">
        <f t="shared" si="55"/>
        <v>14.3</v>
      </c>
      <c r="M130" s="7">
        <f t="shared" si="31"/>
        <v>51.07142857142858</v>
      </c>
    </row>
    <row r="131" spans="1:13" ht="47.25">
      <c r="A131" s="26" t="s">
        <v>184</v>
      </c>
      <c r="B131" s="10" t="s">
        <v>169</v>
      </c>
      <c r="C131" s="10" t="s">
        <v>191</v>
      </c>
      <c r="D131" s="21" t="s">
        <v>925</v>
      </c>
      <c r="E131" s="34" t="s">
        <v>185</v>
      </c>
      <c r="F131" s="11" t="e">
        <f>#REF!</f>
        <v>#REF!</v>
      </c>
      <c r="G131" s="11" t="e">
        <f>#REF!</f>
        <v>#REF!</v>
      </c>
      <c r="H131" s="11" t="e">
        <f>#REF!</f>
        <v>#REF!</v>
      </c>
      <c r="I131" s="11" t="e">
        <f>#REF!</f>
        <v>#REF!</v>
      </c>
      <c r="J131" s="11" t="e">
        <f>#REF!</f>
        <v>#REF!</v>
      </c>
      <c r="K131" s="11">
        <f>'Прил.№4 ведомств.'!G100+'Прил.№4 ведомств.'!G279</f>
        <v>28</v>
      </c>
      <c r="L131" s="11">
        <f>'Прил.№4 ведомств.'!H100+'Прил.№4 ведомств.'!H279</f>
        <v>14.3</v>
      </c>
      <c r="M131" s="7">
        <f t="shared" si="31"/>
        <v>51.07142857142858</v>
      </c>
    </row>
    <row r="132" spans="1:13" ht="31.5">
      <c r="A132" s="253" t="s">
        <v>929</v>
      </c>
      <c r="B132" s="21" t="s">
        <v>169</v>
      </c>
      <c r="C132" s="21" t="s">
        <v>191</v>
      </c>
      <c r="D132" s="21" t="s">
        <v>930</v>
      </c>
      <c r="E132" s="34"/>
      <c r="F132" s="11"/>
      <c r="G132" s="11"/>
      <c r="H132" s="11"/>
      <c r="I132" s="11"/>
      <c r="J132" s="11"/>
      <c r="K132" s="11">
        <f>K133</f>
        <v>63.6</v>
      </c>
      <c r="L132" s="11">
        <f>L133</f>
        <v>63.6</v>
      </c>
      <c r="M132" s="7">
        <f t="shared" si="31"/>
        <v>100</v>
      </c>
    </row>
    <row r="133" spans="1:13" ht="31.5">
      <c r="A133" s="26" t="s">
        <v>182</v>
      </c>
      <c r="B133" s="21" t="s">
        <v>169</v>
      </c>
      <c r="C133" s="21" t="s">
        <v>191</v>
      </c>
      <c r="D133" s="21" t="s">
        <v>930</v>
      </c>
      <c r="E133" s="34" t="s">
        <v>183</v>
      </c>
      <c r="F133" s="11"/>
      <c r="G133" s="11"/>
      <c r="H133" s="11"/>
      <c r="I133" s="11"/>
      <c r="J133" s="11"/>
      <c r="K133" s="11">
        <f>K134</f>
        <v>63.6</v>
      </c>
      <c r="L133" s="11">
        <f>L134</f>
        <v>63.6</v>
      </c>
      <c r="M133" s="7">
        <f t="shared" si="31"/>
        <v>100</v>
      </c>
    </row>
    <row r="134" spans="1:13" ht="47.25">
      <c r="A134" s="26" t="s">
        <v>184</v>
      </c>
      <c r="B134" s="21" t="s">
        <v>169</v>
      </c>
      <c r="C134" s="21" t="s">
        <v>191</v>
      </c>
      <c r="D134" s="21" t="s">
        <v>930</v>
      </c>
      <c r="E134" s="34" t="s">
        <v>185</v>
      </c>
      <c r="F134" s="11"/>
      <c r="G134" s="11"/>
      <c r="H134" s="11"/>
      <c r="I134" s="11"/>
      <c r="J134" s="11"/>
      <c r="K134" s="11">
        <f>'Прил.№4 ведомств.'!G1135</f>
        <v>63.6</v>
      </c>
      <c r="L134" s="11">
        <f>'Прил.№4 ведомств.'!H1135</f>
        <v>63.6</v>
      </c>
      <c r="M134" s="7">
        <f t="shared" si="31"/>
        <v>100</v>
      </c>
    </row>
    <row r="135" spans="1:13" ht="33.75" customHeight="1">
      <c r="A135" s="254" t="s">
        <v>928</v>
      </c>
      <c r="B135" s="21" t="s">
        <v>169</v>
      </c>
      <c r="C135" s="21" t="s">
        <v>191</v>
      </c>
      <c r="D135" s="21" t="s">
        <v>927</v>
      </c>
      <c r="E135" s="34"/>
      <c r="F135" s="11" t="e">
        <f>F136</f>
        <v>#REF!</v>
      </c>
      <c r="G135" s="11" t="e">
        <f aca="true" t="shared" si="56" ref="G135:L136">G136</f>
        <v>#REF!</v>
      </c>
      <c r="H135" s="11" t="e">
        <f t="shared" si="56"/>
        <v>#REF!</v>
      </c>
      <c r="I135" s="11" t="e">
        <f t="shared" si="56"/>
        <v>#REF!</v>
      </c>
      <c r="J135" s="11" t="e">
        <f t="shared" si="56"/>
        <v>#REF!</v>
      </c>
      <c r="K135" s="11">
        <f t="shared" si="56"/>
        <v>15</v>
      </c>
      <c r="L135" s="11">
        <f t="shared" si="56"/>
        <v>11</v>
      </c>
      <c r="M135" s="7">
        <f t="shared" si="31"/>
        <v>73.33333333333333</v>
      </c>
    </row>
    <row r="136" spans="1:13" ht="31.5" customHeight="1">
      <c r="A136" s="26" t="s">
        <v>182</v>
      </c>
      <c r="B136" s="21" t="s">
        <v>169</v>
      </c>
      <c r="C136" s="21" t="s">
        <v>191</v>
      </c>
      <c r="D136" s="21" t="s">
        <v>927</v>
      </c>
      <c r="E136" s="34" t="s">
        <v>183</v>
      </c>
      <c r="F136" s="11" t="e">
        <f>F137</f>
        <v>#REF!</v>
      </c>
      <c r="G136" s="11" t="e">
        <f t="shared" si="56"/>
        <v>#REF!</v>
      </c>
      <c r="H136" s="11" t="e">
        <f t="shared" si="56"/>
        <v>#REF!</v>
      </c>
      <c r="I136" s="11" t="e">
        <f t="shared" si="56"/>
        <v>#REF!</v>
      </c>
      <c r="J136" s="11" t="e">
        <f t="shared" si="56"/>
        <v>#REF!</v>
      </c>
      <c r="K136" s="11">
        <f t="shared" si="56"/>
        <v>15</v>
      </c>
      <c r="L136" s="11">
        <f t="shared" si="56"/>
        <v>11</v>
      </c>
      <c r="M136" s="7">
        <f t="shared" si="31"/>
        <v>73.33333333333333</v>
      </c>
    </row>
    <row r="137" spans="1:13" ht="47.25" customHeight="1">
      <c r="A137" s="26" t="s">
        <v>184</v>
      </c>
      <c r="B137" s="21" t="s">
        <v>169</v>
      </c>
      <c r="C137" s="21" t="s">
        <v>191</v>
      </c>
      <c r="D137" s="21" t="s">
        <v>927</v>
      </c>
      <c r="E137" s="34" t="s">
        <v>185</v>
      </c>
      <c r="F137" s="11" t="e">
        <f>#REF!</f>
        <v>#REF!</v>
      </c>
      <c r="G137" s="11" t="e">
        <f>#REF!</f>
        <v>#REF!</v>
      </c>
      <c r="H137" s="11" t="e">
        <f>#REF!</f>
        <v>#REF!</v>
      </c>
      <c r="I137" s="11" t="e">
        <f>#REF!</f>
        <v>#REF!</v>
      </c>
      <c r="J137" s="11" t="e">
        <f>#REF!</f>
        <v>#REF!</v>
      </c>
      <c r="K137" s="11">
        <f>'Прил.№4 ведомств.'!G106</f>
        <v>15</v>
      </c>
      <c r="L137" s="11">
        <f>'Прил.№4 ведомств.'!H106</f>
        <v>11</v>
      </c>
      <c r="M137" s="7">
        <f t="shared" si="31"/>
        <v>73.33333333333333</v>
      </c>
    </row>
    <row r="138" spans="1:13" ht="47.25">
      <c r="A138" s="26" t="s">
        <v>943</v>
      </c>
      <c r="B138" s="21" t="s">
        <v>169</v>
      </c>
      <c r="C138" s="21" t="s">
        <v>191</v>
      </c>
      <c r="D138" s="21" t="s">
        <v>944</v>
      </c>
      <c r="E138" s="34"/>
      <c r="F138" s="11"/>
      <c r="G138" s="11"/>
      <c r="H138" s="11"/>
      <c r="I138" s="11"/>
      <c r="J138" s="11"/>
      <c r="K138" s="11">
        <f>K139</f>
        <v>4618.500000000001</v>
      </c>
      <c r="L138" s="11">
        <f>L139</f>
        <v>4485.2</v>
      </c>
      <c r="M138" s="7">
        <f t="shared" si="31"/>
        <v>97.11378153080003</v>
      </c>
    </row>
    <row r="139" spans="1:13" ht="47.25">
      <c r="A139" s="110" t="s">
        <v>323</v>
      </c>
      <c r="B139" s="21" t="s">
        <v>169</v>
      </c>
      <c r="C139" s="21" t="s">
        <v>191</v>
      </c>
      <c r="D139" s="21" t="s">
        <v>944</v>
      </c>
      <c r="E139" s="34" t="s">
        <v>324</v>
      </c>
      <c r="F139" s="11"/>
      <c r="G139" s="11"/>
      <c r="H139" s="11"/>
      <c r="I139" s="11"/>
      <c r="J139" s="11"/>
      <c r="K139" s="11">
        <f>K140</f>
        <v>4618.500000000001</v>
      </c>
      <c r="L139" s="11">
        <f>L140</f>
        <v>4485.2</v>
      </c>
      <c r="M139" s="7">
        <f t="shared" si="31"/>
        <v>97.11378153080003</v>
      </c>
    </row>
    <row r="140" spans="1:13" ht="15.75">
      <c r="A140" s="211" t="s">
        <v>325</v>
      </c>
      <c r="B140" s="21" t="s">
        <v>169</v>
      </c>
      <c r="C140" s="21" t="s">
        <v>191</v>
      </c>
      <c r="D140" s="21" t="s">
        <v>944</v>
      </c>
      <c r="E140" s="34" t="s">
        <v>326</v>
      </c>
      <c r="F140" s="11"/>
      <c r="G140" s="11"/>
      <c r="H140" s="11"/>
      <c r="I140" s="11"/>
      <c r="J140" s="11"/>
      <c r="K140" s="11">
        <f>'Прил.№4 ведомств.'!G282+'Прил.№4 ведомств.'!G596+'Прил.№4 ведомств.'!G788</f>
        <v>4618.500000000001</v>
      </c>
      <c r="L140" s="11">
        <f>'Прил.№4 ведомств.'!H282+'Прил.№4 ведомств.'!H596+'Прил.№4 ведомств.'!H788</f>
        <v>4485.2</v>
      </c>
      <c r="M140" s="7">
        <f aca="true" t="shared" si="57" ref="M140:M203">L140/K140*100</f>
        <v>97.11378153080003</v>
      </c>
    </row>
    <row r="141" spans="1:13" ht="63">
      <c r="A141" s="211" t="s">
        <v>946</v>
      </c>
      <c r="B141" s="21" t="s">
        <v>169</v>
      </c>
      <c r="C141" s="21" t="s">
        <v>191</v>
      </c>
      <c r="D141" s="21" t="s">
        <v>951</v>
      </c>
      <c r="E141" s="34"/>
      <c r="F141" s="11"/>
      <c r="G141" s="11"/>
      <c r="H141" s="11"/>
      <c r="I141" s="11"/>
      <c r="J141" s="11"/>
      <c r="K141" s="11">
        <f>K142</f>
        <v>67</v>
      </c>
      <c r="L141" s="11">
        <f aca="true" t="shared" si="58" ref="L141:L143">L142</f>
        <v>43.7</v>
      </c>
      <c r="M141" s="7">
        <f t="shared" si="57"/>
        <v>65.22388059701493</v>
      </c>
    </row>
    <row r="142" spans="1:13" ht="31.5">
      <c r="A142" s="211" t="s">
        <v>800</v>
      </c>
      <c r="B142" s="21" t="s">
        <v>169</v>
      </c>
      <c r="C142" s="21" t="s">
        <v>191</v>
      </c>
      <c r="D142" s="21" t="s">
        <v>947</v>
      </c>
      <c r="E142" s="34"/>
      <c r="F142" s="11"/>
      <c r="G142" s="11"/>
      <c r="H142" s="11"/>
      <c r="I142" s="11"/>
      <c r="J142" s="11"/>
      <c r="K142" s="11">
        <f>K143</f>
        <v>67</v>
      </c>
      <c r="L142" s="11">
        <f t="shared" si="58"/>
        <v>43.7</v>
      </c>
      <c r="M142" s="7">
        <f t="shared" si="57"/>
        <v>65.22388059701493</v>
      </c>
    </row>
    <row r="143" spans="1:13" ht="31.5">
      <c r="A143" s="211" t="s">
        <v>182</v>
      </c>
      <c r="B143" s="21" t="s">
        <v>169</v>
      </c>
      <c r="C143" s="21" t="s">
        <v>191</v>
      </c>
      <c r="D143" s="21" t="s">
        <v>947</v>
      </c>
      <c r="E143" s="34" t="s">
        <v>183</v>
      </c>
      <c r="F143" s="11"/>
      <c r="G143" s="11"/>
      <c r="H143" s="11"/>
      <c r="I143" s="11"/>
      <c r="J143" s="11"/>
      <c r="K143" s="11">
        <f>K144</f>
        <v>67</v>
      </c>
      <c r="L143" s="11">
        <f t="shared" si="58"/>
        <v>43.7</v>
      </c>
      <c r="M143" s="7">
        <f t="shared" si="57"/>
        <v>65.22388059701493</v>
      </c>
    </row>
    <row r="144" spans="1:13" ht="47.25">
      <c r="A144" s="211" t="s">
        <v>184</v>
      </c>
      <c r="B144" s="21" t="s">
        <v>169</v>
      </c>
      <c r="C144" s="21" t="s">
        <v>191</v>
      </c>
      <c r="D144" s="21" t="s">
        <v>947</v>
      </c>
      <c r="E144" s="34" t="s">
        <v>185</v>
      </c>
      <c r="F144" s="11"/>
      <c r="G144" s="11"/>
      <c r="H144" s="11"/>
      <c r="I144" s="11"/>
      <c r="J144" s="11"/>
      <c r="K144" s="11">
        <f>'Прил.№4 ведомств.'!G544</f>
        <v>67</v>
      </c>
      <c r="L144" s="11">
        <f>'Прил.№4 ведомств.'!H544</f>
        <v>43.7</v>
      </c>
      <c r="M144" s="7">
        <f t="shared" si="57"/>
        <v>65.22388059701493</v>
      </c>
    </row>
    <row r="145" spans="1:13" ht="15.75">
      <c r="A145" s="31" t="s">
        <v>172</v>
      </c>
      <c r="B145" s="42" t="s">
        <v>169</v>
      </c>
      <c r="C145" s="42" t="s">
        <v>191</v>
      </c>
      <c r="D145" s="42" t="s">
        <v>173</v>
      </c>
      <c r="E145" s="42"/>
      <c r="F145" s="7" t="e">
        <f aca="true" t="shared" si="59" ref="F145:K145">F146+F179+F200</f>
        <v>#REF!</v>
      </c>
      <c r="G145" s="7" t="e">
        <f t="shared" si="59"/>
        <v>#REF!</v>
      </c>
      <c r="H145" s="7" t="e">
        <f t="shared" si="59"/>
        <v>#REF!</v>
      </c>
      <c r="I145" s="7" t="e">
        <f t="shared" si="59"/>
        <v>#REF!</v>
      </c>
      <c r="J145" s="7" t="e">
        <f t="shared" si="59"/>
        <v>#REF!</v>
      </c>
      <c r="K145" s="7">
        <f t="shared" si="59"/>
        <v>57866.200000000004</v>
      </c>
      <c r="L145" s="7">
        <f>L146+L179+L200</f>
        <v>56143</v>
      </c>
      <c r="M145" s="7">
        <f t="shared" si="57"/>
        <v>97.02209580031175</v>
      </c>
    </row>
    <row r="146" spans="1:13" ht="31.5">
      <c r="A146" s="31" t="s">
        <v>236</v>
      </c>
      <c r="B146" s="42" t="s">
        <v>169</v>
      </c>
      <c r="C146" s="42" t="s">
        <v>191</v>
      </c>
      <c r="D146" s="42" t="s">
        <v>237</v>
      </c>
      <c r="E146" s="8"/>
      <c r="F146" s="11" t="e">
        <f>F155+F166+F169+F174+F150+F163+F160</f>
        <v>#REF!</v>
      </c>
      <c r="G146" s="11" t="e">
        <f>G155+G166+G169+G174+G150+G163+G160</f>
        <v>#REF!</v>
      </c>
      <c r="H146" s="11" t="e">
        <f>H155+H166+H169+H174+H150+H163+H160</f>
        <v>#REF!</v>
      </c>
      <c r="I146" s="11" t="e">
        <f>I155+I166+I169+I174+I150+I163+I160</f>
        <v>#REF!</v>
      </c>
      <c r="J146" s="11" t="e">
        <f>J155+J166+J169+J174+J150+J163+J160</f>
        <v>#REF!</v>
      </c>
      <c r="K146" s="11">
        <f>K155+K166+K169+K174+K150+K163+K160+K147</f>
        <v>4168.9</v>
      </c>
      <c r="L146" s="11">
        <f>L155+L166+L169+L174+L150+L163+L160+L147</f>
        <v>3643.2999999999997</v>
      </c>
      <c r="M146" s="7">
        <f t="shared" si="57"/>
        <v>87.3923576962748</v>
      </c>
    </row>
    <row r="147" spans="1:13" ht="31.5">
      <c r="A147" s="26" t="s">
        <v>982</v>
      </c>
      <c r="B147" s="42" t="s">
        <v>169</v>
      </c>
      <c r="C147" s="42" t="s">
        <v>191</v>
      </c>
      <c r="D147" s="42" t="s">
        <v>983</v>
      </c>
      <c r="E147" s="8"/>
      <c r="F147" s="11"/>
      <c r="G147" s="11"/>
      <c r="H147" s="11"/>
      <c r="I147" s="11"/>
      <c r="J147" s="11"/>
      <c r="K147" s="11">
        <f>K148</f>
        <v>670</v>
      </c>
      <c r="L147" s="11">
        <f>L148</f>
        <v>436.9</v>
      </c>
      <c r="M147" s="7">
        <f t="shared" si="57"/>
        <v>65.2089552238806</v>
      </c>
    </row>
    <row r="148" spans="1:13" ht="31.5">
      <c r="A148" s="26" t="s">
        <v>182</v>
      </c>
      <c r="B148" s="42" t="s">
        <v>169</v>
      </c>
      <c r="C148" s="42" t="s">
        <v>191</v>
      </c>
      <c r="D148" s="42" t="s">
        <v>983</v>
      </c>
      <c r="E148" s="42" t="s">
        <v>183</v>
      </c>
      <c r="F148" s="11"/>
      <c r="G148" s="11"/>
      <c r="H148" s="11"/>
      <c r="I148" s="11"/>
      <c r="J148" s="11"/>
      <c r="K148" s="11">
        <f>K149</f>
        <v>670</v>
      </c>
      <c r="L148" s="11">
        <f>L149</f>
        <v>436.9</v>
      </c>
      <c r="M148" s="7">
        <f t="shared" si="57"/>
        <v>65.2089552238806</v>
      </c>
    </row>
    <row r="149" spans="1:13" ht="47.25">
      <c r="A149" s="26" t="s">
        <v>184</v>
      </c>
      <c r="B149" s="42" t="s">
        <v>169</v>
      </c>
      <c r="C149" s="42" t="s">
        <v>191</v>
      </c>
      <c r="D149" s="42" t="s">
        <v>983</v>
      </c>
      <c r="E149" s="42" t="s">
        <v>185</v>
      </c>
      <c r="F149" s="11"/>
      <c r="G149" s="11"/>
      <c r="H149" s="11"/>
      <c r="I149" s="11"/>
      <c r="J149" s="11"/>
      <c r="K149" s="11">
        <f>'Прил.№4 ведомств.'!G549</f>
        <v>670</v>
      </c>
      <c r="L149" s="11">
        <f>'Прил.№4 ведомств.'!H549</f>
        <v>436.9</v>
      </c>
      <c r="M149" s="7">
        <f t="shared" si="57"/>
        <v>65.2089552238806</v>
      </c>
    </row>
    <row r="150" spans="1:13" ht="47.25" customHeight="1">
      <c r="A150" s="26" t="s">
        <v>238</v>
      </c>
      <c r="B150" s="42" t="s">
        <v>169</v>
      </c>
      <c r="C150" s="42" t="s">
        <v>191</v>
      </c>
      <c r="D150" s="42" t="s">
        <v>239</v>
      </c>
      <c r="E150" s="8"/>
      <c r="F150" s="11">
        <f aca="true" t="shared" si="60" ref="F150:L150">F151+F153</f>
        <v>0</v>
      </c>
      <c r="G150" s="11">
        <f t="shared" si="60"/>
        <v>0</v>
      </c>
      <c r="H150" s="11">
        <f t="shared" si="60"/>
        <v>0</v>
      </c>
      <c r="I150" s="11">
        <f t="shared" si="60"/>
        <v>0</v>
      </c>
      <c r="J150" s="11">
        <f t="shared" si="60"/>
        <v>0</v>
      </c>
      <c r="K150" s="11">
        <f t="shared" si="60"/>
        <v>41.2</v>
      </c>
      <c r="L150" s="11">
        <f t="shared" si="60"/>
        <v>41.2</v>
      </c>
      <c r="M150" s="7">
        <f t="shared" si="57"/>
        <v>100</v>
      </c>
    </row>
    <row r="151" spans="1:13" ht="78.75" customHeight="1" hidden="1">
      <c r="A151" s="26" t="s">
        <v>178</v>
      </c>
      <c r="B151" s="42" t="s">
        <v>169</v>
      </c>
      <c r="C151" s="42" t="s">
        <v>191</v>
      </c>
      <c r="D151" s="42" t="s">
        <v>239</v>
      </c>
      <c r="E151" s="42" t="s">
        <v>179</v>
      </c>
      <c r="F151" s="11">
        <f>F152</f>
        <v>0</v>
      </c>
      <c r="G151" s="11">
        <f aca="true" t="shared" si="61" ref="G151:L151">G152</f>
        <v>0</v>
      </c>
      <c r="H151" s="11">
        <f t="shared" si="61"/>
        <v>0</v>
      </c>
      <c r="I151" s="11">
        <f t="shared" si="61"/>
        <v>0</v>
      </c>
      <c r="J151" s="11">
        <f t="shared" si="61"/>
        <v>0</v>
      </c>
      <c r="K151" s="11">
        <f t="shared" si="61"/>
        <v>0</v>
      </c>
      <c r="L151" s="11">
        <f t="shared" si="61"/>
        <v>0</v>
      </c>
      <c r="M151" s="7" t="e">
        <f t="shared" si="57"/>
        <v>#DIV/0!</v>
      </c>
    </row>
    <row r="152" spans="1:13" ht="31.5" customHeight="1" hidden="1">
      <c r="A152" s="26" t="s">
        <v>180</v>
      </c>
      <c r="B152" s="42" t="s">
        <v>169</v>
      </c>
      <c r="C152" s="42" t="s">
        <v>191</v>
      </c>
      <c r="D152" s="42" t="s">
        <v>239</v>
      </c>
      <c r="E152" s="42" t="s">
        <v>181</v>
      </c>
      <c r="F152" s="11"/>
      <c r="G152" s="11"/>
      <c r="H152" s="11"/>
      <c r="I152" s="11"/>
      <c r="J152" s="11"/>
      <c r="K152" s="11">
        <f>'Прил.№4 ведомств.'!G111</f>
        <v>0</v>
      </c>
      <c r="L152" s="11">
        <f>'Прил.№4 ведомств.'!H111</f>
        <v>0</v>
      </c>
      <c r="M152" s="7" t="e">
        <f t="shared" si="57"/>
        <v>#DIV/0!</v>
      </c>
    </row>
    <row r="153" spans="1:13" ht="31.5" customHeight="1">
      <c r="A153" s="26" t="s">
        <v>182</v>
      </c>
      <c r="B153" s="42" t="s">
        <v>169</v>
      </c>
      <c r="C153" s="42" t="s">
        <v>191</v>
      </c>
      <c r="D153" s="42" t="s">
        <v>239</v>
      </c>
      <c r="E153" s="42" t="s">
        <v>183</v>
      </c>
      <c r="F153" s="11">
        <f>F154</f>
        <v>0</v>
      </c>
      <c r="G153" s="11">
        <f aca="true" t="shared" si="62" ref="G153:L153">G154</f>
        <v>0</v>
      </c>
      <c r="H153" s="11">
        <f t="shared" si="62"/>
        <v>0</v>
      </c>
      <c r="I153" s="11">
        <f t="shared" si="62"/>
        <v>0</v>
      </c>
      <c r="J153" s="11">
        <f t="shared" si="62"/>
        <v>0</v>
      </c>
      <c r="K153" s="11">
        <f t="shared" si="62"/>
        <v>41.2</v>
      </c>
      <c r="L153" s="11">
        <f t="shared" si="62"/>
        <v>41.2</v>
      </c>
      <c r="M153" s="7">
        <f t="shared" si="57"/>
        <v>100</v>
      </c>
    </row>
    <row r="154" spans="1:13" ht="47.25" customHeight="1">
      <c r="A154" s="26" t="s">
        <v>184</v>
      </c>
      <c r="B154" s="42" t="s">
        <v>169</v>
      </c>
      <c r="C154" s="42" t="s">
        <v>191</v>
      </c>
      <c r="D154" s="42" t="s">
        <v>239</v>
      </c>
      <c r="E154" s="42" t="s">
        <v>185</v>
      </c>
      <c r="F154" s="11"/>
      <c r="G154" s="11"/>
      <c r="H154" s="11"/>
      <c r="I154" s="11"/>
      <c r="J154" s="11"/>
      <c r="K154" s="11">
        <f>'Прил.№4 ведомств.'!G113</f>
        <v>41.2</v>
      </c>
      <c r="L154" s="11">
        <f>'Прил.№4 ведомств.'!H113</f>
        <v>41.2</v>
      </c>
      <c r="M154" s="7">
        <f t="shared" si="57"/>
        <v>100</v>
      </c>
    </row>
    <row r="155" spans="1:13" ht="47.25">
      <c r="A155" s="47" t="s">
        <v>240</v>
      </c>
      <c r="B155" s="42" t="s">
        <v>169</v>
      </c>
      <c r="C155" s="42" t="s">
        <v>191</v>
      </c>
      <c r="D155" s="42" t="s">
        <v>241</v>
      </c>
      <c r="E155" s="42"/>
      <c r="F155" s="7" t="e">
        <f>F156</f>
        <v>#REF!</v>
      </c>
      <c r="G155" s="7" t="e">
        <f aca="true" t="shared" si="63" ref="G155:L156">G156</f>
        <v>#REF!</v>
      </c>
      <c r="H155" s="7" t="e">
        <f t="shared" si="63"/>
        <v>#REF!</v>
      </c>
      <c r="I155" s="7" t="e">
        <f t="shared" si="63"/>
        <v>#REF!</v>
      </c>
      <c r="J155" s="7" t="e">
        <f t="shared" si="63"/>
        <v>#REF!</v>
      </c>
      <c r="K155" s="7">
        <f>K156+K158</f>
        <v>909.7</v>
      </c>
      <c r="L155" s="7">
        <f>L156+L158</f>
        <v>808.9</v>
      </c>
      <c r="M155" s="7">
        <f t="shared" si="57"/>
        <v>88.91942398592943</v>
      </c>
    </row>
    <row r="156" spans="1:13" ht="78.75">
      <c r="A156" s="31" t="s">
        <v>178</v>
      </c>
      <c r="B156" s="42" t="s">
        <v>169</v>
      </c>
      <c r="C156" s="42" t="s">
        <v>191</v>
      </c>
      <c r="D156" s="42" t="s">
        <v>241</v>
      </c>
      <c r="E156" s="42" t="s">
        <v>179</v>
      </c>
      <c r="F156" s="7" t="e">
        <f>F157</f>
        <v>#REF!</v>
      </c>
      <c r="G156" s="7" t="e">
        <f t="shared" si="63"/>
        <v>#REF!</v>
      </c>
      <c r="H156" s="7" t="e">
        <f t="shared" si="63"/>
        <v>#REF!</v>
      </c>
      <c r="I156" s="7" t="e">
        <f t="shared" si="63"/>
        <v>#REF!</v>
      </c>
      <c r="J156" s="7" t="e">
        <f t="shared" si="63"/>
        <v>#REF!</v>
      </c>
      <c r="K156" s="7">
        <f t="shared" si="63"/>
        <v>450.40000000000003</v>
      </c>
      <c r="L156" s="7">
        <f t="shared" si="63"/>
        <v>450.4</v>
      </c>
      <c r="M156" s="7">
        <f t="shared" si="57"/>
        <v>99.99999999999999</v>
      </c>
    </row>
    <row r="157" spans="1:13" ht="31.5">
      <c r="A157" s="31" t="s">
        <v>180</v>
      </c>
      <c r="B157" s="42" t="s">
        <v>169</v>
      </c>
      <c r="C157" s="42" t="s">
        <v>191</v>
      </c>
      <c r="D157" s="42" t="s">
        <v>241</v>
      </c>
      <c r="E157" s="42" t="s">
        <v>181</v>
      </c>
      <c r="F157" s="7" t="e">
        <f>#REF!</f>
        <v>#REF!</v>
      </c>
      <c r="G157" s="7" t="e">
        <f>#REF!</f>
        <v>#REF!</v>
      </c>
      <c r="H157" s="7" t="e">
        <f>#REF!</f>
        <v>#REF!</v>
      </c>
      <c r="I157" s="7" t="e">
        <f>#REF!</f>
        <v>#REF!</v>
      </c>
      <c r="J157" s="7" t="e">
        <f>#REF!</f>
        <v>#REF!</v>
      </c>
      <c r="K157" s="7">
        <f>'Прил.№4 ведомств.'!G116</f>
        <v>450.40000000000003</v>
      </c>
      <c r="L157" s="7">
        <f>'Прил.№4 ведомств.'!H116</f>
        <v>450.4</v>
      </c>
      <c r="M157" s="7">
        <f t="shared" si="57"/>
        <v>99.99999999999999</v>
      </c>
    </row>
    <row r="158" spans="1:13" ht="31.5">
      <c r="A158" s="26" t="s">
        <v>182</v>
      </c>
      <c r="B158" s="42" t="s">
        <v>169</v>
      </c>
      <c r="C158" s="42" t="s">
        <v>191</v>
      </c>
      <c r="D158" s="42" t="s">
        <v>241</v>
      </c>
      <c r="E158" s="42" t="s">
        <v>183</v>
      </c>
      <c r="F158" s="7"/>
      <c r="G158" s="7"/>
      <c r="H158" s="7"/>
      <c r="I158" s="7"/>
      <c r="J158" s="7"/>
      <c r="K158" s="7">
        <f>K159</f>
        <v>459.3</v>
      </c>
      <c r="L158" s="7">
        <f>L159</f>
        <v>358.5</v>
      </c>
      <c r="M158" s="7">
        <f t="shared" si="57"/>
        <v>78.05355976485957</v>
      </c>
    </row>
    <row r="159" spans="1:13" ht="47.25">
      <c r="A159" s="26" t="s">
        <v>184</v>
      </c>
      <c r="B159" s="42" t="s">
        <v>169</v>
      </c>
      <c r="C159" s="42" t="s">
        <v>191</v>
      </c>
      <c r="D159" s="42" t="s">
        <v>241</v>
      </c>
      <c r="E159" s="42" t="s">
        <v>185</v>
      </c>
      <c r="F159" s="7"/>
      <c r="G159" s="7"/>
      <c r="H159" s="7"/>
      <c r="I159" s="7"/>
      <c r="J159" s="7"/>
      <c r="K159" s="7">
        <f>'Прил.№4 ведомств.'!G118</f>
        <v>459.3</v>
      </c>
      <c r="L159" s="7">
        <f>'Прил.№4 ведомств.'!H118</f>
        <v>358.5</v>
      </c>
      <c r="M159" s="7">
        <f t="shared" si="57"/>
        <v>78.05355976485957</v>
      </c>
    </row>
    <row r="160" spans="1:13" ht="47.25" hidden="1">
      <c r="A160" s="37" t="s">
        <v>825</v>
      </c>
      <c r="B160" s="42" t="s">
        <v>169</v>
      </c>
      <c r="C160" s="42" t="s">
        <v>191</v>
      </c>
      <c r="D160" s="42" t="s">
        <v>824</v>
      </c>
      <c r="E160" s="42"/>
      <c r="F160" s="7" t="e">
        <f>F161</f>
        <v>#REF!</v>
      </c>
      <c r="G160" s="7" t="e">
        <f aca="true" t="shared" si="64" ref="G160:L161">G161</f>
        <v>#REF!</v>
      </c>
      <c r="H160" s="7" t="e">
        <f t="shared" si="64"/>
        <v>#REF!</v>
      </c>
      <c r="I160" s="7" t="e">
        <f t="shared" si="64"/>
        <v>#REF!</v>
      </c>
      <c r="J160" s="7" t="e">
        <f t="shared" si="64"/>
        <v>#REF!</v>
      </c>
      <c r="K160" s="7">
        <f t="shared" si="64"/>
        <v>0</v>
      </c>
      <c r="L160" s="7">
        <f t="shared" si="64"/>
        <v>0</v>
      </c>
      <c r="M160" s="7" t="e">
        <f t="shared" si="57"/>
        <v>#DIV/0!</v>
      </c>
    </row>
    <row r="161" spans="1:13" ht="31.5" hidden="1">
      <c r="A161" s="26" t="s">
        <v>182</v>
      </c>
      <c r="B161" s="42" t="s">
        <v>169</v>
      </c>
      <c r="C161" s="42" t="s">
        <v>191</v>
      </c>
      <c r="D161" s="42" t="s">
        <v>824</v>
      </c>
      <c r="E161" s="42" t="s">
        <v>183</v>
      </c>
      <c r="F161" s="7" t="e">
        <f>F162</f>
        <v>#REF!</v>
      </c>
      <c r="G161" s="7" t="e">
        <f t="shared" si="64"/>
        <v>#REF!</v>
      </c>
      <c r="H161" s="7" t="e">
        <f t="shared" si="64"/>
        <v>#REF!</v>
      </c>
      <c r="I161" s="7" t="e">
        <f t="shared" si="64"/>
        <v>#REF!</v>
      </c>
      <c r="J161" s="7" t="e">
        <f t="shared" si="64"/>
        <v>#REF!</v>
      </c>
      <c r="K161" s="7">
        <f t="shared" si="64"/>
        <v>0</v>
      </c>
      <c r="L161" s="7">
        <f t="shared" si="64"/>
        <v>0</v>
      </c>
      <c r="M161" s="7" t="e">
        <f t="shared" si="57"/>
        <v>#DIV/0!</v>
      </c>
    </row>
    <row r="162" spans="1:13" ht="47.25" hidden="1">
      <c r="A162" s="26" t="s">
        <v>184</v>
      </c>
      <c r="B162" s="42" t="s">
        <v>169</v>
      </c>
      <c r="C162" s="42" t="s">
        <v>191</v>
      </c>
      <c r="D162" s="42" t="s">
        <v>824</v>
      </c>
      <c r="E162" s="42" t="s">
        <v>185</v>
      </c>
      <c r="F162" s="7" t="e">
        <f>#REF!</f>
        <v>#REF!</v>
      </c>
      <c r="G162" s="7" t="e">
        <f>#REF!</f>
        <v>#REF!</v>
      </c>
      <c r="H162" s="7" t="e">
        <f>#REF!</f>
        <v>#REF!</v>
      </c>
      <c r="I162" s="7" t="e">
        <f>#REF!</f>
        <v>#REF!</v>
      </c>
      <c r="J162" s="7" t="e">
        <f>#REF!</f>
        <v>#REF!</v>
      </c>
      <c r="K162" s="7">
        <f>'Прил.№4 ведомств.'!G275</f>
        <v>0</v>
      </c>
      <c r="L162" s="7">
        <f>'Прил.№4 ведомств.'!H275</f>
        <v>0</v>
      </c>
      <c r="M162" s="7" t="e">
        <f t="shared" si="57"/>
        <v>#DIV/0!</v>
      </c>
    </row>
    <row r="163" spans="1:13" ht="63">
      <c r="A163" s="33" t="s">
        <v>773</v>
      </c>
      <c r="B163" s="42" t="s">
        <v>169</v>
      </c>
      <c r="C163" s="42" t="s">
        <v>191</v>
      </c>
      <c r="D163" s="21" t="s">
        <v>775</v>
      </c>
      <c r="E163" s="42"/>
      <c r="F163" s="7" t="e">
        <f>F164</f>
        <v>#REF!</v>
      </c>
      <c r="G163" s="7" t="e">
        <f aca="true" t="shared" si="65" ref="G163:L164">G164</f>
        <v>#REF!</v>
      </c>
      <c r="H163" s="7" t="e">
        <f t="shared" si="65"/>
        <v>#REF!</v>
      </c>
      <c r="I163" s="7" t="e">
        <f t="shared" si="65"/>
        <v>#REF!</v>
      </c>
      <c r="J163" s="7" t="e">
        <f t="shared" si="65"/>
        <v>#REF!</v>
      </c>
      <c r="K163" s="7">
        <f t="shared" si="65"/>
        <v>20.5</v>
      </c>
      <c r="L163" s="7">
        <f t="shared" si="65"/>
        <v>20.5</v>
      </c>
      <c r="M163" s="7">
        <f t="shared" si="57"/>
        <v>100</v>
      </c>
    </row>
    <row r="164" spans="1:13" ht="31.5">
      <c r="A164" s="26" t="s">
        <v>182</v>
      </c>
      <c r="B164" s="42" t="s">
        <v>169</v>
      </c>
      <c r="C164" s="42" t="s">
        <v>191</v>
      </c>
      <c r="D164" s="21" t="s">
        <v>775</v>
      </c>
      <c r="E164" s="42" t="s">
        <v>183</v>
      </c>
      <c r="F164" s="7" t="e">
        <f>F165</f>
        <v>#REF!</v>
      </c>
      <c r="G164" s="7" t="e">
        <f t="shared" si="65"/>
        <v>#REF!</v>
      </c>
      <c r="H164" s="7" t="e">
        <f t="shared" si="65"/>
        <v>#REF!</v>
      </c>
      <c r="I164" s="7" t="e">
        <f t="shared" si="65"/>
        <v>#REF!</v>
      </c>
      <c r="J164" s="7" t="e">
        <f t="shared" si="65"/>
        <v>#REF!</v>
      </c>
      <c r="K164" s="7">
        <f t="shared" si="65"/>
        <v>20.5</v>
      </c>
      <c r="L164" s="7">
        <f t="shared" si="65"/>
        <v>20.5</v>
      </c>
      <c r="M164" s="7">
        <f t="shared" si="57"/>
        <v>100</v>
      </c>
    </row>
    <row r="165" spans="1:13" ht="47.25">
      <c r="A165" s="26" t="s">
        <v>184</v>
      </c>
      <c r="B165" s="42" t="s">
        <v>169</v>
      </c>
      <c r="C165" s="42" t="s">
        <v>191</v>
      </c>
      <c r="D165" s="21" t="s">
        <v>775</v>
      </c>
      <c r="E165" s="42" t="s">
        <v>185</v>
      </c>
      <c r="F165" s="7" t="e">
        <f>#REF!</f>
        <v>#REF!</v>
      </c>
      <c r="G165" s="7" t="e">
        <f>#REF!</f>
        <v>#REF!</v>
      </c>
      <c r="H165" s="7" t="e">
        <f>#REF!</f>
        <v>#REF!</v>
      </c>
      <c r="I165" s="7" t="e">
        <f>#REF!</f>
        <v>#REF!</v>
      </c>
      <c r="J165" s="7" t="e">
        <f>#REF!</f>
        <v>#REF!</v>
      </c>
      <c r="K165" s="7">
        <f>'Прил.№4 ведомств.'!G1128</f>
        <v>20.5</v>
      </c>
      <c r="L165" s="7">
        <f>'Прил.№4 ведомств.'!H1128</f>
        <v>20.5</v>
      </c>
      <c r="M165" s="7">
        <f t="shared" si="57"/>
        <v>100</v>
      </c>
    </row>
    <row r="166" spans="1:13" ht="47.25" hidden="1">
      <c r="A166" s="35" t="s">
        <v>242</v>
      </c>
      <c r="B166" s="21" t="s">
        <v>169</v>
      </c>
      <c r="C166" s="21" t="s">
        <v>191</v>
      </c>
      <c r="D166" s="21" t="s">
        <v>243</v>
      </c>
      <c r="E166" s="21"/>
      <c r="F166" s="11" t="e">
        <f>F167</f>
        <v>#REF!</v>
      </c>
      <c r="G166" s="11" t="e">
        <f aca="true" t="shared" si="66" ref="G166:L167">G167</f>
        <v>#REF!</v>
      </c>
      <c r="H166" s="11" t="e">
        <f t="shared" si="66"/>
        <v>#REF!</v>
      </c>
      <c r="I166" s="11" t="e">
        <f t="shared" si="66"/>
        <v>#REF!</v>
      </c>
      <c r="J166" s="11" t="e">
        <f t="shared" si="66"/>
        <v>#REF!</v>
      </c>
      <c r="K166" s="11">
        <f t="shared" si="66"/>
        <v>0</v>
      </c>
      <c r="L166" s="11">
        <f t="shared" si="66"/>
        <v>0</v>
      </c>
      <c r="M166" s="7" t="e">
        <f t="shared" si="57"/>
        <v>#DIV/0!</v>
      </c>
    </row>
    <row r="167" spans="1:13" ht="31.5" hidden="1">
      <c r="A167" s="26" t="s">
        <v>182</v>
      </c>
      <c r="B167" s="21" t="s">
        <v>169</v>
      </c>
      <c r="C167" s="21" t="s">
        <v>191</v>
      </c>
      <c r="D167" s="21" t="s">
        <v>243</v>
      </c>
      <c r="E167" s="21" t="s">
        <v>183</v>
      </c>
      <c r="F167" s="11" t="e">
        <f>F168</f>
        <v>#REF!</v>
      </c>
      <c r="G167" s="11" t="e">
        <f t="shared" si="66"/>
        <v>#REF!</v>
      </c>
      <c r="H167" s="11" t="e">
        <f t="shared" si="66"/>
        <v>#REF!</v>
      </c>
      <c r="I167" s="11" t="e">
        <f t="shared" si="66"/>
        <v>#REF!</v>
      </c>
      <c r="J167" s="11" t="e">
        <f t="shared" si="66"/>
        <v>#REF!</v>
      </c>
      <c r="K167" s="11">
        <f t="shared" si="66"/>
        <v>0</v>
      </c>
      <c r="L167" s="11">
        <f t="shared" si="66"/>
        <v>0</v>
      </c>
      <c r="M167" s="7" t="e">
        <f t="shared" si="57"/>
        <v>#DIV/0!</v>
      </c>
    </row>
    <row r="168" spans="1:13" ht="47.25" hidden="1">
      <c r="A168" s="26" t="s">
        <v>184</v>
      </c>
      <c r="B168" s="21" t="s">
        <v>169</v>
      </c>
      <c r="C168" s="21" t="s">
        <v>191</v>
      </c>
      <c r="D168" s="21" t="s">
        <v>243</v>
      </c>
      <c r="E168" s="21" t="s">
        <v>185</v>
      </c>
      <c r="F168" s="11" t="e">
        <f>#REF!</f>
        <v>#REF!</v>
      </c>
      <c r="G168" s="11" t="e">
        <f>#REF!</f>
        <v>#REF!</v>
      </c>
      <c r="H168" s="11" t="e">
        <f>#REF!</f>
        <v>#REF!</v>
      </c>
      <c r="I168" s="11" t="e">
        <f>#REF!</f>
        <v>#REF!</v>
      </c>
      <c r="J168" s="11" t="e">
        <f>#REF!</f>
        <v>#REF!</v>
      </c>
      <c r="K168" s="11">
        <f>'Прил.№4 ведомств.'!G121</f>
        <v>0</v>
      </c>
      <c r="L168" s="11">
        <f>'Прил.№4 ведомств.'!H121</f>
        <v>0</v>
      </c>
      <c r="M168" s="7" t="e">
        <f t="shared" si="57"/>
        <v>#DIV/0!</v>
      </c>
    </row>
    <row r="169" spans="1:13" ht="47.25">
      <c r="A169" s="33" t="s">
        <v>245</v>
      </c>
      <c r="B169" s="42" t="s">
        <v>169</v>
      </c>
      <c r="C169" s="42" t="s">
        <v>191</v>
      </c>
      <c r="D169" s="42" t="s">
        <v>246</v>
      </c>
      <c r="E169" s="42"/>
      <c r="F169" s="7" t="e">
        <f>SUM(F170:F170)</f>
        <v>#REF!</v>
      </c>
      <c r="G169" s="7" t="e">
        <f>SUM(G170:G170)</f>
        <v>#REF!</v>
      </c>
      <c r="H169" s="7" t="e">
        <f>SUM(H170:H170)</f>
        <v>#REF!</v>
      </c>
      <c r="I169" s="7" t="e">
        <f>SUM(I170:I170)</f>
        <v>#REF!</v>
      </c>
      <c r="J169" s="7" t="e">
        <f>SUM(J170:J170)</f>
        <v>#REF!</v>
      </c>
      <c r="K169" s="7">
        <f>K170+K172</f>
        <v>1421.3</v>
      </c>
      <c r="L169" s="7">
        <f>L170+L172</f>
        <v>1384.8</v>
      </c>
      <c r="M169" s="7">
        <f t="shared" si="57"/>
        <v>97.4319285161472</v>
      </c>
    </row>
    <row r="170" spans="1:13" ht="78.75">
      <c r="A170" s="31" t="s">
        <v>178</v>
      </c>
      <c r="B170" s="42" t="s">
        <v>169</v>
      </c>
      <c r="C170" s="42" t="s">
        <v>191</v>
      </c>
      <c r="D170" s="42" t="s">
        <v>246</v>
      </c>
      <c r="E170" s="42" t="s">
        <v>179</v>
      </c>
      <c r="F170" s="7" t="e">
        <f>F171</f>
        <v>#REF!</v>
      </c>
      <c r="G170" s="7" t="e">
        <f aca="true" t="shared" si="67" ref="G170:L170">G171</f>
        <v>#REF!</v>
      </c>
      <c r="H170" s="7" t="e">
        <f t="shared" si="67"/>
        <v>#REF!</v>
      </c>
      <c r="I170" s="7" t="e">
        <f t="shared" si="67"/>
        <v>#REF!</v>
      </c>
      <c r="J170" s="7" t="e">
        <f t="shared" si="67"/>
        <v>#REF!</v>
      </c>
      <c r="K170" s="7">
        <f t="shared" si="67"/>
        <v>1316.1</v>
      </c>
      <c r="L170" s="7">
        <f t="shared" si="67"/>
        <v>1288</v>
      </c>
      <c r="M170" s="7">
        <f t="shared" si="57"/>
        <v>97.86490388268369</v>
      </c>
    </row>
    <row r="171" spans="1:13" ht="31.5">
      <c r="A171" s="31" t="s">
        <v>180</v>
      </c>
      <c r="B171" s="42" t="s">
        <v>169</v>
      </c>
      <c r="C171" s="42" t="s">
        <v>191</v>
      </c>
      <c r="D171" s="42" t="s">
        <v>246</v>
      </c>
      <c r="E171" s="42" t="s">
        <v>181</v>
      </c>
      <c r="F171" s="7" t="e">
        <f>#REF!</f>
        <v>#REF!</v>
      </c>
      <c r="G171" s="7" t="e">
        <f>#REF!</f>
        <v>#REF!</v>
      </c>
      <c r="H171" s="7" t="e">
        <f>#REF!</f>
        <v>#REF!</v>
      </c>
      <c r="I171" s="7" t="e">
        <f>#REF!</f>
        <v>#REF!</v>
      </c>
      <c r="J171" s="7" t="e">
        <f>#REF!</f>
        <v>#REF!</v>
      </c>
      <c r="K171" s="7">
        <f>'Прил.№4 ведомств.'!G127</f>
        <v>1316.1</v>
      </c>
      <c r="L171" s="7">
        <f>'Прил.№4 ведомств.'!H127</f>
        <v>1288</v>
      </c>
      <c r="M171" s="7">
        <f t="shared" si="57"/>
        <v>97.86490388268369</v>
      </c>
    </row>
    <row r="172" spans="1:13" ht="31.5">
      <c r="A172" s="26" t="s">
        <v>182</v>
      </c>
      <c r="B172" s="42" t="s">
        <v>169</v>
      </c>
      <c r="C172" s="42" t="s">
        <v>191</v>
      </c>
      <c r="D172" s="42" t="s">
        <v>246</v>
      </c>
      <c r="E172" s="42" t="s">
        <v>183</v>
      </c>
      <c r="F172" s="7"/>
      <c r="G172" s="7"/>
      <c r="H172" s="7"/>
      <c r="I172" s="7"/>
      <c r="J172" s="7"/>
      <c r="K172" s="7">
        <f>K173</f>
        <v>105.2</v>
      </c>
      <c r="L172" s="7">
        <f>L173</f>
        <v>96.8</v>
      </c>
      <c r="M172" s="7">
        <f t="shared" si="57"/>
        <v>92.01520912547528</v>
      </c>
    </row>
    <row r="173" spans="1:13" ht="47.25">
      <c r="A173" s="26" t="s">
        <v>184</v>
      </c>
      <c r="B173" s="42" t="s">
        <v>169</v>
      </c>
      <c r="C173" s="42" t="s">
        <v>191</v>
      </c>
      <c r="D173" s="42" t="s">
        <v>246</v>
      </c>
      <c r="E173" s="42" t="s">
        <v>185</v>
      </c>
      <c r="F173" s="7"/>
      <c r="G173" s="7"/>
      <c r="H173" s="7"/>
      <c r="I173" s="7"/>
      <c r="J173" s="7"/>
      <c r="K173" s="7">
        <f>'Прил.№4 ведомств.'!G129</f>
        <v>105.2</v>
      </c>
      <c r="L173" s="7">
        <f>'Прил.№4 ведомств.'!H129</f>
        <v>96.8</v>
      </c>
      <c r="M173" s="7">
        <f t="shared" si="57"/>
        <v>92.01520912547528</v>
      </c>
    </row>
    <row r="174" spans="1:13" ht="47.25">
      <c r="A174" s="47" t="s">
        <v>247</v>
      </c>
      <c r="B174" s="42" t="s">
        <v>169</v>
      </c>
      <c r="C174" s="42" t="s">
        <v>191</v>
      </c>
      <c r="D174" s="42" t="s">
        <v>248</v>
      </c>
      <c r="E174" s="42"/>
      <c r="F174" s="7" t="e">
        <f aca="true" t="shared" si="68" ref="F174:L174">F175+F177</f>
        <v>#REF!</v>
      </c>
      <c r="G174" s="7" t="e">
        <f t="shared" si="68"/>
        <v>#REF!</v>
      </c>
      <c r="H174" s="7" t="e">
        <f t="shared" si="68"/>
        <v>#REF!</v>
      </c>
      <c r="I174" s="7" t="e">
        <f t="shared" si="68"/>
        <v>#REF!</v>
      </c>
      <c r="J174" s="7" t="e">
        <f t="shared" si="68"/>
        <v>#REF!</v>
      </c>
      <c r="K174" s="7">
        <f t="shared" si="68"/>
        <v>1106.2</v>
      </c>
      <c r="L174" s="7">
        <f t="shared" si="68"/>
        <v>951</v>
      </c>
      <c r="M174" s="7">
        <f t="shared" si="57"/>
        <v>85.96998734406075</v>
      </c>
    </row>
    <row r="175" spans="1:13" ht="78.75">
      <c r="A175" s="31" t="s">
        <v>178</v>
      </c>
      <c r="B175" s="42" t="s">
        <v>169</v>
      </c>
      <c r="C175" s="42" t="s">
        <v>191</v>
      </c>
      <c r="D175" s="42" t="s">
        <v>248</v>
      </c>
      <c r="E175" s="42" t="s">
        <v>179</v>
      </c>
      <c r="F175" s="7" t="e">
        <f>F176</f>
        <v>#REF!</v>
      </c>
      <c r="G175" s="7" t="e">
        <f aca="true" t="shared" si="69" ref="G175:L175">G176</f>
        <v>#REF!</v>
      </c>
      <c r="H175" s="7" t="e">
        <f t="shared" si="69"/>
        <v>#REF!</v>
      </c>
      <c r="I175" s="7" t="e">
        <f t="shared" si="69"/>
        <v>#REF!</v>
      </c>
      <c r="J175" s="7" t="e">
        <f t="shared" si="69"/>
        <v>#REF!</v>
      </c>
      <c r="K175" s="7">
        <f t="shared" si="69"/>
        <v>1025.5</v>
      </c>
      <c r="L175" s="7">
        <f t="shared" si="69"/>
        <v>939</v>
      </c>
      <c r="M175" s="7">
        <f t="shared" si="57"/>
        <v>91.56509019990249</v>
      </c>
    </row>
    <row r="176" spans="1:13" ht="31.5">
      <c r="A176" s="31" t="s">
        <v>180</v>
      </c>
      <c r="B176" s="42" t="s">
        <v>169</v>
      </c>
      <c r="C176" s="42" t="s">
        <v>191</v>
      </c>
      <c r="D176" s="42" t="s">
        <v>248</v>
      </c>
      <c r="E176" s="42" t="s">
        <v>181</v>
      </c>
      <c r="F176" s="7" t="e">
        <f>#REF!</f>
        <v>#REF!</v>
      </c>
      <c r="G176" s="7" t="e">
        <f>#REF!</f>
        <v>#REF!</v>
      </c>
      <c r="H176" s="7" t="e">
        <f>#REF!</f>
        <v>#REF!</v>
      </c>
      <c r="I176" s="7" t="e">
        <f>#REF!</f>
        <v>#REF!</v>
      </c>
      <c r="J176" s="7" t="e">
        <f>#REF!</f>
        <v>#REF!</v>
      </c>
      <c r="K176" s="7">
        <f>'Прил.№4 ведомств.'!G132</f>
        <v>1025.5</v>
      </c>
      <c r="L176" s="7">
        <f>'Прил.№4 ведомств.'!H132</f>
        <v>939</v>
      </c>
      <c r="M176" s="7">
        <f t="shared" si="57"/>
        <v>91.56509019990249</v>
      </c>
    </row>
    <row r="177" spans="1:13" ht="31.5">
      <c r="A177" s="31" t="s">
        <v>182</v>
      </c>
      <c r="B177" s="42" t="s">
        <v>169</v>
      </c>
      <c r="C177" s="42" t="s">
        <v>191</v>
      </c>
      <c r="D177" s="42" t="s">
        <v>248</v>
      </c>
      <c r="E177" s="42" t="s">
        <v>183</v>
      </c>
      <c r="F177" s="7" t="e">
        <f>F178</f>
        <v>#REF!</v>
      </c>
      <c r="G177" s="7" t="e">
        <f aca="true" t="shared" si="70" ref="G177:L177">G178</f>
        <v>#REF!</v>
      </c>
      <c r="H177" s="7" t="e">
        <f t="shared" si="70"/>
        <v>#REF!</v>
      </c>
      <c r="I177" s="7" t="e">
        <f t="shared" si="70"/>
        <v>#REF!</v>
      </c>
      <c r="J177" s="7" t="e">
        <f t="shared" si="70"/>
        <v>#REF!</v>
      </c>
      <c r="K177" s="7">
        <f t="shared" si="70"/>
        <v>80.7</v>
      </c>
      <c r="L177" s="7">
        <f t="shared" si="70"/>
        <v>12</v>
      </c>
      <c r="M177" s="7">
        <f t="shared" si="57"/>
        <v>14.869888475836431</v>
      </c>
    </row>
    <row r="178" spans="1:13" ht="47.25">
      <c r="A178" s="31" t="s">
        <v>184</v>
      </c>
      <c r="B178" s="42" t="s">
        <v>169</v>
      </c>
      <c r="C178" s="42" t="s">
        <v>191</v>
      </c>
      <c r="D178" s="42" t="s">
        <v>248</v>
      </c>
      <c r="E178" s="42" t="s">
        <v>185</v>
      </c>
      <c r="F178" s="7" t="e">
        <f>#REF!</f>
        <v>#REF!</v>
      </c>
      <c r="G178" s="7" t="e">
        <f>#REF!</f>
        <v>#REF!</v>
      </c>
      <c r="H178" s="7" t="e">
        <f>#REF!</f>
        <v>#REF!</v>
      </c>
      <c r="I178" s="7" t="e">
        <f>#REF!</f>
        <v>#REF!</v>
      </c>
      <c r="J178" s="7" t="e">
        <f>#REF!</f>
        <v>#REF!</v>
      </c>
      <c r="K178" s="7">
        <f>'Прил.№4 ведомств.'!G134</f>
        <v>80.7</v>
      </c>
      <c r="L178" s="7">
        <f>'Прил.№4 ведомств.'!H134</f>
        <v>12</v>
      </c>
      <c r="M178" s="7">
        <f t="shared" si="57"/>
        <v>14.869888475836431</v>
      </c>
    </row>
    <row r="179" spans="1:13" ht="15.75">
      <c r="A179" s="31" t="s">
        <v>192</v>
      </c>
      <c r="B179" s="42" t="s">
        <v>169</v>
      </c>
      <c r="C179" s="42" t="s">
        <v>191</v>
      </c>
      <c r="D179" s="42" t="s">
        <v>193</v>
      </c>
      <c r="E179" s="42"/>
      <c r="F179" s="7" t="e">
        <f aca="true" t="shared" si="71" ref="F179:L179">F180+F183+F186+F191+F196</f>
        <v>#REF!</v>
      </c>
      <c r="G179" s="7" t="e">
        <f t="shared" si="71"/>
        <v>#REF!</v>
      </c>
      <c r="H179" s="7" t="e">
        <f t="shared" si="71"/>
        <v>#REF!</v>
      </c>
      <c r="I179" s="7" t="e">
        <f t="shared" si="71"/>
        <v>#REF!</v>
      </c>
      <c r="J179" s="7" t="e">
        <f t="shared" si="71"/>
        <v>#REF!</v>
      </c>
      <c r="K179" s="7">
        <f t="shared" si="71"/>
        <v>12331.199999999999</v>
      </c>
      <c r="L179" s="7">
        <f t="shared" si="71"/>
        <v>12031.900000000001</v>
      </c>
      <c r="M179" s="7">
        <f t="shared" si="57"/>
        <v>97.57282340729209</v>
      </c>
    </row>
    <row r="180" spans="1:13" ht="47.25">
      <c r="A180" s="31" t="s">
        <v>440</v>
      </c>
      <c r="B180" s="42" t="s">
        <v>169</v>
      </c>
      <c r="C180" s="42" t="s">
        <v>191</v>
      </c>
      <c r="D180" s="42" t="s">
        <v>441</v>
      </c>
      <c r="E180" s="42"/>
      <c r="F180" s="7" t="e">
        <f>F181</f>
        <v>#REF!</v>
      </c>
      <c r="G180" s="7" t="e">
        <f aca="true" t="shared" si="72" ref="G180:L181">G181</f>
        <v>#REF!</v>
      </c>
      <c r="H180" s="7" t="e">
        <f t="shared" si="72"/>
        <v>#REF!</v>
      </c>
      <c r="I180" s="7" t="e">
        <f t="shared" si="72"/>
        <v>#REF!</v>
      </c>
      <c r="J180" s="7" t="e">
        <f t="shared" si="72"/>
        <v>#REF!</v>
      </c>
      <c r="K180" s="7">
        <f t="shared" si="72"/>
        <v>5428.9</v>
      </c>
      <c r="L180" s="7">
        <f t="shared" si="72"/>
        <v>5201.4</v>
      </c>
      <c r="M180" s="7">
        <f t="shared" si="57"/>
        <v>95.80946416401113</v>
      </c>
    </row>
    <row r="181" spans="1:13" ht="31.5">
      <c r="A181" s="31" t="s">
        <v>182</v>
      </c>
      <c r="B181" s="42" t="s">
        <v>169</v>
      </c>
      <c r="C181" s="42" t="s">
        <v>191</v>
      </c>
      <c r="D181" s="42" t="s">
        <v>441</v>
      </c>
      <c r="E181" s="42" t="s">
        <v>183</v>
      </c>
      <c r="F181" s="63" t="e">
        <f>F182</f>
        <v>#REF!</v>
      </c>
      <c r="G181" s="63" t="e">
        <f t="shared" si="72"/>
        <v>#REF!</v>
      </c>
      <c r="H181" s="63" t="e">
        <f t="shared" si="72"/>
        <v>#REF!</v>
      </c>
      <c r="I181" s="63" t="e">
        <f t="shared" si="72"/>
        <v>#REF!</v>
      </c>
      <c r="J181" s="63" t="e">
        <f t="shared" si="72"/>
        <v>#REF!</v>
      </c>
      <c r="K181" s="63">
        <f t="shared" si="72"/>
        <v>5428.9</v>
      </c>
      <c r="L181" s="63">
        <f t="shared" si="72"/>
        <v>5201.4</v>
      </c>
      <c r="M181" s="7">
        <f t="shared" si="57"/>
        <v>95.80946416401113</v>
      </c>
    </row>
    <row r="182" spans="1:13" ht="47.25">
      <c r="A182" s="31" t="s">
        <v>184</v>
      </c>
      <c r="B182" s="42" t="s">
        <v>169</v>
      </c>
      <c r="C182" s="42" t="s">
        <v>191</v>
      </c>
      <c r="D182" s="42" t="s">
        <v>441</v>
      </c>
      <c r="E182" s="42" t="s">
        <v>185</v>
      </c>
      <c r="F182" s="63" t="e">
        <f>#REF!</f>
        <v>#REF!</v>
      </c>
      <c r="G182" s="63" t="e">
        <f>#REF!</f>
        <v>#REF!</v>
      </c>
      <c r="H182" s="63" t="e">
        <f>#REF!</f>
        <v>#REF!</v>
      </c>
      <c r="I182" s="63" t="e">
        <f>#REF!</f>
        <v>#REF!</v>
      </c>
      <c r="J182" s="63" t="e">
        <f>#REF!</f>
        <v>#REF!</v>
      </c>
      <c r="K182" s="63">
        <f>'Прил.№4 ведомств.'!G553</f>
        <v>5428.9</v>
      </c>
      <c r="L182" s="63">
        <f>'Прил.№4 ведомств.'!H553</f>
        <v>5201.4</v>
      </c>
      <c r="M182" s="7">
        <f t="shared" si="57"/>
        <v>95.80946416401113</v>
      </c>
    </row>
    <row r="183" spans="1:13" ht="15.75" hidden="1">
      <c r="A183" s="31" t="s">
        <v>230</v>
      </c>
      <c r="B183" s="42" t="s">
        <v>169</v>
      </c>
      <c r="C183" s="42" t="s">
        <v>191</v>
      </c>
      <c r="D183" s="42" t="s">
        <v>256</v>
      </c>
      <c r="E183" s="42"/>
      <c r="F183" s="7" t="e">
        <f>F184</f>
        <v>#REF!</v>
      </c>
      <c r="G183" s="7" t="e">
        <f aca="true" t="shared" si="73" ref="G183:L184">G184</f>
        <v>#REF!</v>
      </c>
      <c r="H183" s="7" t="e">
        <f t="shared" si="73"/>
        <v>#REF!</v>
      </c>
      <c r="I183" s="7" t="e">
        <f t="shared" si="73"/>
        <v>#REF!</v>
      </c>
      <c r="J183" s="7" t="e">
        <f t="shared" si="73"/>
        <v>#REF!</v>
      </c>
      <c r="K183" s="7">
        <f t="shared" si="73"/>
        <v>0</v>
      </c>
      <c r="L183" s="7">
        <f t="shared" si="73"/>
        <v>0</v>
      </c>
      <c r="M183" s="7" t="e">
        <f t="shared" si="57"/>
        <v>#DIV/0!</v>
      </c>
    </row>
    <row r="184" spans="1:13" ht="31.5" hidden="1">
      <c r="A184" s="31" t="s">
        <v>182</v>
      </c>
      <c r="B184" s="42" t="s">
        <v>169</v>
      </c>
      <c r="C184" s="42" t="s">
        <v>191</v>
      </c>
      <c r="D184" s="42" t="s">
        <v>256</v>
      </c>
      <c r="E184" s="42" t="s">
        <v>183</v>
      </c>
      <c r="F184" s="7" t="e">
        <f>F185</f>
        <v>#REF!</v>
      </c>
      <c r="G184" s="7" t="e">
        <f t="shared" si="73"/>
        <v>#REF!</v>
      </c>
      <c r="H184" s="7" t="e">
        <f t="shared" si="73"/>
        <v>#REF!</v>
      </c>
      <c r="I184" s="7" t="e">
        <f t="shared" si="73"/>
        <v>#REF!</v>
      </c>
      <c r="J184" s="7" t="e">
        <f t="shared" si="73"/>
        <v>#REF!</v>
      </c>
      <c r="K184" s="7">
        <f t="shared" si="73"/>
        <v>0</v>
      </c>
      <c r="L184" s="7">
        <f t="shared" si="73"/>
        <v>0</v>
      </c>
      <c r="M184" s="7" t="e">
        <f t="shared" si="57"/>
        <v>#DIV/0!</v>
      </c>
    </row>
    <row r="185" spans="1:13" ht="47.25" hidden="1">
      <c r="A185" s="31" t="s">
        <v>184</v>
      </c>
      <c r="B185" s="42" t="s">
        <v>169</v>
      </c>
      <c r="C185" s="42" t="s">
        <v>191</v>
      </c>
      <c r="D185" s="42" t="s">
        <v>256</v>
      </c>
      <c r="E185" s="42" t="s">
        <v>185</v>
      </c>
      <c r="F185" s="7" t="e">
        <f>#REF!</f>
        <v>#REF!</v>
      </c>
      <c r="G185" s="7" t="e">
        <f>#REF!</f>
        <v>#REF!</v>
      </c>
      <c r="H185" s="7" t="e">
        <f>#REF!</f>
        <v>#REF!</v>
      </c>
      <c r="I185" s="7" t="e">
        <f>#REF!</f>
        <v>#REF!</v>
      </c>
      <c r="J185" s="7" t="e">
        <f>#REF!</f>
        <v>#REF!</v>
      </c>
      <c r="K185" s="7">
        <f>'Прил.№4 ведомств.'!G592</f>
        <v>0</v>
      </c>
      <c r="L185" s="7">
        <f>'Прил.№4 ведомств.'!H592</f>
        <v>0</v>
      </c>
      <c r="M185" s="7" t="e">
        <f t="shared" si="57"/>
        <v>#DIV/0!</v>
      </c>
    </row>
    <row r="186" spans="1:13" ht="15.75">
      <c r="A186" s="31" t="s">
        <v>257</v>
      </c>
      <c r="B186" s="42" t="s">
        <v>169</v>
      </c>
      <c r="C186" s="42" t="s">
        <v>191</v>
      </c>
      <c r="D186" s="42" t="s">
        <v>258</v>
      </c>
      <c r="E186" s="42"/>
      <c r="F186" s="7" t="e">
        <f aca="true" t="shared" si="74" ref="F186:L186">F187+F189</f>
        <v>#REF!</v>
      </c>
      <c r="G186" s="7" t="e">
        <f t="shared" si="74"/>
        <v>#REF!</v>
      </c>
      <c r="H186" s="7" t="e">
        <f t="shared" si="74"/>
        <v>#REF!</v>
      </c>
      <c r="I186" s="7" t="e">
        <f t="shared" si="74"/>
        <v>#REF!</v>
      </c>
      <c r="J186" s="7" t="e">
        <f t="shared" si="74"/>
        <v>#REF!</v>
      </c>
      <c r="K186" s="7">
        <f t="shared" si="74"/>
        <v>6246.299999999999</v>
      </c>
      <c r="L186" s="7">
        <f t="shared" si="74"/>
        <v>6225.3</v>
      </c>
      <c r="M186" s="7">
        <f t="shared" si="57"/>
        <v>99.66380097017435</v>
      </c>
    </row>
    <row r="187" spans="1:13" ht="78.75">
      <c r="A187" s="31" t="s">
        <v>178</v>
      </c>
      <c r="B187" s="42" t="s">
        <v>169</v>
      </c>
      <c r="C187" s="42" t="s">
        <v>191</v>
      </c>
      <c r="D187" s="42" t="s">
        <v>258</v>
      </c>
      <c r="E187" s="42" t="s">
        <v>179</v>
      </c>
      <c r="F187" s="7" t="e">
        <f>F188</f>
        <v>#REF!</v>
      </c>
      <c r="G187" s="7" t="e">
        <f aca="true" t="shared" si="75" ref="G187:L187">G188</f>
        <v>#REF!</v>
      </c>
      <c r="H187" s="7" t="e">
        <f t="shared" si="75"/>
        <v>#REF!</v>
      </c>
      <c r="I187" s="7" t="e">
        <f t="shared" si="75"/>
        <v>#REF!</v>
      </c>
      <c r="J187" s="7" t="e">
        <f t="shared" si="75"/>
        <v>#REF!</v>
      </c>
      <c r="K187" s="7">
        <f t="shared" si="75"/>
        <v>5071.599999999999</v>
      </c>
      <c r="L187" s="7">
        <f t="shared" si="75"/>
        <v>5056.5</v>
      </c>
      <c r="M187" s="7">
        <f t="shared" si="57"/>
        <v>99.70226358545628</v>
      </c>
    </row>
    <row r="188" spans="1:13" ht="31.5">
      <c r="A188" s="26" t="s">
        <v>259</v>
      </c>
      <c r="B188" s="42" t="s">
        <v>169</v>
      </c>
      <c r="C188" s="42" t="s">
        <v>191</v>
      </c>
      <c r="D188" s="42" t="s">
        <v>258</v>
      </c>
      <c r="E188" s="42" t="s">
        <v>260</v>
      </c>
      <c r="F188" s="7" t="e">
        <f>#REF!</f>
        <v>#REF!</v>
      </c>
      <c r="G188" s="7" t="e">
        <f>#REF!</f>
        <v>#REF!</v>
      </c>
      <c r="H188" s="7" t="e">
        <f>#REF!</f>
        <v>#REF!</v>
      </c>
      <c r="I188" s="7" t="e">
        <f>#REF!</f>
        <v>#REF!</v>
      </c>
      <c r="J188" s="7" t="e">
        <f>#REF!</f>
        <v>#REF!</v>
      </c>
      <c r="K188" s="7">
        <f>'Прил.№4 ведомств.'!G150</f>
        <v>5071.599999999999</v>
      </c>
      <c r="L188" s="7">
        <f>'Прил.№4 ведомств.'!H150</f>
        <v>5056.5</v>
      </c>
      <c r="M188" s="7">
        <f t="shared" si="57"/>
        <v>99.70226358545628</v>
      </c>
    </row>
    <row r="189" spans="1:13" ht="31.5">
      <c r="A189" s="31" t="s">
        <v>182</v>
      </c>
      <c r="B189" s="42" t="s">
        <v>169</v>
      </c>
      <c r="C189" s="42" t="s">
        <v>191</v>
      </c>
      <c r="D189" s="42" t="s">
        <v>258</v>
      </c>
      <c r="E189" s="42" t="s">
        <v>183</v>
      </c>
      <c r="F189" s="63" t="e">
        <f>F190</f>
        <v>#REF!</v>
      </c>
      <c r="G189" s="63" t="e">
        <f aca="true" t="shared" si="76" ref="G189:L189">G190</f>
        <v>#REF!</v>
      </c>
      <c r="H189" s="63" t="e">
        <f t="shared" si="76"/>
        <v>#REF!</v>
      </c>
      <c r="I189" s="63" t="e">
        <f t="shared" si="76"/>
        <v>#REF!</v>
      </c>
      <c r="J189" s="63" t="e">
        <f t="shared" si="76"/>
        <v>#REF!</v>
      </c>
      <c r="K189" s="63">
        <f t="shared" si="76"/>
        <v>1174.7</v>
      </c>
      <c r="L189" s="63">
        <f t="shared" si="76"/>
        <v>1168.8</v>
      </c>
      <c r="M189" s="7">
        <f t="shared" si="57"/>
        <v>99.49774410487784</v>
      </c>
    </row>
    <row r="190" spans="1:13" ht="47.25">
      <c r="A190" s="31" t="s">
        <v>184</v>
      </c>
      <c r="B190" s="42" t="s">
        <v>169</v>
      </c>
      <c r="C190" s="42" t="s">
        <v>191</v>
      </c>
      <c r="D190" s="42" t="s">
        <v>258</v>
      </c>
      <c r="E190" s="42" t="s">
        <v>185</v>
      </c>
      <c r="F190" s="63" t="e">
        <f>#REF!</f>
        <v>#REF!</v>
      </c>
      <c r="G190" s="63" t="e">
        <f>#REF!</f>
        <v>#REF!</v>
      </c>
      <c r="H190" s="63" t="e">
        <f>#REF!</f>
        <v>#REF!</v>
      </c>
      <c r="I190" s="63" t="e">
        <f>#REF!</f>
        <v>#REF!</v>
      </c>
      <c r="J190" s="63" t="e">
        <f>#REF!</f>
        <v>#REF!</v>
      </c>
      <c r="K190" s="63">
        <f>'Прил.№4 ведомств.'!G152</f>
        <v>1174.7</v>
      </c>
      <c r="L190" s="63">
        <f>'Прил.№4 ведомств.'!H152</f>
        <v>1168.8</v>
      </c>
      <c r="M190" s="7">
        <f t="shared" si="57"/>
        <v>99.49774410487784</v>
      </c>
    </row>
    <row r="191" spans="1:13" ht="47.25" hidden="1">
      <c r="A191" s="31" t="s">
        <v>261</v>
      </c>
      <c r="B191" s="42" t="s">
        <v>169</v>
      </c>
      <c r="C191" s="42" t="s">
        <v>191</v>
      </c>
      <c r="D191" s="42" t="s">
        <v>262</v>
      </c>
      <c r="E191" s="42"/>
      <c r="F191" s="7" t="e">
        <f aca="true" t="shared" si="77" ref="F191:L191">F192+F194</f>
        <v>#REF!</v>
      </c>
      <c r="G191" s="7" t="e">
        <f t="shared" si="77"/>
        <v>#REF!</v>
      </c>
      <c r="H191" s="7" t="e">
        <f t="shared" si="77"/>
        <v>#REF!</v>
      </c>
      <c r="I191" s="7" t="e">
        <f t="shared" si="77"/>
        <v>#REF!</v>
      </c>
      <c r="J191" s="7" t="e">
        <f t="shared" si="77"/>
        <v>#REF!</v>
      </c>
      <c r="K191" s="7">
        <f t="shared" si="77"/>
        <v>0</v>
      </c>
      <c r="L191" s="7">
        <f t="shared" si="77"/>
        <v>0</v>
      </c>
      <c r="M191" s="7" t="e">
        <f t="shared" si="57"/>
        <v>#DIV/0!</v>
      </c>
    </row>
    <row r="192" spans="1:13" ht="78.75" hidden="1">
      <c r="A192" s="31" t="s">
        <v>178</v>
      </c>
      <c r="B192" s="42" t="s">
        <v>169</v>
      </c>
      <c r="C192" s="42" t="s">
        <v>191</v>
      </c>
      <c r="D192" s="42" t="s">
        <v>262</v>
      </c>
      <c r="E192" s="42" t="s">
        <v>179</v>
      </c>
      <c r="F192" s="63" t="e">
        <f>F193</f>
        <v>#REF!</v>
      </c>
      <c r="G192" s="63" t="e">
        <f aca="true" t="shared" si="78" ref="G192:L192">G193</f>
        <v>#REF!</v>
      </c>
      <c r="H192" s="63" t="e">
        <f t="shared" si="78"/>
        <v>#REF!</v>
      </c>
      <c r="I192" s="63" t="e">
        <f t="shared" si="78"/>
        <v>#REF!</v>
      </c>
      <c r="J192" s="63" t="e">
        <f t="shared" si="78"/>
        <v>#REF!</v>
      </c>
      <c r="K192" s="63">
        <f t="shared" si="78"/>
        <v>0</v>
      </c>
      <c r="L192" s="63">
        <f t="shared" si="78"/>
        <v>0</v>
      </c>
      <c r="M192" s="7" t="e">
        <f t="shared" si="57"/>
        <v>#DIV/0!</v>
      </c>
    </row>
    <row r="193" spans="1:13" ht="31.5" hidden="1">
      <c r="A193" s="31" t="s">
        <v>180</v>
      </c>
      <c r="B193" s="42" t="s">
        <v>169</v>
      </c>
      <c r="C193" s="42" t="s">
        <v>191</v>
      </c>
      <c r="D193" s="42" t="s">
        <v>262</v>
      </c>
      <c r="E193" s="42" t="s">
        <v>181</v>
      </c>
      <c r="F193" s="63" t="e">
        <f>#REF!</f>
        <v>#REF!</v>
      </c>
      <c r="G193" s="63" t="e">
        <f>#REF!</f>
        <v>#REF!</v>
      </c>
      <c r="H193" s="63" t="e">
        <f>#REF!</f>
        <v>#REF!</v>
      </c>
      <c r="I193" s="63" t="e">
        <f>#REF!</f>
        <v>#REF!</v>
      </c>
      <c r="J193" s="63" t="e">
        <f>#REF!</f>
        <v>#REF!</v>
      </c>
      <c r="K193" s="63">
        <f>'Прил.№4 ведомств.'!G155</f>
        <v>0</v>
      </c>
      <c r="L193" s="63">
        <f>'Прил.№4 ведомств.'!H155</f>
        <v>0</v>
      </c>
      <c r="M193" s="7" t="e">
        <f t="shared" si="57"/>
        <v>#DIV/0!</v>
      </c>
    </row>
    <row r="194" spans="1:13" ht="31.5" hidden="1">
      <c r="A194" s="31" t="s">
        <v>182</v>
      </c>
      <c r="B194" s="42" t="s">
        <v>169</v>
      </c>
      <c r="C194" s="42" t="s">
        <v>191</v>
      </c>
      <c r="D194" s="42" t="s">
        <v>262</v>
      </c>
      <c r="E194" s="42" t="s">
        <v>183</v>
      </c>
      <c r="F194" s="7" t="e">
        <f>F195</f>
        <v>#REF!</v>
      </c>
      <c r="G194" s="7" t="e">
        <f aca="true" t="shared" si="79" ref="G194:L194">G195</f>
        <v>#REF!</v>
      </c>
      <c r="H194" s="7" t="e">
        <f t="shared" si="79"/>
        <v>#REF!</v>
      </c>
      <c r="I194" s="7" t="e">
        <f t="shared" si="79"/>
        <v>#REF!</v>
      </c>
      <c r="J194" s="7" t="e">
        <f t="shared" si="79"/>
        <v>#REF!</v>
      </c>
      <c r="K194" s="7">
        <f t="shared" si="79"/>
        <v>0</v>
      </c>
      <c r="L194" s="7">
        <f t="shared" si="79"/>
        <v>0</v>
      </c>
      <c r="M194" s="7" t="e">
        <f t="shared" si="57"/>
        <v>#DIV/0!</v>
      </c>
    </row>
    <row r="195" spans="1:13" ht="47.25" hidden="1">
      <c r="A195" s="31" t="s">
        <v>184</v>
      </c>
      <c r="B195" s="42" t="s">
        <v>169</v>
      </c>
      <c r="C195" s="42" t="s">
        <v>191</v>
      </c>
      <c r="D195" s="42" t="s">
        <v>262</v>
      </c>
      <c r="E195" s="42" t="s">
        <v>185</v>
      </c>
      <c r="F195" s="63" t="e">
        <f>#REF!</f>
        <v>#REF!</v>
      </c>
      <c r="G195" s="63" t="e">
        <f>#REF!</f>
        <v>#REF!</v>
      </c>
      <c r="H195" s="63" t="e">
        <f>#REF!</f>
        <v>#REF!</v>
      </c>
      <c r="I195" s="63" t="e">
        <f>#REF!</f>
        <v>#REF!</v>
      </c>
      <c r="J195" s="63" t="e">
        <f>#REF!</f>
        <v>#REF!</v>
      </c>
      <c r="K195" s="63">
        <f>'Прил.№4 ведомств.'!G157</f>
        <v>0</v>
      </c>
      <c r="L195" s="63">
        <f>'Прил.№4 ведомств.'!H157</f>
        <v>0</v>
      </c>
      <c r="M195" s="7" t="e">
        <f t="shared" si="57"/>
        <v>#DIV/0!</v>
      </c>
    </row>
    <row r="196" spans="1:13" ht="15.75">
      <c r="A196" s="26" t="s">
        <v>194</v>
      </c>
      <c r="B196" s="42" t="s">
        <v>169</v>
      </c>
      <c r="C196" s="42" t="s">
        <v>191</v>
      </c>
      <c r="D196" s="42" t="s">
        <v>195</v>
      </c>
      <c r="E196" s="42"/>
      <c r="F196" s="63" t="e">
        <f>F197</f>
        <v>#REF!</v>
      </c>
      <c r="G196" s="63" t="e">
        <f aca="true" t="shared" si="80" ref="G196:L196">G197</f>
        <v>#REF!</v>
      </c>
      <c r="H196" s="63" t="e">
        <f t="shared" si="80"/>
        <v>#REF!</v>
      </c>
      <c r="I196" s="63" t="e">
        <f t="shared" si="80"/>
        <v>#REF!</v>
      </c>
      <c r="J196" s="63" t="e">
        <f t="shared" si="80"/>
        <v>#REF!</v>
      </c>
      <c r="K196" s="63">
        <f t="shared" si="80"/>
        <v>656</v>
      </c>
      <c r="L196" s="63">
        <f t="shared" si="80"/>
        <v>605.1999999999999</v>
      </c>
      <c r="M196" s="7">
        <f t="shared" si="57"/>
        <v>92.2560975609756</v>
      </c>
    </row>
    <row r="197" spans="1:13" ht="15.75">
      <c r="A197" s="26" t="s">
        <v>186</v>
      </c>
      <c r="B197" s="42" t="s">
        <v>169</v>
      </c>
      <c r="C197" s="42" t="s">
        <v>191</v>
      </c>
      <c r="D197" s="42" t="s">
        <v>195</v>
      </c>
      <c r="E197" s="42" t="s">
        <v>196</v>
      </c>
      <c r="F197" s="63" t="e">
        <f aca="true" t="shared" si="81" ref="F197:L197">F198+F199</f>
        <v>#REF!</v>
      </c>
      <c r="G197" s="63" t="e">
        <f t="shared" si="81"/>
        <v>#REF!</v>
      </c>
      <c r="H197" s="63" t="e">
        <f t="shared" si="81"/>
        <v>#REF!</v>
      </c>
      <c r="I197" s="63" t="e">
        <f t="shared" si="81"/>
        <v>#REF!</v>
      </c>
      <c r="J197" s="63" t="e">
        <f t="shared" si="81"/>
        <v>#REF!</v>
      </c>
      <c r="K197" s="63">
        <f t="shared" si="81"/>
        <v>656</v>
      </c>
      <c r="L197" s="63">
        <f t="shared" si="81"/>
        <v>605.1999999999999</v>
      </c>
      <c r="M197" s="7">
        <f t="shared" si="57"/>
        <v>92.2560975609756</v>
      </c>
    </row>
    <row r="198" spans="1:13" ht="15.75">
      <c r="A198" s="26" t="s">
        <v>197</v>
      </c>
      <c r="B198" s="42" t="s">
        <v>169</v>
      </c>
      <c r="C198" s="42" t="s">
        <v>191</v>
      </c>
      <c r="D198" s="42" t="s">
        <v>195</v>
      </c>
      <c r="E198" s="42" t="s">
        <v>198</v>
      </c>
      <c r="F198" s="63" t="e">
        <f>#REF!+#REF!</f>
        <v>#REF!</v>
      </c>
      <c r="G198" s="63" t="e">
        <f>#REF!+#REF!</f>
        <v>#REF!</v>
      </c>
      <c r="H198" s="63" t="e">
        <f>#REF!+#REF!</f>
        <v>#REF!</v>
      </c>
      <c r="I198" s="63" t="e">
        <f>#REF!+#REF!</f>
        <v>#REF!</v>
      </c>
      <c r="J198" s="63" t="e">
        <f>#REF!+#REF!</f>
        <v>#REF!</v>
      </c>
      <c r="K198" s="63">
        <f>'Прил.№4 ведомств.'!G556+'Прил.№4 ведомств.'!G160</f>
        <v>656</v>
      </c>
      <c r="L198" s="63">
        <f>'Прил.№4 ведомств.'!H556+'Прил.№4 ведомств.'!H160</f>
        <v>605.1999999999999</v>
      </c>
      <c r="M198" s="7">
        <f t="shared" si="57"/>
        <v>92.2560975609756</v>
      </c>
    </row>
    <row r="199" spans="1:13" ht="15.75" hidden="1">
      <c r="A199" s="26" t="s">
        <v>620</v>
      </c>
      <c r="B199" s="42" t="s">
        <v>169</v>
      </c>
      <c r="C199" s="42" t="s">
        <v>191</v>
      </c>
      <c r="D199" s="42" t="s">
        <v>195</v>
      </c>
      <c r="E199" s="21" t="s">
        <v>189</v>
      </c>
      <c r="F199" s="63" t="e">
        <f>#REF!</f>
        <v>#REF!</v>
      </c>
      <c r="G199" s="63" t="e">
        <f>#REF!</f>
        <v>#REF!</v>
      </c>
      <c r="H199" s="63" t="e">
        <f>#REF!</f>
        <v>#REF!</v>
      </c>
      <c r="I199" s="63" t="e">
        <f>#REF!</f>
        <v>#REF!</v>
      </c>
      <c r="J199" s="63" t="e">
        <f>#REF!</f>
        <v>#REF!</v>
      </c>
      <c r="K199" s="63">
        <f>'Прил.№4 ведомств.'!G879</f>
        <v>0</v>
      </c>
      <c r="L199" s="63">
        <f>'Прил.№4 ведомств.'!H879</f>
        <v>0</v>
      </c>
      <c r="M199" s="7" t="e">
        <f t="shared" si="57"/>
        <v>#DIV/0!</v>
      </c>
    </row>
    <row r="200" spans="1:13" ht="31.5">
      <c r="A200" s="26" t="s">
        <v>636</v>
      </c>
      <c r="B200" s="42" t="s">
        <v>169</v>
      </c>
      <c r="C200" s="42" t="s">
        <v>191</v>
      </c>
      <c r="D200" s="42" t="s">
        <v>637</v>
      </c>
      <c r="E200" s="21"/>
      <c r="F200" s="63" t="e">
        <f>F201</f>
        <v>#REF!</v>
      </c>
      <c r="G200" s="63" t="e">
        <f aca="true" t="shared" si="82" ref="G200:L200">G201</f>
        <v>#REF!</v>
      </c>
      <c r="H200" s="63" t="e">
        <f t="shared" si="82"/>
        <v>#REF!</v>
      </c>
      <c r="I200" s="63" t="e">
        <f t="shared" si="82"/>
        <v>#REF!</v>
      </c>
      <c r="J200" s="63" t="e">
        <f t="shared" si="82"/>
        <v>#REF!</v>
      </c>
      <c r="K200" s="63">
        <f t="shared" si="82"/>
        <v>41366.100000000006</v>
      </c>
      <c r="L200" s="63">
        <f t="shared" si="82"/>
        <v>40467.8</v>
      </c>
      <c r="M200" s="7">
        <f t="shared" si="57"/>
        <v>97.82841505483958</v>
      </c>
    </row>
    <row r="201" spans="1:13" ht="31.5">
      <c r="A201" s="26" t="s">
        <v>361</v>
      </c>
      <c r="B201" s="42" t="s">
        <v>169</v>
      </c>
      <c r="C201" s="42" t="s">
        <v>191</v>
      </c>
      <c r="D201" s="21" t="s">
        <v>638</v>
      </c>
      <c r="E201" s="21"/>
      <c r="F201" s="63" t="e">
        <f aca="true" t="shared" si="83" ref="F201:L201">F202+F204+F206</f>
        <v>#REF!</v>
      </c>
      <c r="G201" s="63" t="e">
        <f t="shared" si="83"/>
        <v>#REF!</v>
      </c>
      <c r="H201" s="63" t="e">
        <f t="shared" si="83"/>
        <v>#REF!</v>
      </c>
      <c r="I201" s="63" t="e">
        <f t="shared" si="83"/>
        <v>#REF!</v>
      </c>
      <c r="J201" s="63" t="e">
        <f t="shared" si="83"/>
        <v>#REF!</v>
      </c>
      <c r="K201" s="63">
        <f t="shared" si="83"/>
        <v>41366.100000000006</v>
      </c>
      <c r="L201" s="63">
        <f t="shared" si="83"/>
        <v>40467.8</v>
      </c>
      <c r="M201" s="7">
        <f t="shared" si="57"/>
        <v>97.82841505483958</v>
      </c>
    </row>
    <row r="202" spans="1:13" ht="78.75">
      <c r="A202" s="26" t="s">
        <v>178</v>
      </c>
      <c r="B202" s="42" t="s">
        <v>169</v>
      </c>
      <c r="C202" s="42" t="s">
        <v>191</v>
      </c>
      <c r="D202" s="21" t="s">
        <v>638</v>
      </c>
      <c r="E202" s="21" t="s">
        <v>179</v>
      </c>
      <c r="F202" s="63" t="e">
        <f>F203</f>
        <v>#REF!</v>
      </c>
      <c r="G202" s="63" t="e">
        <f aca="true" t="shared" si="84" ref="G202:L202">G203</f>
        <v>#REF!</v>
      </c>
      <c r="H202" s="63" t="e">
        <f t="shared" si="84"/>
        <v>#REF!</v>
      </c>
      <c r="I202" s="63" t="e">
        <f t="shared" si="84"/>
        <v>#REF!</v>
      </c>
      <c r="J202" s="63" t="e">
        <f t="shared" si="84"/>
        <v>#REF!</v>
      </c>
      <c r="K202" s="63">
        <f t="shared" si="84"/>
        <v>31889.4</v>
      </c>
      <c r="L202" s="63">
        <f t="shared" si="84"/>
        <v>31636.7</v>
      </c>
      <c r="M202" s="7">
        <f t="shared" si="57"/>
        <v>99.20757367651947</v>
      </c>
    </row>
    <row r="203" spans="1:13" ht="31.5">
      <c r="A203" s="48" t="s">
        <v>393</v>
      </c>
      <c r="B203" s="42" t="s">
        <v>169</v>
      </c>
      <c r="C203" s="42" t="s">
        <v>191</v>
      </c>
      <c r="D203" s="21" t="s">
        <v>638</v>
      </c>
      <c r="E203" s="21" t="s">
        <v>260</v>
      </c>
      <c r="F203" s="63" t="e">
        <f>#REF!</f>
        <v>#REF!</v>
      </c>
      <c r="G203" s="63" t="e">
        <f>#REF!</f>
        <v>#REF!</v>
      </c>
      <c r="H203" s="63" t="e">
        <f>#REF!</f>
        <v>#REF!</v>
      </c>
      <c r="I203" s="63" t="e">
        <f>#REF!</f>
        <v>#REF!</v>
      </c>
      <c r="J203" s="63" t="e">
        <f>#REF!</f>
        <v>#REF!</v>
      </c>
      <c r="K203" s="63">
        <f>'Прил.№4 ведомств.'!G883</f>
        <v>31889.4</v>
      </c>
      <c r="L203" s="63">
        <f>'Прил.№4 ведомств.'!H883</f>
        <v>31636.7</v>
      </c>
      <c r="M203" s="7">
        <f t="shared" si="57"/>
        <v>99.20757367651947</v>
      </c>
    </row>
    <row r="204" spans="1:13" ht="31.5">
      <c r="A204" s="26" t="s">
        <v>182</v>
      </c>
      <c r="B204" s="42" t="s">
        <v>169</v>
      </c>
      <c r="C204" s="42" t="s">
        <v>191</v>
      </c>
      <c r="D204" s="21" t="s">
        <v>638</v>
      </c>
      <c r="E204" s="21" t="s">
        <v>183</v>
      </c>
      <c r="F204" s="63" t="e">
        <f>F205</f>
        <v>#REF!</v>
      </c>
      <c r="G204" s="63" t="e">
        <f aca="true" t="shared" si="85" ref="G204:L204">G205</f>
        <v>#REF!</v>
      </c>
      <c r="H204" s="63" t="e">
        <f t="shared" si="85"/>
        <v>#REF!</v>
      </c>
      <c r="I204" s="63" t="e">
        <f t="shared" si="85"/>
        <v>#REF!</v>
      </c>
      <c r="J204" s="63" t="e">
        <f t="shared" si="85"/>
        <v>#REF!</v>
      </c>
      <c r="K204" s="63">
        <f t="shared" si="85"/>
        <v>9317.9</v>
      </c>
      <c r="L204" s="63">
        <f t="shared" si="85"/>
        <v>8673.8</v>
      </c>
      <c r="M204" s="7">
        <f aca="true" t="shared" si="86" ref="M204:M267">L204/K204*100</f>
        <v>93.08749825604481</v>
      </c>
    </row>
    <row r="205" spans="1:13" ht="47.25">
      <c r="A205" s="26" t="s">
        <v>184</v>
      </c>
      <c r="B205" s="42" t="s">
        <v>169</v>
      </c>
      <c r="C205" s="42" t="s">
        <v>191</v>
      </c>
      <c r="D205" s="21" t="s">
        <v>638</v>
      </c>
      <c r="E205" s="21" t="s">
        <v>185</v>
      </c>
      <c r="F205" s="63" t="e">
        <f>#REF!</f>
        <v>#REF!</v>
      </c>
      <c r="G205" s="63" t="e">
        <f>#REF!</f>
        <v>#REF!</v>
      </c>
      <c r="H205" s="63" t="e">
        <f>#REF!</f>
        <v>#REF!</v>
      </c>
      <c r="I205" s="63" t="e">
        <f>#REF!</f>
        <v>#REF!</v>
      </c>
      <c r="J205" s="63" t="e">
        <f>#REF!</f>
        <v>#REF!</v>
      </c>
      <c r="K205" s="63">
        <f>'Прил.№4 ведомств.'!G885</f>
        <v>9317.9</v>
      </c>
      <c r="L205" s="63">
        <f>'Прил.№4 ведомств.'!H885</f>
        <v>8673.8</v>
      </c>
      <c r="M205" s="7">
        <f t="shared" si="86"/>
        <v>93.08749825604481</v>
      </c>
    </row>
    <row r="206" spans="1:13" ht="15.75">
      <c r="A206" s="26" t="s">
        <v>186</v>
      </c>
      <c r="B206" s="42" t="s">
        <v>169</v>
      </c>
      <c r="C206" s="42" t="s">
        <v>191</v>
      </c>
      <c r="D206" s="21" t="s">
        <v>638</v>
      </c>
      <c r="E206" s="21" t="s">
        <v>196</v>
      </c>
      <c r="F206" s="63" t="e">
        <f>F207</f>
        <v>#REF!</v>
      </c>
      <c r="G206" s="63" t="e">
        <f aca="true" t="shared" si="87" ref="G206:L206">G207</f>
        <v>#REF!</v>
      </c>
      <c r="H206" s="63" t="e">
        <f t="shared" si="87"/>
        <v>#REF!</v>
      </c>
      <c r="I206" s="63" t="e">
        <f t="shared" si="87"/>
        <v>#REF!</v>
      </c>
      <c r="J206" s="63" t="e">
        <f t="shared" si="87"/>
        <v>#REF!</v>
      </c>
      <c r="K206" s="63">
        <f t="shared" si="87"/>
        <v>158.79999999999998</v>
      </c>
      <c r="L206" s="63">
        <f t="shared" si="87"/>
        <v>157.3</v>
      </c>
      <c r="M206" s="7">
        <f t="shared" si="86"/>
        <v>99.05541561712849</v>
      </c>
    </row>
    <row r="207" spans="1:13" ht="15.75">
      <c r="A207" s="26" t="s">
        <v>793</v>
      </c>
      <c r="B207" s="42" t="s">
        <v>169</v>
      </c>
      <c r="C207" s="42" t="s">
        <v>191</v>
      </c>
      <c r="D207" s="21" t="s">
        <v>638</v>
      </c>
      <c r="E207" s="21" t="s">
        <v>189</v>
      </c>
      <c r="F207" s="63" t="e">
        <f>#REF!</f>
        <v>#REF!</v>
      </c>
      <c r="G207" s="63" t="e">
        <f>#REF!</f>
        <v>#REF!</v>
      </c>
      <c r="H207" s="63" t="e">
        <f>#REF!</f>
        <v>#REF!</v>
      </c>
      <c r="I207" s="63" t="e">
        <f>#REF!</f>
        <v>#REF!</v>
      </c>
      <c r="J207" s="63" t="e">
        <f>#REF!</f>
        <v>#REF!</v>
      </c>
      <c r="K207" s="63">
        <f>'Прил.№4 ведомств.'!G887</f>
        <v>158.79999999999998</v>
      </c>
      <c r="L207" s="63">
        <f>'Прил.№4 ведомств.'!H887</f>
        <v>157.3</v>
      </c>
      <c r="M207" s="7">
        <f t="shared" si="86"/>
        <v>99.05541561712849</v>
      </c>
    </row>
    <row r="208" spans="1:13" ht="15.75" hidden="1">
      <c r="A208" s="24" t="s">
        <v>263</v>
      </c>
      <c r="B208" s="25" t="s">
        <v>264</v>
      </c>
      <c r="C208" s="25"/>
      <c r="D208" s="25"/>
      <c r="E208" s="25"/>
      <c r="F208" s="67" t="e">
        <f aca="true" t="shared" si="88" ref="F208:F213">F209</f>
        <v>#REF!</v>
      </c>
      <c r="G208" s="67" t="e">
        <f aca="true" t="shared" si="89" ref="G208:L213">G209</f>
        <v>#REF!</v>
      </c>
      <c r="H208" s="67" t="e">
        <f t="shared" si="89"/>
        <v>#REF!</v>
      </c>
      <c r="I208" s="67" t="e">
        <f t="shared" si="89"/>
        <v>#REF!</v>
      </c>
      <c r="J208" s="67" t="e">
        <f t="shared" si="89"/>
        <v>#REF!</v>
      </c>
      <c r="K208" s="67">
        <f t="shared" si="89"/>
        <v>0</v>
      </c>
      <c r="L208" s="67">
        <f t="shared" si="89"/>
        <v>0</v>
      </c>
      <c r="M208" s="4" t="e">
        <f t="shared" si="86"/>
        <v>#DIV/0!</v>
      </c>
    </row>
    <row r="209" spans="1:13" ht="31.5" hidden="1">
      <c r="A209" s="24" t="s">
        <v>269</v>
      </c>
      <c r="B209" s="25" t="s">
        <v>264</v>
      </c>
      <c r="C209" s="25" t="s">
        <v>270</v>
      </c>
      <c r="D209" s="25"/>
      <c r="E209" s="25"/>
      <c r="F209" s="63" t="e">
        <f t="shared" si="88"/>
        <v>#REF!</v>
      </c>
      <c r="G209" s="63" t="e">
        <f t="shared" si="89"/>
        <v>#REF!</v>
      </c>
      <c r="H209" s="63" t="e">
        <f t="shared" si="89"/>
        <v>#REF!</v>
      </c>
      <c r="I209" s="63" t="e">
        <f t="shared" si="89"/>
        <v>#REF!</v>
      </c>
      <c r="J209" s="63" t="e">
        <f t="shared" si="89"/>
        <v>#REF!</v>
      </c>
      <c r="K209" s="63">
        <f t="shared" si="89"/>
        <v>0</v>
      </c>
      <c r="L209" s="63">
        <f t="shared" si="89"/>
        <v>0</v>
      </c>
      <c r="M209" s="4" t="e">
        <f t="shared" si="86"/>
        <v>#DIV/0!</v>
      </c>
    </row>
    <row r="210" spans="1:13" ht="15.75" hidden="1">
      <c r="A210" s="26" t="s">
        <v>172</v>
      </c>
      <c r="B210" s="21" t="s">
        <v>264</v>
      </c>
      <c r="C210" s="21" t="s">
        <v>270</v>
      </c>
      <c r="D210" s="21" t="s">
        <v>173</v>
      </c>
      <c r="E210" s="21"/>
      <c r="F210" s="63" t="e">
        <f t="shared" si="88"/>
        <v>#REF!</v>
      </c>
      <c r="G210" s="63" t="e">
        <f t="shared" si="89"/>
        <v>#REF!</v>
      </c>
      <c r="H210" s="63" t="e">
        <f t="shared" si="89"/>
        <v>#REF!</v>
      </c>
      <c r="I210" s="63" t="e">
        <f t="shared" si="89"/>
        <v>#REF!</v>
      </c>
      <c r="J210" s="63" t="e">
        <f t="shared" si="89"/>
        <v>#REF!</v>
      </c>
      <c r="K210" s="63">
        <f t="shared" si="89"/>
        <v>0</v>
      </c>
      <c r="L210" s="63">
        <f t="shared" si="89"/>
        <v>0</v>
      </c>
      <c r="M210" s="4" t="e">
        <f t="shared" si="86"/>
        <v>#DIV/0!</v>
      </c>
    </row>
    <row r="211" spans="1:13" ht="15.75" hidden="1">
      <c r="A211" s="26" t="s">
        <v>192</v>
      </c>
      <c r="B211" s="21" t="s">
        <v>264</v>
      </c>
      <c r="C211" s="21" t="s">
        <v>270</v>
      </c>
      <c r="D211" s="21" t="s">
        <v>193</v>
      </c>
      <c r="E211" s="21"/>
      <c r="F211" s="63" t="e">
        <f t="shared" si="88"/>
        <v>#REF!</v>
      </c>
      <c r="G211" s="63" t="e">
        <f t="shared" si="89"/>
        <v>#REF!</v>
      </c>
      <c r="H211" s="63" t="e">
        <f t="shared" si="89"/>
        <v>#REF!</v>
      </c>
      <c r="I211" s="63" t="e">
        <f t="shared" si="89"/>
        <v>#REF!</v>
      </c>
      <c r="J211" s="63" t="e">
        <f t="shared" si="89"/>
        <v>#REF!</v>
      </c>
      <c r="K211" s="63">
        <f t="shared" si="89"/>
        <v>0</v>
      </c>
      <c r="L211" s="63">
        <f t="shared" si="89"/>
        <v>0</v>
      </c>
      <c r="M211" s="4" t="e">
        <f t="shared" si="86"/>
        <v>#DIV/0!</v>
      </c>
    </row>
    <row r="212" spans="1:13" ht="15.75" hidden="1">
      <c r="A212" s="26" t="s">
        <v>271</v>
      </c>
      <c r="B212" s="21" t="s">
        <v>264</v>
      </c>
      <c r="C212" s="21" t="s">
        <v>270</v>
      </c>
      <c r="D212" s="21" t="s">
        <v>272</v>
      </c>
      <c r="E212" s="21"/>
      <c r="F212" s="63" t="e">
        <f t="shared" si="88"/>
        <v>#REF!</v>
      </c>
      <c r="G212" s="63" t="e">
        <f t="shared" si="89"/>
        <v>#REF!</v>
      </c>
      <c r="H212" s="63" t="e">
        <f t="shared" si="89"/>
        <v>#REF!</v>
      </c>
      <c r="I212" s="63" t="e">
        <f t="shared" si="89"/>
        <v>#REF!</v>
      </c>
      <c r="J212" s="63" t="e">
        <f t="shared" si="89"/>
        <v>#REF!</v>
      </c>
      <c r="K212" s="63">
        <f t="shared" si="89"/>
        <v>0</v>
      </c>
      <c r="L212" s="63">
        <f t="shared" si="89"/>
        <v>0</v>
      </c>
      <c r="M212" s="4" t="e">
        <f t="shared" si="86"/>
        <v>#DIV/0!</v>
      </c>
    </row>
    <row r="213" spans="1:13" ht="31.5" hidden="1">
      <c r="A213" s="26" t="s">
        <v>249</v>
      </c>
      <c r="B213" s="21" t="s">
        <v>264</v>
      </c>
      <c r="C213" s="21" t="s">
        <v>270</v>
      </c>
      <c r="D213" s="21" t="s">
        <v>272</v>
      </c>
      <c r="E213" s="21" t="s">
        <v>183</v>
      </c>
      <c r="F213" s="63" t="e">
        <f t="shared" si="88"/>
        <v>#REF!</v>
      </c>
      <c r="G213" s="63" t="e">
        <f t="shared" si="89"/>
        <v>#REF!</v>
      </c>
      <c r="H213" s="63" t="e">
        <f t="shared" si="89"/>
        <v>#REF!</v>
      </c>
      <c r="I213" s="63" t="e">
        <f t="shared" si="89"/>
        <v>#REF!</v>
      </c>
      <c r="J213" s="63" t="e">
        <f t="shared" si="89"/>
        <v>#REF!</v>
      </c>
      <c r="K213" s="63">
        <f t="shared" si="89"/>
        <v>0</v>
      </c>
      <c r="L213" s="63">
        <f t="shared" si="89"/>
        <v>0</v>
      </c>
      <c r="M213" s="4" t="e">
        <f t="shared" si="86"/>
        <v>#DIV/0!</v>
      </c>
    </row>
    <row r="214" spans="1:13" ht="47.25" hidden="1">
      <c r="A214" s="26" t="s">
        <v>184</v>
      </c>
      <c r="B214" s="21" t="s">
        <v>264</v>
      </c>
      <c r="C214" s="21" t="s">
        <v>270</v>
      </c>
      <c r="D214" s="21" t="s">
        <v>272</v>
      </c>
      <c r="E214" s="21" t="s">
        <v>185</v>
      </c>
      <c r="F214" s="63" t="e">
        <f>#REF!</f>
        <v>#REF!</v>
      </c>
      <c r="G214" s="63" t="e">
        <f>#REF!</f>
        <v>#REF!</v>
      </c>
      <c r="H214" s="63" t="e">
        <f>#REF!</f>
        <v>#REF!</v>
      </c>
      <c r="I214" s="63" t="e">
        <f>#REF!</f>
        <v>#REF!</v>
      </c>
      <c r="J214" s="63" t="e">
        <f>#REF!</f>
        <v>#REF!</v>
      </c>
      <c r="K214" s="63">
        <f>'Прил.№4 ведомств.'!G167</f>
        <v>0</v>
      </c>
      <c r="L214" s="63">
        <f>'Прил.№4 ведомств.'!H167</f>
        <v>0</v>
      </c>
      <c r="M214" s="4" t="e">
        <f t="shared" si="86"/>
        <v>#DIV/0!</v>
      </c>
    </row>
    <row r="215" spans="1:13" ht="31.5">
      <c r="A215" s="43" t="s">
        <v>273</v>
      </c>
      <c r="B215" s="8" t="s">
        <v>266</v>
      </c>
      <c r="C215" s="8"/>
      <c r="D215" s="8"/>
      <c r="E215" s="8"/>
      <c r="F215" s="4" t="e">
        <f>F216</f>
        <v>#REF!</v>
      </c>
      <c r="G215" s="4" t="e">
        <f aca="true" t="shared" si="90" ref="G215:L217">G216</f>
        <v>#REF!</v>
      </c>
      <c r="H215" s="4" t="e">
        <f t="shared" si="90"/>
        <v>#REF!</v>
      </c>
      <c r="I215" s="4" t="e">
        <f t="shared" si="90"/>
        <v>#REF!</v>
      </c>
      <c r="J215" s="4" t="e">
        <f t="shared" si="90"/>
        <v>#REF!</v>
      </c>
      <c r="K215" s="4">
        <f t="shared" si="90"/>
        <v>5701.9</v>
      </c>
      <c r="L215" s="4">
        <f t="shared" si="90"/>
        <v>5614.1</v>
      </c>
      <c r="M215" s="4">
        <f t="shared" si="86"/>
        <v>98.46016240200636</v>
      </c>
    </row>
    <row r="216" spans="1:15" ht="47.25">
      <c r="A216" s="43" t="s">
        <v>274</v>
      </c>
      <c r="B216" s="8" t="s">
        <v>266</v>
      </c>
      <c r="C216" s="8" t="s">
        <v>270</v>
      </c>
      <c r="D216" s="42"/>
      <c r="E216" s="42"/>
      <c r="F216" s="4" t="e">
        <f>F217</f>
        <v>#REF!</v>
      </c>
      <c r="G216" s="4" t="e">
        <f t="shared" si="90"/>
        <v>#REF!</v>
      </c>
      <c r="H216" s="4" t="e">
        <f t="shared" si="90"/>
        <v>#REF!</v>
      </c>
      <c r="I216" s="4" t="e">
        <f t="shared" si="90"/>
        <v>#REF!</v>
      </c>
      <c r="J216" s="4" t="e">
        <f t="shared" si="90"/>
        <v>#REF!</v>
      </c>
      <c r="K216" s="4">
        <f t="shared" si="90"/>
        <v>5701.9</v>
      </c>
      <c r="L216" s="4">
        <f t="shared" si="90"/>
        <v>5614.1</v>
      </c>
      <c r="M216" s="4">
        <f t="shared" si="86"/>
        <v>98.46016240200636</v>
      </c>
      <c r="N216" s="23"/>
      <c r="O216" s="23"/>
    </row>
    <row r="217" spans="1:13" ht="15.75">
      <c r="A217" s="31" t="s">
        <v>172</v>
      </c>
      <c r="B217" s="42" t="s">
        <v>266</v>
      </c>
      <c r="C217" s="42" t="s">
        <v>270</v>
      </c>
      <c r="D217" s="42" t="s">
        <v>173</v>
      </c>
      <c r="E217" s="42"/>
      <c r="F217" s="7" t="e">
        <f>F218</f>
        <v>#REF!</v>
      </c>
      <c r="G217" s="7" t="e">
        <f t="shared" si="90"/>
        <v>#REF!</v>
      </c>
      <c r="H217" s="7" t="e">
        <f t="shared" si="90"/>
        <v>#REF!</v>
      </c>
      <c r="I217" s="7" t="e">
        <f t="shared" si="90"/>
        <v>#REF!</v>
      </c>
      <c r="J217" s="7" t="e">
        <f t="shared" si="90"/>
        <v>#REF!</v>
      </c>
      <c r="K217" s="7">
        <f t="shared" si="90"/>
        <v>5701.9</v>
      </c>
      <c r="L217" s="7">
        <f t="shared" si="90"/>
        <v>5614.1</v>
      </c>
      <c r="M217" s="7">
        <f t="shared" si="86"/>
        <v>98.46016240200636</v>
      </c>
    </row>
    <row r="218" spans="1:13" ht="15.75">
      <c r="A218" s="31" t="s">
        <v>192</v>
      </c>
      <c r="B218" s="42" t="s">
        <v>266</v>
      </c>
      <c r="C218" s="42" t="s">
        <v>270</v>
      </c>
      <c r="D218" s="42" t="s">
        <v>193</v>
      </c>
      <c r="E218" s="42"/>
      <c r="F218" s="7" t="e">
        <f aca="true" t="shared" si="91" ref="F218:L218">F219+F225+F230+F222</f>
        <v>#REF!</v>
      </c>
      <c r="G218" s="7" t="e">
        <f t="shared" si="91"/>
        <v>#REF!</v>
      </c>
      <c r="H218" s="7" t="e">
        <f t="shared" si="91"/>
        <v>#REF!</v>
      </c>
      <c r="I218" s="7" t="e">
        <f t="shared" si="91"/>
        <v>#REF!</v>
      </c>
      <c r="J218" s="7" t="e">
        <f t="shared" si="91"/>
        <v>#REF!</v>
      </c>
      <c r="K218" s="7">
        <f t="shared" si="91"/>
        <v>5701.9</v>
      </c>
      <c r="L218" s="7">
        <f t="shared" si="91"/>
        <v>5614.1</v>
      </c>
      <c r="M218" s="7">
        <f t="shared" si="86"/>
        <v>98.46016240200636</v>
      </c>
    </row>
    <row r="219" spans="1:13" ht="47.25">
      <c r="A219" s="31" t="s">
        <v>275</v>
      </c>
      <c r="B219" s="42" t="s">
        <v>266</v>
      </c>
      <c r="C219" s="42" t="s">
        <v>270</v>
      </c>
      <c r="D219" s="42" t="s">
        <v>276</v>
      </c>
      <c r="E219" s="42"/>
      <c r="F219" s="7" t="e">
        <f>F220</f>
        <v>#REF!</v>
      </c>
      <c r="G219" s="7" t="e">
        <f aca="true" t="shared" si="92" ref="G219:L220">G220</f>
        <v>#REF!</v>
      </c>
      <c r="H219" s="7" t="e">
        <f t="shared" si="92"/>
        <v>#REF!</v>
      </c>
      <c r="I219" s="7" t="e">
        <f t="shared" si="92"/>
        <v>#REF!</v>
      </c>
      <c r="J219" s="7" t="e">
        <f t="shared" si="92"/>
        <v>#REF!</v>
      </c>
      <c r="K219" s="7">
        <f t="shared" si="92"/>
        <v>367.9</v>
      </c>
      <c r="L219" s="7">
        <f t="shared" si="92"/>
        <v>363.8</v>
      </c>
      <c r="M219" s="7">
        <f t="shared" si="86"/>
        <v>98.8855667300897</v>
      </c>
    </row>
    <row r="220" spans="1:13" ht="31.5">
      <c r="A220" s="31" t="s">
        <v>182</v>
      </c>
      <c r="B220" s="42" t="s">
        <v>266</v>
      </c>
      <c r="C220" s="42" t="s">
        <v>270</v>
      </c>
      <c r="D220" s="42" t="s">
        <v>276</v>
      </c>
      <c r="E220" s="42" t="s">
        <v>183</v>
      </c>
      <c r="F220" s="7" t="e">
        <f>F221</f>
        <v>#REF!</v>
      </c>
      <c r="G220" s="7" t="e">
        <f t="shared" si="92"/>
        <v>#REF!</v>
      </c>
      <c r="H220" s="7" t="e">
        <f t="shared" si="92"/>
        <v>#REF!</v>
      </c>
      <c r="I220" s="7" t="e">
        <f t="shared" si="92"/>
        <v>#REF!</v>
      </c>
      <c r="J220" s="7" t="e">
        <f t="shared" si="92"/>
        <v>#REF!</v>
      </c>
      <c r="K220" s="7">
        <f t="shared" si="92"/>
        <v>367.9</v>
      </c>
      <c r="L220" s="7">
        <f t="shared" si="92"/>
        <v>363.8</v>
      </c>
      <c r="M220" s="7">
        <f t="shared" si="86"/>
        <v>98.8855667300897</v>
      </c>
    </row>
    <row r="221" spans="1:13" ht="47.25">
      <c r="A221" s="31" t="s">
        <v>184</v>
      </c>
      <c r="B221" s="42" t="s">
        <v>266</v>
      </c>
      <c r="C221" s="42" t="s">
        <v>270</v>
      </c>
      <c r="D221" s="42" t="s">
        <v>276</v>
      </c>
      <c r="E221" s="42" t="s">
        <v>185</v>
      </c>
      <c r="F221" s="122" t="e">
        <f>#REF!</f>
        <v>#REF!</v>
      </c>
      <c r="G221" s="122" t="e">
        <f>#REF!</f>
        <v>#REF!</v>
      </c>
      <c r="H221" s="122" t="e">
        <f>#REF!</f>
        <v>#REF!</v>
      </c>
      <c r="I221" s="122" t="e">
        <f>#REF!</f>
        <v>#REF!</v>
      </c>
      <c r="J221" s="122" t="e">
        <f>#REF!</f>
        <v>#REF!</v>
      </c>
      <c r="K221" s="122">
        <f>'Прил.№4 ведомств.'!G174</f>
        <v>367.9</v>
      </c>
      <c r="L221" s="122">
        <f>'Прил.№4 ведомств.'!H174</f>
        <v>363.8</v>
      </c>
      <c r="M221" s="7">
        <f t="shared" si="86"/>
        <v>98.8855667300897</v>
      </c>
    </row>
    <row r="222" spans="1:13" ht="15.75" hidden="1">
      <c r="A222" s="26" t="s">
        <v>277</v>
      </c>
      <c r="B222" s="21" t="s">
        <v>266</v>
      </c>
      <c r="C222" s="21" t="s">
        <v>270</v>
      </c>
      <c r="D222" s="21" t="s">
        <v>278</v>
      </c>
      <c r="E222" s="21"/>
      <c r="F222" s="122" t="e">
        <f>F223</f>
        <v>#REF!</v>
      </c>
      <c r="G222" s="122" t="e">
        <f aca="true" t="shared" si="93" ref="G222:L223">G223</f>
        <v>#REF!</v>
      </c>
      <c r="H222" s="122" t="e">
        <f t="shared" si="93"/>
        <v>#REF!</v>
      </c>
      <c r="I222" s="122" t="e">
        <f t="shared" si="93"/>
        <v>#REF!</v>
      </c>
      <c r="J222" s="122" t="e">
        <f t="shared" si="93"/>
        <v>#REF!</v>
      </c>
      <c r="K222" s="122">
        <f t="shared" si="93"/>
        <v>0</v>
      </c>
      <c r="L222" s="122">
        <f t="shared" si="93"/>
        <v>0</v>
      </c>
      <c r="M222" s="7" t="e">
        <f t="shared" si="86"/>
        <v>#DIV/0!</v>
      </c>
    </row>
    <row r="223" spans="1:13" ht="31.5" hidden="1">
      <c r="A223" s="26" t="s">
        <v>249</v>
      </c>
      <c r="B223" s="21" t="s">
        <v>266</v>
      </c>
      <c r="C223" s="21" t="s">
        <v>270</v>
      </c>
      <c r="D223" s="21" t="s">
        <v>278</v>
      </c>
      <c r="E223" s="21" t="s">
        <v>183</v>
      </c>
      <c r="F223" s="122" t="e">
        <f>F224</f>
        <v>#REF!</v>
      </c>
      <c r="G223" s="122" t="e">
        <f t="shared" si="93"/>
        <v>#REF!</v>
      </c>
      <c r="H223" s="122" t="e">
        <f t="shared" si="93"/>
        <v>#REF!</v>
      </c>
      <c r="I223" s="122" t="e">
        <f t="shared" si="93"/>
        <v>#REF!</v>
      </c>
      <c r="J223" s="122" t="e">
        <f t="shared" si="93"/>
        <v>#REF!</v>
      </c>
      <c r="K223" s="122">
        <f t="shared" si="93"/>
        <v>0</v>
      </c>
      <c r="L223" s="122">
        <f t="shared" si="93"/>
        <v>0</v>
      </c>
      <c r="M223" s="7" t="e">
        <f t="shared" si="86"/>
        <v>#DIV/0!</v>
      </c>
    </row>
    <row r="224" spans="1:13" ht="47.25" hidden="1">
      <c r="A224" s="26" t="s">
        <v>184</v>
      </c>
      <c r="B224" s="21" t="s">
        <v>266</v>
      </c>
      <c r="C224" s="21" t="s">
        <v>270</v>
      </c>
      <c r="D224" s="21" t="s">
        <v>278</v>
      </c>
      <c r="E224" s="21" t="s">
        <v>185</v>
      </c>
      <c r="F224" s="122" t="e">
        <f>#REF!</f>
        <v>#REF!</v>
      </c>
      <c r="G224" s="122" t="e">
        <f>#REF!</f>
        <v>#REF!</v>
      </c>
      <c r="H224" s="122" t="e">
        <f>#REF!</f>
        <v>#REF!</v>
      </c>
      <c r="I224" s="122" t="e">
        <f>#REF!</f>
        <v>#REF!</v>
      </c>
      <c r="J224" s="122" t="e">
        <f>#REF!</f>
        <v>#REF!</v>
      </c>
      <c r="K224" s="122">
        <f>'Прил.№4 ведомств.'!G177</f>
        <v>0</v>
      </c>
      <c r="L224" s="122">
        <f>'Прил.№4 ведомств.'!H177</f>
        <v>0</v>
      </c>
      <c r="M224" s="7" t="e">
        <f t="shared" si="86"/>
        <v>#DIV/0!</v>
      </c>
    </row>
    <row r="225" spans="1:13" ht="31.5">
      <c r="A225" s="31" t="s">
        <v>279</v>
      </c>
      <c r="B225" s="42" t="s">
        <v>266</v>
      </c>
      <c r="C225" s="42" t="s">
        <v>270</v>
      </c>
      <c r="D225" s="42" t="s">
        <v>280</v>
      </c>
      <c r="E225" s="42"/>
      <c r="F225" s="7" t="e">
        <f aca="true" t="shared" si="94" ref="F225:L225">F226+F228</f>
        <v>#REF!</v>
      </c>
      <c r="G225" s="7" t="e">
        <f t="shared" si="94"/>
        <v>#REF!</v>
      </c>
      <c r="H225" s="7" t="e">
        <f t="shared" si="94"/>
        <v>#REF!</v>
      </c>
      <c r="I225" s="7" t="e">
        <f t="shared" si="94"/>
        <v>#REF!</v>
      </c>
      <c r="J225" s="7" t="e">
        <f t="shared" si="94"/>
        <v>#REF!</v>
      </c>
      <c r="K225" s="7">
        <f t="shared" si="94"/>
        <v>5280.3</v>
      </c>
      <c r="L225" s="7">
        <f t="shared" si="94"/>
        <v>5196.6</v>
      </c>
      <c r="M225" s="7">
        <f t="shared" si="86"/>
        <v>98.41486279188683</v>
      </c>
    </row>
    <row r="226" spans="1:13" ht="78.75">
      <c r="A226" s="31" t="s">
        <v>178</v>
      </c>
      <c r="B226" s="42" t="s">
        <v>266</v>
      </c>
      <c r="C226" s="42" t="s">
        <v>270</v>
      </c>
      <c r="D226" s="42" t="s">
        <v>280</v>
      </c>
      <c r="E226" s="42" t="s">
        <v>179</v>
      </c>
      <c r="F226" s="63" t="e">
        <f>F227</f>
        <v>#REF!</v>
      </c>
      <c r="G226" s="63" t="e">
        <f aca="true" t="shared" si="95" ref="G226:L226">G227</f>
        <v>#REF!</v>
      </c>
      <c r="H226" s="63" t="e">
        <f t="shared" si="95"/>
        <v>#REF!</v>
      </c>
      <c r="I226" s="63" t="e">
        <f t="shared" si="95"/>
        <v>#REF!</v>
      </c>
      <c r="J226" s="63" t="e">
        <f t="shared" si="95"/>
        <v>#REF!</v>
      </c>
      <c r="K226" s="63">
        <f t="shared" si="95"/>
        <v>5017.8</v>
      </c>
      <c r="L226" s="63">
        <f t="shared" si="95"/>
        <v>4942.8</v>
      </c>
      <c r="M226" s="7">
        <f t="shared" si="86"/>
        <v>98.50532105703694</v>
      </c>
    </row>
    <row r="227" spans="1:13" ht="31.5">
      <c r="A227" s="31" t="s">
        <v>393</v>
      </c>
      <c r="B227" s="42" t="s">
        <v>266</v>
      </c>
      <c r="C227" s="42" t="s">
        <v>270</v>
      </c>
      <c r="D227" s="42" t="s">
        <v>280</v>
      </c>
      <c r="E227" s="42" t="s">
        <v>260</v>
      </c>
      <c r="F227" s="63" t="e">
        <f>#REF!</f>
        <v>#REF!</v>
      </c>
      <c r="G227" s="63" t="e">
        <f>#REF!</f>
        <v>#REF!</v>
      </c>
      <c r="H227" s="63" t="e">
        <f>#REF!</f>
        <v>#REF!</v>
      </c>
      <c r="I227" s="63" t="e">
        <f>#REF!</f>
        <v>#REF!</v>
      </c>
      <c r="J227" s="63" t="e">
        <f>#REF!</f>
        <v>#REF!</v>
      </c>
      <c r="K227" s="63">
        <f>'Прил.№4 ведомств.'!G180</f>
        <v>5017.8</v>
      </c>
      <c r="L227" s="63">
        <f>'Прил.№4 ведомств.'!H180</f>
        <v>4942.8</v>
      </c>
      <c r="M227" s="7">
        <f t="shared" si="86"/>
        <v>98.50532105703694</v>
      </c>
    </row>
    <row r="228" spans="1:13" ht="31.5">
      <c r="A228" s="31" t="s">
        <v>182</v>
      </c>
      <c r="B228" s="42" t="s">
        <v>266</v>
      </c>
      <c r="C228" s="42" t="s">
        <v>270</v>
      </c>
      <c r="D228" s="42" t="s">
        <v>280</v>
      </c>
      <c r="E228" s="42" t="s">
        <v>183</v>
      </c>
      <c r="F228" s="7" t="e">
        <f>F229</f>
        <v>#REF!</v>
      </c>
      <c r="G228" s="7" t="e">
        <f aca="true" t="shared" si="96" ref="G228:L228">G229</f>
        <v>#REF!</v>
      </c>
      <c r="H228" s="7" t="e">
        <f t="shared" si="96"/>
        <v>#REF!</v>
      </c>
      <c r="I228" s="7" t="e">
        <f t="shared" si="96"/>
        <v>#REF!</v>
      </c>
      <c r="J228" s="7" t="e">
        <f t="shared" si="96"/>
        <v>#REF!</v>
      </c>
      <c r="K228" s="7">
        <f t="shared" si="96"/>
        <v>262.4999999999997</v>
      </c>
      <c r="L228" s="7">
        <f t="shared" si="96"/>
        <v>253.8</v>
      </c>
      <c r="M228" s="7">
        <f t="shared" si="86"/>
        <v>96.6857142857144</v>
      </c>
    </row>
    <row r="229" spans="1:13" ht="47.25">
      <c r="A229" s="31" t="s">
        <v>184</v>
      </c>
      <c r="B229" s="42" t="s">
        <v>266</v>
      </c>
      <c r="C229" s="42" t="s">
        <v>270</v>
      </c>
      <c r="D229" s="42" t="s">
        <v>280</v>
      </c>
      <c r="E229" s="42" t="s">
        <v>185</v>
      </c>
      <c r="F229" s="7" t="e">
        <f>#REF!</f>
        <v>#REF!</v>
      </c>
      <c r="G229" s="7" t="e">
        <f>#REF!</f>
        <v>#REF!</v>
      </c>
      <c r="H229" s="7" t="e">
        <f>#REF!</f>
        <v>#REF!</v>
      </c>
      <c r="I229" s="7" t="e">
        <f>#REF!</f>
        <v>#REF!</v>
      </c>
      <c r="J229" s="7" t="e">
        <f>#REF!</f>
        <v>#REF!</v>
      </c>
      <c r="K229" s="7">
        <f>'Прил.№4 ведомств.'!G182</f>
        <v>262.4999999999997</v>
      </c>
      <c r="L229" s="7">
        <f>'Прил.№4 ведомств.'!H182</f>
        <v>253.8</v>
      </c>
      <c r="M229" s="7">
        <f t="shared" si="86"/>
        <v>96.6857142857144</v>
      </c>
    </row>
    <row r="230" spans="1:13" ht="15.75">
      <c r="A230" s="31" t="s">
        <v>281</v>
      </c>
      <c r="B230" s="42" t="s">
        <v>266</v>
      </c>
      <c r="C230" s="42" t="s">
        <v>270</v>
      </c>
      <c r="D230" s="42" t="s">
        <v>282</v>
      </c>
      <c r="E230" s="42"/>
      <c r="F230" s="7" t="e">
        <f>F231</f>
        <v>#REF!</v>
      </c>
      <c r="G230" s="7" t="e">
        <f aca="true" t="shared" si="97" ref="G230:L231">G231</f>
        <v>#REF!</v>
      </c>
      <c r="H230" s="7" t="e">
        <f t="shared" si="97"/>
        <v>#REF!</v>
      </c>
      <c r="I230" s="7" t="e">
        <f t="shared" si="97"/>
        <v>#REF!</v>
      </c>
      <c r="J230" s="7" t="e">
        <f t="shared" si="97"/>
        <v>#REF!</v>
      </c>
      <c r="K230" s="7">
        <f t="shared" si="97"/>
        <v>53.7</v>
      </c>
      <c r="L230" s="7">
        <f t="shared" si="97"/>
        <v>53.7</v>
      </c>
      <c r="M230" s="7">
        <f t="shared" si="86"/>
        <v>100</v>
      </c>
    </row>
    <row r="231" spans="1:13" ht="31.5">
      <c r="A231" s="31" t="s">
        <v>182</v>
      </c>
      <c r="B231" s="42" t="s">
        <v>266</v>
      </c>
      <c r="C231" s="42" t="s">
        <v>270</v>
      </c>
      <c r="D231" s="42" t="s">
        <v>282</v>
      </c>
      <c r="E231" s="42" t="s">
        <v>183</v>
      </c>
      <c r="F231" s="7" t="e">
        <f>F232</f>
        <v>#REF!</v>
      </c>
      <c r="G231" s="7" t="e">
        <f t="shared" si="97"/>
        <v>#REF!</v>
      </c>
      <c r="H231" s="7" t="e">
        <f t="shared" si="97"/>
        <v>#REF!</v>
      </c>
      <c r="I231" s="7" t="e">
        <f t="shared" si="97"/>
        <v>#REF!</v>
      </c>
      <c r="J231" s="7" t="e">
        <f t="shared" si="97"/>
        <v>#REF!</v>
      </c>
      <c r="K231" s="7">
        <f t="shared" si="97"/>
        <v>53.7</v>
      </c>
      <c r="L231" s="7">
        <f t="shared" si="97"/>
        <v>53.7</v>
      </c>
      <c r="M231" s="7">
        <f t="shared" si="86"/>
        <v>100</v>
      </c>
    </row>
    <row r="232" spans="1:13" ht="47.25">
      <c r="A232" s="31" t="s">
        <v>184</v>
      </c>
      <c r="B232" s="42" t="s">
        <v>266</v>
      </c>
      <c r="C232" s="42" t="s">
        <v>270</v>
      </c>
      <c r="D232" s="42" t="s">
        <v>282</v>
      </c>
      <c r="E232" s="42" t="s">
        <v>185</v>
      </c>
      <c r="F232" s="7" t="e">
        <f>#REF!+#REF!</f>
        <v>#REF!</v>
      </c>
      <c r="G232" s="7" t="e">
        <f>#REF!+#REF!</f>
        <v>#REF!</v>
      </c>
      <c r="H232" s="7" t="e">
        <f>#REF!+#REF!</f>
        <v>#REF!</v>
      </c>
      <c r="I232" s="7" t="e">
        <f>#REF!+#REF!</f>
        <v>#REF!</v>
      </c>
      <c r="J232" s="7" t="e">
        <f>#REF!+#REF!</f>
        <v>#REF!</v>
      </c>
      <c r="K232" s="7">
        <f>'Прил.№4 ведомств.'!G894+'Прил.№4 ведомств.'!G185</f>
        <v>53.7</v>
      </c>
      <c r="L232" s="7">
        <f>'Прил.№4 ведомств.'!H894+'Прил.№4 ведомств.'!H185</f>
        <v>53.7</v>
      </c>
      <c r="M232" s="7">
        <f t="shared" si="86"/>
        <v>100</v>
      </c>
    </row>
    <row r="233" spans="1:13" ht="15.75">
      <c r="A233" s="43" t="s">
        <v>283</v>
      </c>
      <c r="B233" s="8" t="s">
        <v>201</v>
      </c>
      <c r="C233" s="8"/>
      <c r="D233" s="8"/>
      <c r="E233" s="8"/>
      <c r="F233" s="4" t="e">
        <f aca="true" t="shared" si="98" ref="F233:K233">F250+F256+F263+F234</f>
        <v>#REF!</v>
      </c>
      <c r="G233" s="4" t="e">
        <f t="shared" si="98"/>
        <v>#REF!</v>
      </c>
      <c r="H233" s="4" t="e">
        <f t="shared" si="98"/>
        <v>#REF!</v>
      </c>
      <c r="I233" s="4" t="e">
        <f t="shared" si="98"/>
        <v>#REF!</v>
      </c>
      <c r="J233" s="4" t="e">
        <f t="shared" si="98"/>
        <v>#REF!</v>
      </c>
      <c r="K233" s="4">
        <f t="shared" si="98"/>
        <v>10825.4</v>
      </c>
      <c r="L233" s="4">
        <f>L250+L256+L263+L234</f>
        <v>9599.1</v>
      </c>
      <c r="M233" s="4">
        <f t="shared" si="86"/>
        <v>88.67201211964455</v>
      </c>
    </row>
    <row r="234" spans="1:13" ht="15.75">
      <c r="A234" s="43" t="s">
        <v>284</v>
      </c>
      <c r="B234" s="8" t="s">
        <v>201</v>
      </c>
      <c r="C234" s="8" t="s">
        <v>285</v>
      </c>
      <c r="D234" s="8"/>
      <c r="E234" s="8"/>
      <c r="F234" s="4" t="e">
        <f aca="true" t="shared" si="99" ref="F234:L234">F242+F235</f>
        <v>#REF!</v>
      </c>
      <c r="G234" s="4" t="e">
        <f t="shared" si="99"/>
        <v>#REF!</v>
      </c>
      <c r="H234" s="4" t="e">
        <f t="shared" si="99"/>
        <v>#REF!</v>
      </c>
      <c r="I234" s="4" t="e">
        <f t="shared" si="99"/>
        <v>#REF!</v>
      </c>
      <c r="J234" s="4" t="e">
        <f t="shared" si="99"/>
        <v>#REF!</v>
      </c>
      <c r="K234" s="4">
        <f t="shared" si="99"/>
        <v>919.6</v>
      </c>
      <c r="L234" s="4">
        <f t="shared" si="99"/>
        <v>822.6</v>
      </c>
      <c r="M234" s="4">
        <f t="shared" si="86"/>
        <v>89.45193562418443</v>
      </c>
    </row>
    <row r="235" spans="1:13" ht="47.25">
      <c r="A235" s="33" t="s">
        <v>232</v>
      </c>
      <c r="B235" s="21" t="s">
        <v>201</v>
      </c>
      <c r="C235" s="21" t="s">
        <v>285</v>
      </c>
      <c r="D235" s="32" t="s">
        <v>233</v>
      </c>
      <c r="E235" s="34"/>
      <c r="F235" s="7" t="e">
        <f>F236</f>
        <v>#REF!</v>
      </c>
      <c r="G235" s="7" t="e">
        <f aca="true" t="shared" si="100" ref="G235:L237">G236</f>
        <v>#REF!</v>
      </c>
      <c r="H235" s="7" t="e">
        <f t="shared" si="100"/>
        <v>#REF!</v>
      </c>
      <c r="I235" s="7" t="e">
        <f t="shared" si="100"/>
        <v>#REF!</v>
      </c>
      <c r="J235" s="7" t="e">
        <f t="shared" si="100"/>
        <v>#REF!</v>
      </c>
      <c r="K235" s="7">
        <f>K236+K240</f>
        <v>120</v>
      </c>
      <c r="L235" s="7">
        <f>L236+L240</f>
        <v>53</v>
      </c>
      <c r="M235" s="7">
        <f t="shared" si="86"/>
        <v>44.166666666666664</v>
      </c>
    </row>
    <row r="236" spans="1:13" ht="31.5">
      <c r="A236" s="26" t="s">
        <v>208</v>
      </c>
      <c r="B236" s="21" t="s">
        <v>201</v>
      </c>
      <c r="C236" s="21" t="s">
        <v>285</v>
      </c>
      <c r="D236" s="21" t="s">
        <v>234</v>
      </c>
      <c r="E236" s="34"/>
      <c r="F236" s="7" t="e">
        <f>F237</f>
        <v>#REF!</v>
      </c>
      <c r="G236" s="7" t="e">
        <f t="shared" si="100"/>
        <v>#REF!</v>
      </c>
      <c r="H236" s="7" t="e">
        <f t="shared" si="100"/>
        <v>#REF!</v>
      </c>
      <c r="I236" s="7" t="e">
        <f t="shared" si="100"/>
        <v>#REF!</v>
      </c>
      <c r="J236" s="7" t="e">
        <f t="shared" si="100"/>
        <v>#REF!</v>
      </c>
      <c r="K236" s="7">
        <f t="shared" si="100"/>
        <v>119</v>
      </c>
      <c r="L236" s="7">
        <f t="shared" si="100"/>
        <v>52</v>
      </c>
      <c r="M236" s="7">
        <f t="shared" si="86"/>
        <v>43.69747899159664</v>
      </c>
    </row>
    <row r="237" spans="1:13" ht="15.75">
      <c r="A237" s="31" t="s">
        <v>186</v>
      </c>
      <c r="B237" s="21" t="s">
        <v>201</v>
      </c>
      <c r="C237" s="21" t="s">
        <v>285</v>
      </c>
      <c r="D237" s="21" t="s">
        <v>234</v>
      </c>
      <c r="E237" s="34" t="s">
        <v>196</v>
      </c>
      <c r="F237" s="7" t="e">
        <f>F238</f>
        <v>#REF!</v>
      </c>
      <c r="G237" s="7" t="e">
        <f t="shared" si="100"/>
        <v>#REF!</v>
      </c>
      <c r="H237" s="7" t="e">
        <f t="shared" si="100"/>
        <v>#REF!</v>
      </c>
      <c r="I237" s="7" t="e">
        <f t="shared" si="100"/>
        <v>#REF!</v>
      </c>
      <c r="J237" s="7" t="e">
        <f t="shared" si="100"/>
        <v>#REF!</v>
      </c>
      <c r="K237" s="7">
        <f t="shared" si="100"/>
        <v>119</v>
      </c>
      <c r="L237" s="7">
        <f t="shared" si="100"/>
        <v>52</v>
      </c>
      <c r="M237" s="7">
        <f t="shared" si="86"/>
        <v>43.69747899159664</v>
      </c>
    </row>
    <row r="238" spans="1:13" ht="47.25">
      <c r="A238" s="31" t="s">
        <v>235</v>
      </c>
      <c r="B238" s="21" t="s">
        <v>201</v>
      </c>
      <c r="C238" s="21" t="s">
        <v>285</v>
      </c>
      <c r="D238" s="21" t="s">
        <v>234</v>
      </c>
      <c r="E238" s="34" t="s">
        <v>211</v>
      </c>
      <c r="F238" s="7" t="e">
        <f>#REF!</f>
        <v>#REF!</v>
      </c>
      <c r="G238" s="7" t="e">
        <f>#REF!</f>
        <v>#REF!</v>
      </c>
      <c r="H238" s="7" t="e">
        <f>#REF!</f>
        <v>#REF!</v>
      </c>
      <c r="I238" s="7" t="e">
        <f>#REF!</f>
        <v>#REF!</v>
      </c>
      <c r="J238" s="7" t="e">
        <f>#REF!</f>
        <v>#REF!</v>
      </c>
      <c r="K238" s="7">
        <f>'Прил.№4 ведомств.'!G191</f>
        <v>119</v>
      </c>
      <c r="L238" s="7">
        <f>'Прил.№4 ведомств.'!H191</f>
        <v>52</v>
      </c>
      <c r="M238" s="7">
        <f t="shared" si="86"/>
        <v>43.69747899159664</v>
      </c>
    </row>
    <row r="239" spans="1:13" ht="31.5">
      <c r="A239" s="26" t="s">
        <v>966</v>
      </c>
      <c r="B239" s="21" t="s">
        <v>201</v>
      </c>
      <c r="C239" s="21" t="s">
        <v>285</v>
      </c>
      <c r="D239" s="21" t="s">
        <v>968</v>
      </c>
      <c r="E239" s="34"/>
      <c r="F239" s="7"/>
      <c r="G239" s="7"/>
      <c r="H239" s="7"/>
      <c r="I239" s="7"/>
      <c r="J239" s="7"/>
      <c r="K239" s="7">
        <f>K240</f>
        <v>1</v>
      </c>
      <c r="L239" s="7">
        <f>L240</f>
        <v>1</v>
      </c>
      <c r="M239" s="7">
        <f t="shared" si="86"/>
        <v>100</v>
      </c>
    </row>
    <row r="240" spans="1:13" ht="15.75">
      <c r="A240" s="31" t="s">
        <v>186</v>
      </c>
      <c r="B240" s="21" t="s">
        <v>201</v>
      </c>
      <c r="C240" s="21" t="s">
        <v>285</v>
      </c>
      <c r="D240" s="21" t="s">
        <v>968</v>
      </c>
      <c r="E240" s="34" t="s">
        <v>196</v>
      </c>
      <c r="F240" s="7"/>
      <c r="G240" s="7"/>
      <c r="H240" s="7"/>
      <c r="I240" s="7"/>
      <c r="J240" s="7"/>
      <c r="K240" s="7">
        <f>K241</f>
        <v>1</v>
      </c>
      <c r="L240" s="7">
        <f>L241</f>
        <v>1</v>
      </c>
      <c r="M240" s="7">
        <f t="shared" si="86"/>
        <v>100</v>
      </c>
    </row>
    <row r="241" spans="1:13" ht="47.25">
      <c r="A241" s="31" t="s">
        <v>235</v>
      </c>
      <c r="B241" s="21" t="s">
        <v>201</v>
      </c>
      <c r="C241" s="21" t="s">
        <v>285</v>
      </c>
      <c r="D241" s="21" t="s">
        <v>968</v>
      </c>
      <c r="E241" s="34" t="s">
        <v>211</v>
      </c>
      <c r="F241" s="7"/>
      <c r="G241" s="7"/>
      <c r="H241" s="7"/>
      <c r="I241" s="7"/>
      <c r="J241" s="7"/>
      <c r="K241" s="7">
        <f>'Прил.№4 ведомств.'!G194</f>
        <v>1</v>
      </c>
      <c r="L241" s="7">
        <f>'Прил.№4 ведомств.'!H194</f>
        <v>1</v>
      </c>
      <c r="M241" s="7">
        <f t="shared" si="86"/>
        <v>100</v>
      </c>
    </row>
    <row r="242" spans="1:13" ht="15.75">
      <c r="A242" s="31" t="s">
        <v>172</v>
      </c>
      <c r="B242" s="42" t="s">
        <v>201</v>
      </c>
      <c r="C242" s="42" t="s">
        <v>285</v>
      </c>
      <c r="D242" s="42" t="s">
        <v>173</v>
      </c>
      <c r="E242" s="42"/>
      <c r="F242" s="7" t="e">
        <f aca="true" t="shared" si="101" ref="F242:L242">F243</f>
        <v>#REF!</v>
      </c>
      <c r="G242" s="7" t="e">
        <f t="shared" si="101"/>
        <v>#REF!</v>
      </c>
      <c r="H242" s="7" t="e">
        <f t="shared" si="101"/>
        <v>#REF!</v>
      </c>
      <c r="I242" s="7" t="e">
        <f t="shared" si="101"/>
        <v>#REF!</v>
      </c>
      <c r="J242" s="7" t="e">
        <f t="shared" si="101"/>
        <v>#REF!</v>
      </c>
      <c r="K242" s="7">
        <f t="shared" si="101"/>
        <v>799.6</v>
      </c>
      <c r="L242" s="7">
        <f t="shared" si="101"/>
        <v>769.6</v>
      </c>
      <c r="M242" s="7">
        <f t="shared" si="86"/>
        <v>96.24812406203101</v>
      </c>
    </row>
    <row r="243" spans="1:13" ht="31.5">
      <c r="A243" s="31" t="s">
        <v>236</v>
      </c>
      <c r="B243" s="42" t="s">
        <v>201</v>
      </c>
      <c r="C243" s="42" t="s">
        <v>285</v>
      </c>
      <c r="D243" s="42" t="s">
        <v>237</v>
      </c>
      <c r="E243" s="42"/>
      <c r="F243" s="7" t="e">
        <f>F247</f>
        <v>#REF!</v>
      </c>
      <c r="G243" s="7" t="e">
        <f>G247</f>
        <v>#REF!</v>
      </c>
      <c r="H243" s="7" t="e">
        <f>H247</f>
        <v>#REF!</v>
      </c>
      <c r="I243" s="7" t="e">
        <f>I247</f>
        <v>#REF!</v>
      </c>
      <c r="J243" s="7" t="e">
        <f>J247</f>
        <v>#REF!</v>
      </c>
      <c r="K243" s="7">
        <f>K247+K244</f>
        <v>799.6</v>
      </c>
      <c r="L243" s="7">
        <f>L247+L244</f>
        <v>769.6</v>
      </c>
      <c r="M243" s="7">
        <f t="shared" si="86"/>
        <v>96.24812406203101</v>
      </c>
    </row>
    <row r="244" spans="1:13" ht="31.5">
      <c r="A244" s="26" t="s">
        <v>966</v>
      </c>
      <c r="B244" s="42" t="s">
        <v>201</v>
      </c>
      <c r="C244" s="42" t="s">
        <v>285</v>
      </c>
      <c r="D244" s="21" t="s">
        <v>967</v>
      </c>
      <c r="E244" s="42"/>
      <c r="F244" s="7"/>
      <c r="G244" s="7"/>
      <c r="H244" s="7"/>
      <c r="I244" s="7"/>
      <c r="J244" s="7"/>
      <c r="K244" s="7">
        <f>K245</f>
        <v>289.6</v>
      </c>
      <c r="L244" s="7">
        <f>L245</f>
        <v>289.6</v>
      </c>
      <c r="M244" s="7">
        <f t="shared" si="86"/>
        <v>100</v>
      </c>
    </row>
    <row r="245" spans="1:13" ht="15.75">
      <c r="A245" s="31" t="s">
        <v>186</v>
      </c>
      <c r="B245" s="42" t="s">
        <v>201</v>
      </c>
      <c r="C245" s="42" t="s">
        <v>285</v>
      </c>
      <c r="D245" s="21" t="s">
        <v>967</v>
      </c>
      <c r="E245" s="42" t="s">
        <v>196</v>
      </c>
      <c r="F245" s="7"/>
      <c r="G245" s="7"/>
      <c r="H245" s="7"/>
      <c r="I245" s="7"/>
      <c r="J245" s="7"/>
      <c r="K245" s="7">
        <f>K246</f>
        <v>289.6</v>
      </c>
      <c r="L245" s="7">
        <f>L246</f>
        <v>289.6</v>
      </c>
      <c r="M245" s="7">
        <f t="shared" si="86"/>
        <v>100</v>
      </c>
    </row>
    <row r="246" spans="1:13" ht="47.25">
      <c r="A246" s="31" t="s">
        <v>235</v>
      </c>
      <c r="B246" s="42" t="s">
        <v>201</v>
      </c>
      <c r="C246" s="42" t="s">
        <v>285</v>
      </c>
      <c r="D246" s="21" t="s">
        <v>967</v>
      </c>
      <c r="E246" s="42" t="s">
        <v>211</v>
      </c>
      <c r="F246" s="7"/>
      <c r="G246" s="7"/>
      <c r="H246" s="7"/>
      <c r="I246" s="7"/>
      <c r="J246" s="7"/>
      <c r="K246" s="7">
        <f>'Прил.№4 ведомств.'!G199</f>
        <v>289.6</v>
      </c>
      <c r="L246" s="7">
        <f>'Прил.№4 ведомств.'!H199</f>
        <v>289.6</v>
      </c>
      <c r="M246" s="7">
        <f t="shared" si="86"/>
        <v>100</v>
      </c>
    </row>
    <row r="247" spans="1:13" ht="31.5">
      <c r="A247" s="26" t="s">
        <v>653</v>
      </c>
      <c r="B247" s="42" t="s">
        <v>201</v>
      </c>
      <c r="C247" s="42" t="s">
        <v>285</v>
      </c>
      <c r="D247" s="42" t="s">
        <v>287</v>
      </c>
      <c r="E247" s="42"/>
      <c r="F247" s="7" t="e">
        <f aca="true" t="shared" si="102" ref="F247:L248">F248</f>
        <v>#REF!</v>
      </c>
      <c r="G247" s="7" t="e">
        <f t="shared" si="102"/>
        <v>#REF!</v>
      </c>
      <c r="H247" s="7" t="e">
        <f t="shared" si="102"/>
        <v>#REF!</v>
      </c>
      <c r="I247" s="7" t="e">
        <f t="shared" si="102"/>
        <v>#REF!</v>
      </c>
      <c r="J247" s="7" t="e">
        <f t="shared" si="102"/>
        <v>#REF!</v>
      </c>
      <c r="K247" s="7">
        <f t="shared" si="102"/>
        <v>510</v>
      </c>
      <c r="L247" s="7">
        <f t="shared" si="102"/>
        <v>480</v>
      </c>
      <c r="M247" s="7">
        <f t="shared" si="86"/>
        <v>94.11764705882352</v>
      </c>
    </row>
    <row r="248" spans="1:13" ht="15.75">
      <c r="A248" s="31" t="s">
        <v>186</v>
      </c>
      <c r="B248" s="42" t="s">
        <v>201</v>
      </c>
      <c r="C248" s="42" t="s">
        <v>285</v>
      </c>
      <c r="D248" s="42" t="s">
        <v>287</v>
      </c>
      <c r="E248" s="42" t="s">
        <v>196</v>
      </c>
      <c r="F248" s="7" t="e">
        <f t="shared" si="102"/>
        <v>#REF!</v>
      </c>
      <c r="G248" s="7" t="e">
        <f t="shared" si="102"/>
        <v>#REF!</v>
      </c>
      <c r="H248" s="7" t="e">
        <f t="shared" si="102"/>
        <v>#REF!</v>
      </c>
      <c r="I248" s="7" t="e">
        <f t="shared" si="102"/>
        <v>#REF!</v>
      </c>
      <c r="J248" s="7" t="e">
        <f t="shared" si="102"/>
        <v>#REF!</v>
      </c>
      <c r="K248" s="7">
        <f t="shared" si="102"/>
        <v>510</v>
      </c>
      <c r="L248" s="7">
        <f t="shared" si="102"/>
        <v>480</v>
      </c>
      <c r="M248" s="7">
        <f t="shared" si="86"/>
        <v>94.11764705882352</v>
      </c>
    </row>
    <row r="249" spans="1:13" ht="47.25">
      <c r="A249" s="26" t="s">
        <v>235</v>
      </c>
      <c r="B249" s="42" t="s">
        <v>201</v>
      </c>
      <c r="C249" s="42" t="s">
        <v>285</v>
      </c>
      <c r="D249" s="42" t="s">
        <v>287</v>
      </c>
      <c r="E249" s="42" t="s">
        <v>211</v>
      </c>
      <c r="F249" s="7" t="e">
        <f>#REF!</f>
        <v>#REF!</v>
      </c>
      <c r="G249" s="7" t="e">
        <f>#REF!</f>
        <v>#REF!</v>
      </c>
      <c r="H249" s="7" t="e">
        <f>#REF!</f>
        <v>#REF!</v>
      </c>
      <c r="I249" s="7" t="e">
        <f>#REF!</f>
        <v>#REF!</v>
      </c>
      <c r="J249" s="7" t="e">
        <f>#REF!</f>
        <v>#REF!</v>
      </c>
      <c r="K249" s="7">
        <f>'Прил.№4 ведомств.'!G202</f>
        <v>510</v>
      </c>
      <c r="L249" s="7">
        <f>'Прил.№4 ведомств.'!H202</f>
        <v>480</v>
      </c>
      <c r="M249" s="7">
        <f t="shared" si="86"/>
        <v>94.11764705882352</v>
      </c>
    </row>
    <row r="250" spans="1:13" ht="15.75">
      <c r="A250" s="43" t="s">
        <v>557</v>
      </c>
      <c r="B250" s="8" t="s">
        <v>201</v>
      </c>
      <c r="C250" s="8" t="s">
        <v>350</v>
      </c>
      <c r="D250" s="8"/>
      <c r="E250" s="8"/>
      <c r="F250" s="4" t="e">
        <f>F251</f>
        <v>#REF!</v>
      </c>
      <c r="G250" s="4" t="e">
        <f aca="true" t="shared" si="103" ref="G250:L254">G251</f>
        <v>#REF!</v>
      </c>
      <c r="H250" s="4" t="e">
        <f t="shared" si="103"/>
        <v>#REF!</v>
      </c>
      <c r="I250" s="4" t="e">
        <f t="shared" si="103"/>
        <v>#REF!</v>
      </c>
      <c r="J250" s="4" t="e">
        <f t="shared" si="103"/>
        <v>#REF!</v>
      </c>
      <c r="K250" s="4">
        <f t="shared" si="103"/>
        <v>3258.3</v>
      </c>
      <c r="L250" s="4">
        <f t="shared" si="103"/>
        <v>3232.9</v>
      </c>
      <c r="M250" s="4">
        <f t="shared" si="86"/>
        <v>99.22045238314459</v>
      </c>
    </row>
    <row r="251" spans="1:13" ht="15.75">
      <c r="A251" s="31" t="s">
        <v>172</v>
      </c>
      <c r="B251" s="42" t="s">
        <v>201</v>
      </c>
      <c r="C251" s="42" t="s">
        <v>350</v>
      </c>
      <c r="D251" s="42" t="s">
        <v>173</v>
      </c>
      <c r="E251" s="8"/>
      <c r="F251" s="7" t="e">
        <f>F252</f>
        <v>#REF!</v>
      </c>
      <c r="G251" s="7" t="e">
        <f t="shared" si="103"/>
        <v>#REF!</v>
      </c>
      <c r="H251" s="7" t="e">
        <f t="shared" si="103"/>
        <v>#REF!</v>
      </c>
      <c r="I251" s="7" t="e">
        <f t="shared" si="103"/>
        <v>#REF!</v>
      </c>
      <c r="J251" s="7" t="e">
        <f t="shared" si="103"/>
        <v>#REF!</v>
      </c>
      <c r="K251" s="7">
        <f t="shared" si="103"/>
        <v>3258.3</v>
      </c>
      <c r="L251" s="7">
        <f t="shared" si="103"/>
        <v>3232.9</v>
      </c>
      <c r="M251" s="7">
        <f t="shared" si="86"/>
        <v>99.22045238314459</v>
      </c>
    </row>
    <row r="252" spans="1:13" ht="15.75">
      <c r="A252" s="31" t="s">
        <v>192</v>
      </c>
      <c r="B252" s="42" t="s">
        <v>201</v>
      </c>
      <c r="C252" s="42" t="s">
        <v>350</v>
      </c>
      <c r="D252" s="42" t="s">
        <v>193</v>
      </c>
      <c r="E252" s="8"/>
      <c r="F252" s="7" t="e">
        <f>F253</f>
        <v>#REF!</v>
      </c>
      <c r="G252" s="7" t="e">
        <f t="shared" si="103"/>
        <v>#REF!</v>
      </c>
      <c r="H252" s="7" t="e">
        <f t="shared" si="103"/>
        <v>#REF!</v>
      </c>
      <c r="I252" s="7" t="e">
        <f t="shared" si="103"/>
        <v>#REF!</v>
      </c>
      <c r="J252" s="7" t="e">
        <f t="shared" si="103"/>
        <v>#REF!</v>
      </c>
      <c r="K252" s="7">
        <f t="shared" si="103"/>
        <v>3258.3</v>
      </c>
      <c r="L252" s="7">
        <f t="shared" si="103"/>
        <v>3232.9</v>
      </c>
      <c r="M252" s="7">
        <f t="shared" si="86"/>
        <v>99.22045238314459</v>
      </c>
    </row>
    <row r="253" spans="1:13" ht="31.5">
      <c r="A253" s="31" t="s">
        <v>558</v>
      </c>
      <c r="B253" s="42" t="s">
        <v>201</v>
      </c>
      <c r="C253" s="42" t="s">
        <v>350</v>
      </c>
      <c r="D253" s="42" t="s">
        <v>559</v>
      </c>
      <c r="E253" s="42"/>
      <c r="F253" s="7" t="e">
        <f>F254</f>
        <v>#REF!</v>
      </c>
      <c r="G253" s="7" t="e">
        <f t="shared" si="103"/>
        <v>#REF!</v>
      </c>
      <c r="H253" s="7" t="e">
        <f t="shared" si="103"/>
        <v>#REF!</v>
      </c>
      <c r="I253" s="7" t="e">
        <f t="shared" si="103"/>
        <v>#REF!</v>
      </c>
      <c r="J253" s="7" t="e">
        <f t="shared" si="103"/>
        <v>#REF!</v>
      </c>
      <c r="K253" s="7">
        <f t="shared" si="103"/>
        <v>3258.3</v>
      </c>
      <c r="L253" s="7">
        <f t="shared" si="103"/>
        <v>3232.9</v>
      </c>
      <c r="M253" s="7">
        <f t="shared" si="86"/>
        <v>99.22045238314459</v>
      </c>
    </row>
    <row r="254" spans="1:13" ht="31.5">
      <c r="A254" s="31" t="s">
        <v>182</v>
      </c>
      <c r="B254" s="42" t="s">
        <v>201</v>
      </c>
      <c r="C254" s="42" t="s">
        <v>350</v>
      </c>
      <c r="D254" s="42" t="s">
        <v>559</v>
      </c>
      <c r="E254" s="42" t="s">
        <v>183</v>
      </c>
      <c r="F254" s="7" t="e">
        <f>F255</f>
        <v>#REF!</v>
      </c>
      <c r="G254" s="7" t="e">
        <f t="shared" si="103"/>
        <v>#REF!</v>
      </c>
      <c r="H254" s="7" t="e">
        <f t="shared" si="103"/>
        <v>#REF!</v>
      </c>
      <c r="I254" s="7" t="e">
        <f t="shared" si="103"/>
        <v>#REF!</v>
      </c>
      <c r="J254" s="7" t="e">
        <f t="shared" si="103"/>
        <v>#REF!</v>
      </c>
      <c r="K254" s="7">
        <f t="shared" si="103"/>
        <v>3258.3</v>
      </c>
      <c r="L254" s="7">
        <f t="shared" si="103"/>
        <v>3232.9</v>
      </c>
      <c r="M254" s="7">
        <f t="shared" si="86"/>
        <v>99.22045238314459</v>
      </c>
    </row>
    <row r="255" spans="1:13" ht="47.25">
      <c r="A255" s="31" t="s">
        <v>184</v>
      </c>
      <c r="B255" s="42" t="s">
        <v>201</v>
      </c>
      <c r="C255" s="42" t="s">
        <v>350</v>
      </c>
      <c r="D255" s="42" t="s">
        <v>559</v>
      </c>
      <c r="E255" s="42" t="s">
        <v>185</v>
      </c>
      <c r="F255" s="63" t="e">
        <f>#REF!</f>
        <v>#REF!</v>
      </c>
      <c r="G255" s="63" t="e">
        <f>#REF!</f>
        <v>#REF!</v>
      </c>
      <c r="H255" s="63" t="e">
        <f>#REF!</f>
        <v>#REF!</v>
      </c>
      <c r="I255" s="63" t="e">
        <f>#REF!</f>
        <v>#REF!</v>
      </c>
      <c r="J255" s="63" t="e">
        <f>#REF!</f>
        <v>#REF!</v>
      </c>
      <c r="K255" s="63">
        <f>'Прил.№4 ведомств.'!G901</f>
        <v>3258.3</v>
      </c>
      <c r="L255" s="63">
        <f>'Прил.№4 ведомств.'!H901</f>
        <v>3232.9</v>
      </c>
      <c r="M255" s="7">
        <f t="shared" si="86"/>
        <v>99.22045238314459</v>
      </c>
    </row>
    <row r="256" spans="1:13" ht="15.75">
      <c r="A256" s="43" t="s">
        <v>560</v>
      </c>
      <c r="B256" s="8" t="s">
        <v>201</v>
      </c>
      <c r="C256" s="8" t="s">
        <v>270</v>
      </c>
      <c r="D256" s="42"/>
      <c r="E256" s="8"/>
      <c r="F256" s="4" t="e">
        <f>F257</f>
        <v>#REF!</v>
      </c>
      <c r="G256" s="4" t="e">
        <f aca="true" t="shared" si="104" ref="G256:L257">G257</f>
        <v>#REF!</v>
      </c>
      <c r="H256" s="4" t="e">
        <f t="shared" si="104"/>
        <v>#REF!</v>
      </c>
      <c r="I256" s="4" t="e">
        <f t="shared" si="104"/>
        <v>#REF!</v>
      </c>
      <c r="J256" s="4" t="e">
        <f t="shared" si="104"/>
        <v>#REF!</v>
      </c>
      <c r="K256" s="4">
        <f t="shared" si="104"/>
        <v>5347.3</v>
      </c>
      <c r="L256" s="4">
        <f t="shared" si="104"/>
        <v>4338</v>
      </c>
      <c r="M256" s="4">
        <f t="shared" si="86"/>
        <v>81.12505376545171</v>
      </c>
    </row>
    <row r="257" spans="1:13" ht="47.25">
      <c r="A257" s="31" t="s">
        <v>995</v>
      </c>
      <c r="B257" s="42" t="s">
        <v>201</v>
      </c>
      <c r="C257" s="42" t="s">
        <v>270</v>
      </c>
      <c r="D257" s="42" t="s">
        <v>562</v>
      </c>
      <c r="E257" s="42"/>
      <c r="F257" s="11" t="e">
        <f>F258</f>
        <v>#REF!</v>
      </c>
      <c r="G257" s="11" t="e">
        <f t="shared" si="104"/>
        <v>#REF!</v>
      </c>
      <c r="H257" s="11" t="e">
        <f t="shared" si="104"/>
        <v>#REF!</v>
      </c>
      <c r="I257" s="11" t="e">
        <f t="shared" si="104"/>
        <v>#REF!</v>
      </c>
      <c r="J257" s="11" t="e">
        <f t="shared" si="104"/>
        <v>#REF!</v>
      </c>
      <c r="K257" s="11">
        <f t="shared" si="104"/>
        <v>5347.3</v>
      </c>
      <c r="L257" s="11">
        <f t="shared" si="104"/>
        <v>4338</v>
      </c>
      <c r="M257" s="7">
        <f t="shared" si="86"/>
        <v>81.12505376545171</v>
      </c>
    </row>
    <row r="258" spans="1:13" ht="15.75">
      <c r="A258" s="31" t="s">
        <v>563</v>
      </c>
      <c r="B258" s="42" t="s">
        <v>201</v>
      </c>
      <c r="C258" s="42" t="s">
        <v>270</v>
      </c>
      <c r="D258" s="42" t="s">
        <v>564</v>
      </c>
      <c r="E258" s="42"/>
      <c r="F258" s="11" t="e">
        <f aca="true" t="shared" si="105" ref="F258:L258">F259+F261</f>
        <v>#REF!</v>
      </c>
      <c r="G258" s="11" t="e">
        <f t="shared" si="105"/>
        <v>#REF!</v>
      </c>
      <c r="H258" s="11" t="e">
        <f t="shared" si="105"/>
        <v>#REF!</v>
      </c>
      <c r="I258" s="11" t="e">
        <f t="shared" si="105"/>
        <v>#REF!</v>
      </c>
      <c r="J258" s="11" t="e">
        <f t="shared" si="105"/>
        <v>#REF!</v>
      </c>
      <c r="K258" s="11">
        <f t="shared" si="105"/>
        <v>5347.3</v>
      </c>
      <c r="L258" s="11">
        <f t="shared" si="105"/>
        <v>4338</v>
      </c>
      <c r="M258" s="7">
        <f t="shared" si="86"/>
        <v>81.12505376545171</v>
      </c>
    </row>
    <row r="259" spans="1:13" ht="31.5">
      <c r="A259" s="31" t="s">
        <v>182</v>
      </c>
      <c r="B259" s="42" t="s">
        <v>201</v>
      </c>
      <c r="C259" s="42" t="s">
        <v>270</v>
      </c>
      <c r="D259" s="42" t="s">
        <v>564</v>
      </c>
      <c r="E259" s="42" t="s">
        <v>183</v>
      </c>
      <c r="F259" s="11" t="e">
        <f>F260</f>
        <v>#REF!</v>
      </c>
      <c r="G259" s="11" t="e">
        <f aca="true" t="shared" si="106" ref="G259:L259">G260</f>
        <v>#REF!</v>
      </c>
      <c r="H259" s="11" t="e">
        <f t="shared" si="106"/>
        <v>#REF!</v>
      </c>
      <c r="I259" s="11" t="e">
        <f t="shared" si="106"/>
        <v>#REF!</v>
      </c>
      <c r="J259" s="11" t="e">
        <f t="shared" si="106"/>
        <v>#REF!</v>
      </c>
      <c r="K259" s="11">
        <f t="shared" si="106"/>
        <v>5331.3</v>
      </c>
      <c r="L259" s="11">
        <f t="shared" si="106"/>
        <v>4338</v>
      </c>
      <c r="M259" s="7">
        <f t="shared" si="86"/>
        <v>81.36852174891676</v>
      </c>
    </row>
    <row r="260" spans="1:13" ht="47.25">
      <c r="A260" s="31" t="s">
        <v>184</v>
      </c>
      <c r="B260" s="42" t="s">
        <v>201</v>
      </c>
      <c r="C260" s="42" t="s">
        <v>270</v>
      </c>
      <c r="D260" s="42" t="s">
        <v>564</v>
      </c>
      <c r="E260" s="42" t="s">
        <v>185</v>
      </c>
      <c r="F260" s="63" t="e">
        <f>#REF!</f>
        <v>#REF!</v>
      </c>
      <c r="G260" s="63" t="e">
        <f>#REF!</f>
        <v>#REF!</v>
      </c>
      <c r="H260" s="63" t="e">
        <f>#REF!</f>
        <v>#REF!</v>
      </c>
      <c r="I260" s="63" t="e">
        <f>#REF!</f>
        <v>#REF!</v>
      </c>
      <c r="J260" s="63" t="e">
        <f>#REF!</f>
        <v>#REF!</v>
      </c>
      <c r="K260" s="63">
        <f>'Прил.№4 ведомств.'!G906</f>
        <v>5331.3</v>
      </c>
      <c r="L260" s="63">
        <f>'Прил.№4 ведомств.'!H906</f>
        <v>4338</v>
      </c>
      <c r="M260" s="7">
        <f t="shared" si="86"/>
        <v>81.36852174891676</v>
      </c>
    </row>
    <row r="261" spans="1:13" ht="15.75">
      <c r="A261" s="31" t="s">
        <v>186</v>
      </c>
      <c r="B261" s="42" t="s">
        <v>201</v>
      </c>
      <c r="C261" s="42" t="s">
        <v>270</v>
      </c>
      <c r="D261" s="42" t="s">
        <v>564</v>
      </c>
      <c r="E261" s="42" t="s">
        <v>196</v>
      </c>
      <c r="F261" s="63" t="e">
        <f>F262</f>
        <v>#REF!</v>
      </c>
      <c r="G261" s="63" t="e">
        <f aca="true" t="shared" si="107" ref="G261:L261">G262</f>
        <v>#REF!</v>
      </c>
      <c r="H261" s="63" t="e">
        <f t="shared" si="107"/>
        <v>#REF!</v>
      </c>
      <c r="I261" s="63" t="e">
        <f t="shared" si="107"/>
        <v>#REF!</v>
      </c>
      <c r="J261" s="63" t="e">
        <f t="shared" si="107"/>
        <v>#REF!</v>
      </c>
      <c r="K261" s="63">
        <f t="shared" si="107"/>
        <v>16</v>
      </c>
      <c r="L261" s="63">
        <f t="shared" si="107"/>
        <v>0</v>
      </c>
      <c r="M261" s="7">
        <f t="shared" si="86"/>
        <v>0</v>
      </c>
    </row>
    <row r="262" spans="1:13" ht="15.75">
      <c r="A262" s="31" t="s">
        <v>620</v>
      </c>
      <c r="B262" s="42" t="s">
        <v>201</v>
      </c>
      <c r="C262" s="42" t="s">
        <v>270</v>
      </c>
      <c r="D262" s="42" t="s">
        <v>564</v>
      </c>
      <c r="E262" s="42" t="s">
        <v>189</v>
      </c>
      <c r="F262" s="63" t="e">
        <f>#REF!</f>
        <v>#REF!</v>
      </c>
      <c r="G262" s="63" t="e">
        <f>#REF!</f>
        <v>#REF!</v>
      </c>
      <c r="H262" s="63" t="e">
        <f>#REF!</f>
        <v>#REF!</v>
      </c>
      <c r="I262" s="63" t="e">
        <f>#REF!</f>
        <v>#REF!</v>
      </c>
      <c r="J262" s="63" t="e">
        <f>#REF!</f>
        <v>#REF!</v>
      </c>
      <c r="K262" s="63">
        <f>'Прил.№4 ведомств.'!G908</f>
        <v>16</v>
      </c>
      <c r="L262" s="63">
        <f>'Прил.№4 ведомств.'!H908</f>
        <v>0</v>
      </c>
      <c r="M262" s="7">
        <f t="shared" si="86"/>
        <v>0</v>
      </c>
    </row>
    <row r="263" spans="1:13" ht="31.5">
      <c r="A263" s="43" t="s">
        <v>288</v>
      </c>
      <c r="B263" s="8" t="s">
        <v>201</v>
      </c>
      <c r="C263" s="8" t="s">
        <v>289</v>
      </c>
      <c r="D263" s="8"/>
      <c r="E263" s="8"/>
      <c r="F263" s="68" t="e">
        <f aca="true" t="shared" si="108" ref="F263:L263">F268+F264</f>
        <v>#REF!</v>
      </c>
      <c r="G263" s="68" t="e">
        <f t="shared" si="108"/>
        <v>#REF!</v>
      </c>
      <c r="H263" s="68" t="e">
        <f t="shared" si="108"/>
        <v>#REF!</v>
      </c>
      <c r="I263" s="68" t="e">
        <f t="shared" si="108"/>
        <v>#REF!</v>
      </c>
      <c r="J263" s="68" t="e">
        <f t="shared" si="108"/>
        <v>#REF!</v>
      </c>
      <c r="K263" s="68">
        <f t="shared" si="108"/>
        <v>1300.1999999999998</v>
      </c>
      <c r="L263" s="68">
        <f t="shared" si="108"/>
        <v>1205.6</v>
      </c>
      <c r="M263" s="4">
        <f t="shared" si="86"/>
        <v>92.72419627749578</v>
      </c>
    </row>
    <row r="264" spans="1:13" ht="47.25">
      <c r="A264" s="26" t="s">
        <v>977</v>
      </c>
      <c r="B264" s="21" t="s">
        <v>201</v>
      </c>
      <c r="C264" s="21" t="s">
        <v>289</v>
      </c>
      <c r="D264" s="21" t="s">
        <v>207</v>
      </c>
      <c r="E264" s="21"/>
      <c r="F264" s="11" t="e">
        <f>F265</f>
        <v>#REF!</v>
      </c>
      <c r="G264" s="11" t="e">
        <f aca="true" t="shared" si="109" ref="G264:L266">G265</f>
        <v>#REF!</v>
      </c>
      <c r="H264" s="11" t="e">
        <f t="shared" si="109"/>
        <v>#REF!</v>
      </c>
      <c r="I264" s="11" t="e">
        <f t="shared" si="109"/>
        <v>#REF!</v>
      </c>
      <c r="J264" s="11" t="e">
        <f t="shared" si="109"/>
        <v>#REF!</v>
      </c>
      <c r="K264" s="11">
        <f t="shared" si="109"/>
        <v>350</v>
      </c>
      <c r="L264" s="11">
        <f t="shared" si="109"/>
        <v>349.9</v>
      </c>
      <c r="M264" s="7">
        <f t="shared" si="86"/>
        <v>99.97142857142856</v>
      </c>
    </row>
    <row r="265" spans="1:13" ht="31.5">
      <c r="A265" s="26" t="s">
        <v>208</v>
      </c>
      <c r="B265" s="21" t="s">
        <v>201</v>
      </c>
      <c r="C265" s="21" t="s">
        <v>289</v>
      </c>
      <c r="D265" s="21" t="s">
        <v>209</v>
      </c>
      <c r="E265" s="21"/>
      <c r="F265" s="11" t="e">
        <f>F266</f>
        <v>#REF!</v>
      </c>
      <c r="G265" s="11" t="e">
        <f t="shared" si="109"/>
        <v>#REF!</v>
      </c>
      <c r="H265" s="11" t="e">
        <f t="shared" si="109"/>
        <v>#REF!</v>
      </c>
      <c r="I265" s="11" t="e">
        <f t="shared" si="109"/>
        <v>#REF!</v>
      </c>
      <c r="J265" s="11" t="e">
        <f t="shared" si="109"/>
        <v>#REF!</v>
      </c>
      <c r="K265" s="11">
        <f t="shared" si="109"/>
        <v>350</v>
      </c>
      <c r="L265" s="11">
        <f t="shared" si="109"/>
        <v>349.9</v>
      </c>
      <c r="M265" s="7">
        <f t="shared" si="86"/>
        <v>99.97142857142856</v>
      </c>
    </row>
    <row r="266" spans="1:13" ht="15.75">
      <c r="A266" s="26" t="s">
        <v>186</v>
      </c>
      <c r="B266" s="21" t="s">
        <v>201</v>
      </c>
      <c r="C266" s="21" t="s">
        <v>289</v>
      </c>
      <c r="D266" s="21" t="s">
        <v>209</v>
      </c>
      <c r="E266" s="21" t="s">
        <v>196</v>
      </c>
      <c r="F266" s="11" t="e">
        <f>F267</f>
        <v>#REF!</v>
      </c>
      <c r="G266" s="11" t="e">
        <f t="shared" si="109"/>
        <v>#REF!</v>
      </c>
      <c r="H266" s="11" t="e">
        <f t="shared" si="109"/>
        <v>#REF!</v>
      </c>
      <c r="I266" s="11" t="e">
        <f t="shared" si="109"/>
        <v>#REF!</v>
      </c>
      <c r="J266" s="11" t="e">
        <f t="shared" si="109"/>
        <v>#REF!</v>
      </c>
      <c r="K266" s="11">
        <f t="shared" si="109"/>
        <v>350</v>
      </c>
      <c r="L266" s="11">
        <f t="shared" si="109"/>
        <v>349.9</v>
      </c>
      <c r="M266" s="7">
        <f t="shared" si="86"/>
        <v>99.97142857142856</v>
      </c>
    </row>
    <row r="267" spans="1:13" ht="63">
      <c r="A267" s="26" t="s">
        <v>210</v>
      </c>
      <c r="B267" s="21" t="s">
        <v>201</v>
      </c>
      <c r="C267" s="21" t="s">
        <v>289</v>
      </c>
      <c r="D267" s="21" t="s">
        <v>209</v>
      </c>
      <c r="E267" s="21" t="s">
        <v>211</v>
      </c>
      <c r="F267" s="11" t="e">
        <f>#REF!</f>
        <v>#REF!</v>
      </c>
      <c r="G267" s="11" t="e">
        <f>#REF!</f>
        <v>#REF!</v>
      </c>
      <c r="H267" s="11" t="e">
        <f>#REF!</f>
        <v>#REF!</v>
      </c>
      <c r="I267" s="11" t="e">
        <f>#REF!</f>
        <v>#REF!</v>
      </c>
      <c r="J267" s="11" t="e">
        <f>#REF!</f>
        <v>#REF!</v>
      </c>
      <c r="K267" s="11">
        <f>'Прил.№4 ведомств.'!G207</f>
        <v>350</v>
      </c>
      <c r="L267" s="11">
        <f>'Прил.№4 ведомств.'!H207</f>
        <v>349.9</v>
      </c>
      <c r="M267" s="7">
        <f t="shared" si="86"/>
        <v>99.97142857142856</v>
      </c>
    </row>
    <row r="268" spans="1:13" ht="15.75">
      <c r="A268" s="31" t="s">
        <v>172</v>
      </c>
      <c r="B268" s="42" t="s">
        <v>201</v>
      </c>
      <c r="C268" s="42" t="s">
        <v>289</v>
      </c>
      <c r="D268" s="42" t="s">
        <v>173</v>
      </c>
      <c r="E268" s="8"/>
      <c r="F268" s="11" t="e">
        <f>F269</f>
        <v>#REF!</v>
      </c>
      <c r="G268" s="11" t="e">
        <f aca="true" t="shared" si="110" ref="G268:L268">G269</f>
        <v>#REF!</v>
      </c>
      <c r="H268" s="11" t="e">
        <f t="shared" si="110"/>
        <v>#REF!</v>
      </c>
      <c r="I268" s="11" t="e">
        <f t="shared" si="110"/>
        <v>#REF!</v>
      </c>
      <c r="J268" s="11" t="e">
        <f t="shared" si="110"/>
        <v>#REF!</v>
      </c>
      <c r="K268" s="11">
        <f t="shared" si="110"/>
        <v>950.1999999999999</v>
      </c>
      <c r="L268" s="11">
        <f t="shared" si="110"/>
        <v>855.7</v>
      </c>
      <c r="M268" s="7">
        <f aca="true" t="shared" si="111" ref="M268:M331">L268/K268*100</f>
        <v>90.05472532098506</v>
      </c>
    </row>
    <row r="269" spans="1:13" ht="31.5">
      <c r="A269" s="31" t="s">
        <v>236</v>
      </c>
      <c r="B269" s="42" t="s">
        <v>201</v>
      </c>
      <c r="C269" s="42" t="s">
        <v>289</v>
      </c>
      <c r="D269" s="42" t="s">
        <v>237</v>
      </c>
      <c r="E269" s="8"/>
      <c r="F269" s="11" t="e">
        <f aca="true" t="shared" si="112" ref="F269:L269">F273+F270</f>
        <v>#REF!</v>
      </c>
      <c r="G269" s="11" t="e">
        <f t="shared" si="112"/>
        <v>#REF!</v>
      </c>
      <c r="H269" s="11" t="e">
        <f t="shared" si="112"/>
        <v>#REF!</v>
      </c>
      <c r="I269" s="11" t="e">
        <f t="shared" si="112"/>
        <v>#REF!</v>
      </c>
      <c r="J269" s="11" t="e">
        <f t="shared" si="112"/>
        <v>#REF!</v>
      </c>
      <c r="K269" s="11">
        <f t="shared" si="112"/>
        <v>950.1999999999999</v>
      </c>
      <c r="L269" s="11">
        <f t="shared" si="112"/>
        <v>855.7</v>
      </c>
      <c r="M269" s="7">
        <f t="shared" si="111"/>
        <v>90.05472532098506</v>
      </c>
    </row>
    <row r="270" spans="1:13" ht="31.5">
      <c r="A270" s="26" t="s">
        <v>290</v>
      </c>
      <c r="B270" s="21" t="s">
        <v>201</v>
      </c>
      <c r="C270" s="21" t="s">
        <v>289</v>
      </c>
      <c r="D270" s="21" t="s">
        <v>291</v>
      </c>
      <c r="E270" s="25"/>
      <c r="F270" s="11" t="e">
        <f>F271</f>
        <v>#REF!</v>
      </c>
      <c r="G270" s="11" t="e">
        <f aca="true" t="shared" si="113" ref="G270:L271">G271</f>
        <v>#REF!</v>
      </c>
      <c r="H270" s="11" t="e">
        <f t="shared" si="113"/>
        <v>#REF!</v>
      </c>
      <c r="I270" s="11" t="e">
        <f t="shared" si="113"/>
        <v>#REF!</v>
      </c>
      <c r="J270" s="11" t="e">
        <f t="shared" si="113"/>
        <v>#REF!</v>
      </c>
      <c r="K270" s="11">
        <f t="shared" si="113"/>
        <v>48.9</v>
      </c>
      <c r="L270" s="11">
        <f t="shared" si="113"/>
        <v>48.9</v>
      </c>
      <c r="M270" s="7">
        <f t="shared" si="111"/>
        <v>100</v>
      </c>
    </row>
    <row r="271" spans="1:13" ht="15.75">
      <c r="A271" s="26" t="s">
        <v>186</v>
      </c>
      <c r="B271" s="21" t="s">
        <v>201</v>
      </c>
      <c r="C271" s="21" t="s">
        <v>289</v>
      </c>
      <c r="D271" s="21" t="s">
        <v>291</v>
      </c>
      <c r="E271" s="21" t="s">
        <v>196</v>
      </c>
      <c r="F271" s="11" t="e">
        <f>F272</f>
        <v>#REF!</v>
      </c>
      <c r="G271" s="11" t="e">
        <f t="shared" si="113"/>
        <v>#REF!</v>
      </c>
      <c r="H271" s="11" t="e">
        <f t="shared" si="113"/>
        <v>#REF!</v>
      </c>
      <c r="I271" s="11" t="e">
        <f t="shared" si="113"/>
        <v>#REF!</v>
      </c>
      <c r="J271" s="11" t="e">
        <f t="shared" si="113"/>
        <v>#REF!</v>
      </c>
      <c r="K271" s="11">
        <f t="shared" si="113"/>
        <v>48.9</v>
      </c>
      <c r="L271" s="11">
        <f t="shared" si="113"/>
        <v>48.9</v>
      </c>
      <c r="M271" s="7">
        <f t="shared" si="111"/>
        <v>100</v>
      </c>
    </row>
    <row r="272" spans="1:13" ht="47.25">
      <c r="A272" s="26" t="s">
        <v>235</v>
      </c>
      <c r="B272" s="21" t="s">
        <v>201</v>
      </c>
      <c r="C272" s="21" t="s">
        <v>289</v>
      </c>
      <c r="D272" s="21" t="s">
        <v>291</v>
      </c>
      <c r="E272" s="21" t="s">
        <v>211</v>
      </c>
      <c r="F272" s="11" t="e">
        <f>#REF!</f>
        <v>#REF!</v>
      </c>
      <c r="G272" s="11" t="e">
        <f>#REF!</f>
        <v>#REF!</v>
      </c>
      <c r="H272" s="11" t="e">
        <f>#REF!</f>
        <v>#REF!</v>
      </c>
      <c r="I272" s="11" t="e">
        <f>#REF!</f>
        <v>#REF!</v>
      </c>
      <c r="J272" s="11" t="e">
        <f>#REF!</f>
        <v>#REF!</v>
      </c>
      <c r="K272" s="11">
        <f>'Прил.№4 ведомств.'!G212</f>
        <v>48.9</v>
      </c>
      <c r="L272" s="11">
        <f>'Прил.№4 ведомств.'!H212</f>
        <v>48.9</v>
      </c>
      <c r="M272" s="7">
        <f t="shared" si="111"/>
        <v>100</v>
      </c>
    </row>
    <row r="273" spans="1:13" ht="63">
      <c r="A273" s="47" t="s">
        <v>292</v>
      </c>
      <c r="B273" s="42" t="s">
        <v>201</v>
      </c>
      <c r="C273" s="42" t="s">
        <v>289</v>
      </c>
      <c r="D273" s="42" t="s">
        <v>293</v>
      </c>
      <c r="E273" s="42"/>
      <c r="F273" s="7" t="e">
        <f aca="true" t="shared" si="114" ref="F273:L273">F274+F276</f>
        <v>#REF!</v>
      </c>
      <c r="G273" s="7" t="e">
        <f t="shared" si="114"/>
        <v>#REF!</v>
      </c>
      <c r="H273" s="7" t="e">
        <f t="shared" si="114"/>
        <v>#REF!</v>
      </c>
      <c r="I273" s="7" t="e">
        <f t="shared" si="114"/>
        <v>#REF!</v>
      </c>
      <c r="J273" s="7" t="e">
        <f t="shared" si="114"/>
        <v>#REF!</v>
      </c>
      <c r="K273" s="7">
        <f t="shared" si="114"/>
        <v>901.3</v>
      </c>
      <c r="L273" s="7">
        <f t="shared" si="114"/>
        <v>806.8000000000001</v>
      </c>
      <c r="M273" s="7">
        <f t="shared" si="111"/>
        <v>89.51514479085766</v>
      </c>
    </row>
    <row r="274" spans="1:13" ht="78.75">
      <c r="A274" s="31" t="s">
        <v>178</v>
      </c>
      <c r="B274" s="42" t="s">
        <v>201</v>
      </c>
      <c r="C274" s="42" t="s">
        <v>289</v>
      </c>
      <c r="D274" s="42" t="s">
        <v>293</v>
      </c>
      <c r="E274" s="42" t="s">
        <v>179</v>
      </c>
      <c r="F274" s="7" t="e">
        <f>F275</f>
        <v>#REF!</v>
      </c>
      <c r="G274" s="7" t="e">
        <f aca="true" t="shared" si="115" ref="G274:L274">G275</f>
        <v>#REF!</v>
      </c>
      <c r="H274" s="7" t="e">
        <f t="shared" si="115"/>
        <v>#REF!</v>
      </c>
      <c r="I274" s="7" t="e">
        <f t="shared" si="115"/>
        <v>#REF!</v>
      </c>
      <c r="J274" s="7" t="e">
        <f t="shared" si="115"/>
        <v>#REF!</v>
      </c>
      <c r="K274" s="7">
        <f t="shared" si="115"/>
        <v>779.6999999999999</v>
      </c>
      <c r="L274" s="7">
        <f t="shared" si="115"/>
        <v>721.2</v>
      </c>
      <c r="M274" s="7">
        <f t="shared" si="111"/>
        <v>92.49711427472106</v>
      </c>
    </row>
    <row r="275" spans="1:13" ht="31.5">
      <c r="A275" s="31" t="s">
        <v>180</v>
      </c>
      <c r="B275" s="42" t="s">
        <v>201</v>
      </c>
      <c r="C275" s="42" t="s">
        <v>289</v>
      </c>
      <c r="D275" s="42" t="s">
        <v>293</v>
      </c>
      <c r="E275" s="42" t="s">
        <v>181</v>
      </c>
      <c r="F275" s="7" t="e">
        <f>#REF!</f>
        <v>#REF!</v>
      </c>
      <c r="G275" s="7" t="e">
        <f>#REF!</f>
        <v>#REF!</v>
      </c>
      <c r="H275" s="7" t="e">
        <f>#REF!</f>
        <v>#REF!</v>
      </c>
      <c r="I275" s="7" t="e">
        <f>#REF!</f>
        <v>#REF!</v>
      </c>
      <c r="J275" s="7" t="e">
        <f>#REF!</f>
        <v>#REF!</v>
      </c>
      <c r="K275" s="7">
        <f>'Прил.№4 ведомств.'!G215</f>
        <v>779.6999999999999</v>
      </c>
      <c r="L275" s="7">
        <f>'Прил.№4 ведомств.'!H215</f>
        <v>721.2</v>
      </c>
      <c r="M275" s="7">
        <f t="shared" si="111"/>
        <v>92.49711427472106</v>
      </c>
    </row>
    <row r="276" spans="1:13" ht="31.5">
      <c r="A276" s="31" t="s">
        <v>182</v>
      </c>
      <c r="B276" s="42" t="s">
        <v>201</v>
      </c>
      <c r="C276" s="42" t="s">
        <v>289</v>
      </c>
      <c r="D276" s="42" t="s">
        <v>293</v>
      </c>
      <c r="E276" s="42" t="s">
        <v>183</v>
      </c>
      <c r="F276" s="7" t="e">
        <f>F277</f>
        <v>#REF!</v>
      </c>
      <c r="G276" s="7" t="e">
        <f aca="true" t="shared" si="116" ref="G276:L276">G277</f>
        <v>#REF!</v>
      </c>
      <c r="H276" s="7" t="e">
        <f t="shared" si="116"/>
        <v>#REF!</v>
      </c>
      <c r="I276" s="7" t="e">
        <f t="shared" si="116"/>
        <v>#REF!</v>
      </c>
      <c r="J276" s="7" t="e">
        <f t="shared" si="116"/>
        <v>#REF!</v>
      </c>
      <c r="K276" s="7">
        <f t="shared" si="116"/>
        <v>121.60000000000002</v>
      </c>
      <c r="L276" s="7">
        <f t="shared" si="116"/>
        <v>85.6</v>
      </c>
      <c r="M276" s="7">
        <f t="shared" si="111"/>
        <v>70.39473684210525</v>
      </c>
    </row>
    <row r="277" spans="1:13" ht="47.25">
      <c r="A277" s="31" t="s">
        <v>184</v>
      </c>
      <c r="B277" s="42" t="s">
        <v>201</v>
      </c>
      <c r="C277" s="42" t="s">
        <v>289</v>
      </c>
      <c r="D277" s="42" t="s">
        <v>293</v>
      </c>
      <c r="E277" s="42" t="s">
        <v>185</v>
      </c>
      <c r="F277" s="7" t="e">
        <f>#REF!</f>
        <v>#REF!</v>
      </c>
      <c r="G277" s="7" t="e">
        <f>#REF!</f>
        <v>#REF!</v>
      </c>
      <c r="H277" s="7" t="e">
        <f>#REF!</f>
        <v>#REF!</v>
      </c>
      <c r="I277" s="7" t="e">
        <f>#REF!</f>
        <v>#REF!</v>
      </c>
      <c r="J277" s="7" t="e">
        <f>#REF!</f>
        <v>#REF!</v>
      </c>
      <c r="K277" s="7">
        <f>'Прил.№4 ведомств.'!G217</f>
        <v>121.60000000000002</v>
      </c>
      <c r="L277" s="7">
        <f>'Прил.№4 ведомств.'!H217</f>
        <v>85.6</v>
      </c>
      <c r="M277" s="7">
        <f t="shared" si="111"/>
        <v>70.39473684210525</v>
      </c>
    </row>
    <row r="278" spans="1:13" ht="15.75">
      <c r="A278" s="43" t="s">
        <v>442</v>
      </c>
      <c r="B278" s="8" t="s">
        <v>285</v>
      </c>
      <c r="C278" s="8"/>
      <c r="D278" s="8"/>
      <c r="E278" s="8"/>
      <c r="F278" s="4" t="e">
        <f aca="true" t="shared" si="117" ref="F278:K278">F279++F298+F373+F433</f>
        <v>#REF!</v>
      </c>
      <c r="G278" s="4" t="e">
        <f t="shared" si="117"/>
        <v>#REF!</v>
      </c>
      <c r="H278" s="4" t="e">
        <f t="shared" si="117"/>
        <v>#REF!</v>
      </c>
      <c r="I278" s="4" t="e">
        <f t="shared" si="117"/>
        <v>#REF!</v>
      </c>
      <c r="J278" s="4" t="e">
        <f t="shared" si="117"/>
        <v>#REF!</v>
      </c>
      <c r="K278" s="4">
        <f t="shared" si="117"/>
        <v>151915.88</v>
      </c>
      <c r="L278" s="4">
        <f>L279++L298+L373+L433</f>
        <v>144098.40000000002</v>
      </c>
      <c r="M278" s="4">
        <f t="shared" si="111"/>
        <v>94.85407318839874</v>
      </c>
    </row>
    <row r="279" spans="1:17" ht="15.75">
      <c r="A279" s="43" t="s">
        <v>443</v>
      </c>
      <c r="B279" s="8" t="s">
        <v>285</v>
      </c>
      <c r="C279" s="8" t="s">
        <v>169</v>
      </c>
      <c r="D279" s="8"/>
      <c r="E279" s="8"/>
      <c r="F279" s="4" t="e">
        <f>F280</f>
        <v>#REF!</v>
      </c>
      <c r="G279" s="4" t="e">
        <f aca="true" t="shared" si="118" ref="G279:L280">G280</f>
        <v>#REF!</v>
      </c>
      <c r="H279" s="4" t="e">
        <f t="shared" si="118"/>
        <v>#REF!</v>
      </c>
      <c r="I279" s="4" t="e">
        <f t="shared" si="118"/>
        <v>#REF!</v>
      </c>
      <c r="J279" s="4" t="e">
        <f t="shared" si="118"/>
        <v>#REF!</v>
      </c>
      <c r="K279" s="4">
        <f t="shared" si="118"/>
        <v>7604.1</v>
      </c>
      <c r="L279" s="4">
        <f t="shared" si="118"/>
        <v>7357.800000000001</v>
      </c>
      <c r="M279" s="4">
        <f t="shared" si="111"/>
        <v>96.76095790428847</v>
      </c>
      <c r="N279" s="23"/>
      <c r="Q279" s="23"/>
    </row>
    <row r="280" spans="1:13" ht="15.75">
      <c r="A280" s="31" t="s">
        <v>172</v>
      </c>
      <c r="B280" s="42" t="s">
        <v>285</v>
      </c>
      <c r="C280" s="42" t="s">
        <v>169</v>
      </c>
      <c r="D280" s="42" t="s">
        <v>173</v>
      </c>
      <c r="E280" s="42"/>
      <c r="F280" s="7" t="e">
        <f>F281</f>
        <v>#REF!</v>
      </c>
      <c r="G280" s="7" t="e">
        <f t="shared" si="118"/>
        <v>#REF!</v>
      </c>
      <c r="H280" s="7" t="e">
        <f t="shared" si="118"/>
        <v>#REF!</v>
      </c>
      <c r="I280" s="7" t="e">
        <f t="shared" si="118"/>
        <v>#REF!</v>
      </c>
      <c r="J280" s="7" t="e">
        <f t="shared" si="118"/>
        <v>#REF!</v>
      </c>
      <c r="K280" s="7">
        <f t="shared" si="118"/>
        <v>7604.1</v>
      </c>
      <c r="L280" s="7">
        <f t="shared" si="118"/>
        <v>7357.800000000001</v>
      </c>
      <c r="M280" s="7">
        <f t="shared" si="111"/>
        <v>96.76095790428847</v>
      </c>
    </row>
    <row r="281" spans="1:13" ht="15.75">
      <c r="A281" s="31" t="s">
        <v>192</v>
      </c>
      <c r="B281" s="42" t="s">
        <v>285</v>
      </c>
      <c r="C281" s="42" t="s">
        <v>169</v>
      </c>
      <c r="D281" s="42" t="s">
        <v>193</v>
      </c>
      <c r="E281" s="8"/>
      <c r="F281" s="7" t="e">
        <f>F293+F287+F282</f>
        <v>#REF!</v>
      </c>
      <c r="G281" s="7" t="e">
        <f>G293+G287+G282</f>
        <v>#REF!</v>
      </c>
      <c r="H281" s="7" t="e">
        <f>H293+H287+H282</f>
        <v>#REF!</v>
      </c>
      <c r="I281" s="7" t="e">
        <f>I293+I287+I282</f>
        <v>#REF!</v>
      </c>
      <c r="J281" s="7" t="e">
        <f>J293+J287+J282</f>
        <v>#REF!</v>
      </c>
      <c r="K281" s="7">
        <f>K287+K290+K293+K282</f>
        <v>7604.1</v>
      </c>
      <c r="L281" s="7">
        <f>L287+L290+L293+L282</f>
        <v>7357.800000000001</v>
      </c>
      <c r="M281" s="7">
        <f t="shared" si="111"/>
        <v>96.76095790428847</v>
      </c>
    </row>
    <row r="282" spans="1:13" ht="15.75">
      <c r="A282" s="26" t="s">
        <v>567</v>
      </c>
      <c r="B282" s="42" t="s">
        <v>285</v>
      </c>
      <c r="C282" s="42" t="s">
        <v>169</v>
      </c>
      <c r="D282" s="42" t="s">
        <v>568</v>
      </c>
      <c r="E282" s="8"/>
      <c r="F282" s="7" t="e">
        <f aca="true" t="shared" si="119" ref="F282:L282">F283+F285</f>
        <v>#REF!</v>
      </c>
      <c r="G282" s="7" t="e">
        <f t="shared" si="119"/>
        <v>#REF!</v>
      </c>
      <c r="H282" s="7" t="e">
        <f t="shared" si="119"/>
        <v>#REF!</v>
      </c>
      <c r="I282" s="7" t="e">
        <f t="shared" si="119"/>
        <v>#REF!</v>
      </c>
      <c r="J282" s="7" t="e">
        <f t="shared" si="119"/>
        <v>#REF!</v>
      </c>
      <c r="K282" s="7">
        <f t="shared" si="119"/>
        <v>2040.8999999999999</v>
      </c>
      <c r="L282" s="7">
        <f t="shared" si="119"/>
        <v>1924.4</v>
      </c>
      <c r="M282" s="7">
        <f t="shared" si="111"/>
        <v>94.29173403890442</v>
      </c>
    </row>
    <row r="283" spans="1:13" ht="31.5" hidden="1">
      <c r="A283" s="31" t="s">
        <v>182</v>
      </c>
      <c r="B283" s="42" t="s">
        <v>285</v>
      </c>
      <c r="C283" s="42" t="s">
        <v>169</v>
      </c>
      <c r="D283" s="42" t="s">
        <v>568</v>
      </c>
      <c r="E283" s="42" t="s">
        <v>183</v>
      </c>
      <c r="F283" s="7" t="e">
        <f>F284</f>
        <v>#REF!</v>
      </c>
      <c r="G283" s="7" t="e">
        <f aca="true" t="shared" si="120" ref="G283:L283">G284</f>
        <v>#REF!</v>
      </c>
      <c r="H283" s="7" t="e">
        <f t="shared" si="120"/>
        <v>#REF!</v>
      </c>
      <c r="I283" s="7" t="e">
        <f t="shared" si="120"/>
        <v>#REF!</v>
      </c>
      <c r="J283" s="7" t="e">
        <f t="shared" si="120"/>
        <v>#REF!</v>
      </c>
      <c r="K283" s="7">
        <f t="shared" si="120"/>
        <v>0</v>
      </c>
      <c r="L283" s="7">
        <f t="shared" si="120"/>
        <v>0</v>
      </c>
      <c r="M283" s="7" t="e">
        <f t="shared" si="111"/>
        <v>#DIV/0!</v>
      </c>
    </row>
    <row r="284" spans="1:13" ht="47.25" hidden="1">
      <c r="A284" s="31" t="s">
        <v>184</v>
      </c>
      <c r="B284" s="42" t="s">
        <v>285</v>
      </c>
      <c r="C284" s="42" t="s">
        <v>169</v>
      </c>
      <c r="D284" s="42" t="s">
        <v>568</v>
      </c>
      <c r="E284" s="42" t="s">
        <v>185</v>
      </c>
      <c r="F284" s="7" t="e">
        <f>#REF!</f>
        <v>#REF!</v>
      </c>
      <c r="G284" s="7" t="e">
        <f>#REF!</f>
        <v>#REF!</v>
      </c>
      <c r="H284" s="7" t="e">
        <f>#REF!</f>
        <v>#REF!</v>
      </c>
      <c r="I284" s="7" t="e">
        <f>#REF!</f>
        <v>#REF!</v>
      </c>
      <c r="J284" s="7" t="e">
        <f>#REF!</f>
        <v>#REF!</v>
      </c>
      <c r="K284" s="7"/>
      <c r="L284" s="7"/>
      <c r="M284" s="7" t="e">
        <f t="shared" si="111"/>
        <v>#DIV/0!</v>
      </c>
    </row>
    <row r="285" spans="1:13" ht="15.75">
      <c r="A285" s="31" t="s">
        <v>186</v>
      </c>
      <c r="B285" s="42" t="s">
        <v>285</v>
      </c>
      <c r="C285" s="42" t="s">
        <v>169</v>
      </c>
      <c r="D285" s="42" t="s">
        <v>568</v>
      </c>
      <c r="E285" s="42" t="s">
        <v>196</v>
      </c>
      <c r="F285" s="7" t="e">
        <f>F286</f>
        <v>#REF!</v>
      </c>
      <c r="G285" s="7" t="e">
        <f aca="true" t="shared" si="121" ref="G285:L285">G286</f>
        <v>#REF!</v>
      </c>
      <c r="H285" s="7" t="e">
        <f t="shared" si="121"/>
        <v>#REF!</v>
      </c>
      <c r="I285" s="7" t="e">
        <f t="shared" si="121"/>
        <v>#REF!</v>
      </c>
      <c r="J285" s="7" t="e">
        <f t="shared" si="121"/>
        <v>#REF!</v>
      </c>
      <c r="K285" s="7">
        <f t="shared" si="121"/>
        <v>2040.8999999999999</v>
      </c>
      <c r="L285" s="7">
        <f t="shared" si="121"/>
        <v>1924.4</v>
      </c>
      <c r="M285" s="7">
        <f t="shared" si="111"/>
        <v>94.29173403890442</v>
      </c>
    </row>
    <row r="286" spans="1:13" ht="47.25">
      <c r="A286" s="31" t="s">
        <v>235</v>
      </c>
      <c r="B286" s="42" t="s">
        <v>285</v>
      </c>
      <c r="C286" s="42" t="s">
        <v>169</v>
      </c>
      <c r="D286" s="42" t="s">
        <v>568</v>
      </c>
      <c r="E286" s="42" t="s">
        <v>211</v>
      </c>
      <c r="F286" s="7" t="e">
        <f>#REF!</f>
        <v>#REF!</v>
      </c>
      <c r="G286" s="7" t="e">
        <f>#REF!</f>
        <v>#REF!</v>
      </c>
      <c r="H286" s="7" t="e">
        <f>#REF!</f>
        <v>#REF!</v>
      </c>
      <c r="I286" s="7" t="e">
        <f>#REF!</f>
        <v>#REF!</v>
      </c>
      <c r="J286" s="7" t="e">
        <f>#REF!</f>
        <v>#REF!</v>
      </c>
      <c r="K286" s="7">
        <f>'Прил.№4 ведомств.'!G919</f>
        <v>2040.8999999999999</v>
      </c>
      <c r="L286" s="7">
        <f>'Прил.№4 ведомств.'!H919</f>
        <v>1924.4</v>
      </c>
      <c r="M286" s="7">
        <f t="shared" si="111"/>
        <v>94.29173403890442</v>
      </c>
    </row>
    <row r="287" spans="1:13" ht="31.5">
      <c r="A287" s="31" t="s">
        <v>450</v>
      </c>
      <c r="B287" s="42" t="s">
        <v>285</v>
      </c>
      <c r="C287" s="42" t="s">
        <v>169</v>
      </c>
      <c r="D287" s="42" t="s">
        <v>451</v>
      </c>
      <c r="E287" s="8"/>
      <c r="F287" s="7" t="e">
        <f>F288</f>
        <v>#REF!</v>
      </c>
      <c r="G287" s="7" t="e">
        <f aca="true" t="shared" si="122" ref="G287:L288">G288</f>
        <v>#REF!</v>
      </c>
      <c r="H287" s="7" t="e">
        <f t="shared" si="122"/>
        <v>#REF!</v>
      </c>
      <c r="I287" s="7" t="e">
        <f t="shared" si="122"/>
        <v>#REF!</v>
      </c>
      <c r="J287" s="7" t="e">
        <f t="shared" si="122"/>
        <v>#REF!</v>
      </c>
      <c r="K287" s="7">
        <f t="shared" si="122"/>
        <v>4280.8</v>
      </c>
      <c r="L287" s="7">
        <f t="shared" si="122"/>
        <v>4169.1</v>
      </c>
      <c r="M287" s="7">
        <f t="shared" si="111"/>
        <v>97.39067464025416</v>
      </c>
    </row>
    <row r="288" spans="1:13" ht="31.5">
      <c r="A288" s="31" t="s">
        <v>182</v>
      </c>
      <c r="B288" s="42" t="s">
        <v>285</v>
      </c>
      <c r="C288" s="42" t="s">
        <v>169</v>
      </c>
      <c r="D288" s="42" t="s">
        <v>451</v>
      </c>
      <c r="E288" s="42" t="s">
        <v>183</v>
      </c>
      <c r="F288" s="7" t="e">
        <f>F289</f>
        <v>#REF!</v>
      </c>
      <c r="G288" s="7" t="e">
        <f t="shared" si="122"/>
        <v>#REF!</v>
      </c>
      <c r="H288" s="7" t="e">
        <f t="shared" si="122"/>
        <v>#REF!</v>
      </c>
      <c r="I288" s="7" t="e">
        <f t="shared" si="122"/>
        <v>#REF!</v>
      </c>
      <c r="J288" s="7" t="e">
        <f t="shared" si="122"/>
        <v>#REF!</v>
      </c>
      <c r="K288" s="7">
        <f t="shared" si="122"/>
        <v>4280.8</v>
      </c>
      <c r="L288" s="7">
        <f t="shared" si="122"/>
        <v>4169.1</v>
      </c>
      <c r="M288" s="7">
        <f t="shared" si="111"/>
        <v>97.39067464025416</v>
      </c>
    </row>
    <row r="289" spans="1:13" ht="47.25">
      <c r="A289" s="31" t="s">
        <v>184</v>
      </c>
      <c r="B289" s="42" t="s">
        <v>285</v>
      </c>
      <c r="C289" s="42" t="s">
        <v>169</v>
      </c>
      <c r="D289" s="42" t="s">
        <v>451</v>
      </c>
      <c r="E289" s="42" t="s">
        <v>185</v>
      </c>
      <c r="F289" s="7" t="e">
        <f>#REF!+#REF!</f>
        <v>#REF!</v>
      </c>
      <c r="G289" s="7" t="e">
        <f>#REF!+#REF!</f>
        <v>#REF!</v>
      </c>
      <c r="H289" s="7" t="e">
        <f>#REF!+#REF!</f>
        <v>#REF!</v>
      </c>
      <c r="I289" s="7" t="e">
        <f>#REF!+#REF!</f>
        <v>#REF!</v>
      </c>
      <c r="J289" s="7" t="e">
        <f>#REF!+#REF!</f>
        <v>#REF!</v>
      </c>
      <c r="K289" s="7">
        <f>'Прил.№4 ведомств.'!G922+'Прил.№4 ведомств.'!G568</f>
        <v>4280.8</v>
      </c>
      <c r="L289" s="7">
        <f>'Прил.№4 ведомств.'!H922+'Прил.№4 ведомств.'!H568</f>
        <v>4169.1</v>
      </c>
      <c r="M289" s="7">
        <f t="shared" si="111"/>
        <v>97.39067464025416</v>
      </c>
    </row>
    <row r="290" spans="1:13" ht="15.75">
      <c r="A290" s="26" t="s">
        <v>591</v>
      </c>
      <c r="B290" s="42" t="s">
        <v>285</v>
      </c>
      <c r="C290" s="42" t="s">
        <v>169</v>
      </c>
      <c r="D290" s="42" t="s">
        <v>592</v>
      </c>
      <c r="E290" s="42"/>
      <c r="F290" s="7"/>
      <c r="G290" s="7"/>
      <c r="H290" s="7"/>
      <c r="I290" s="7"/>
      <c r="J290" s="7"/>
      <c r="K290" s="7">
        <f>K291</f>
        <v>1282.4</v>
      </c>
      <c r="L290" s="7">
        <f>L291</f>
        <v>1264.3</v>
      </c>
      <c r="M290" s="7">
        <f t="shared" si="111"/>
        <v>98.58858390517779</v>
      </c>
    </row>
    <row r="291" spans="1:13" ht="31.5">
      <c r="A291" s="26" t="s">
        <v>182</v>
      </c>
      <c r="B291" s="42" t="s">
        <v>285</v>
      </c>
      <c r="C291" s="42" t="s">
        <v>169</v>
      </c>
      <c r="D291" s="42" t="s">
        <v>592</v>
      </c>
      <c r="E291" s="42" t="s">
        <v>183</v>
      </c>
      <c r="F291" s="7"/>
      <c r="G291" s="7"/>
      <c r="H291" s="7"/>
      <c r="I291" s="7"/>
      <c r="J291" s="7"/>
      <c r="K291" s="7">
        <f>K292</f>
        <v>1282.4</v>
      </c>
      <c r="L291" s="7">
        <f>L292</f>
        <v>1264.3</v>
      </c>
      <c r="M291" s="7">
        <f t="shared" si="111"/>
        <v>98.58858390517779</v>
      </c>
    </row>
    <row r="292" spans="1:13" ht="47.25">
      <c r="A292" s="26" t="s">
        <v>184</v>
      </c>
      <c r="B292" s="42" t="s">
        <v>285</v>
      </c>
      <c r="C292" s="42" t="s">
        <v>169</v>
      </c>
      <c r="D292" s="42" t="s">
        <v>592</v>
      </c>
      <c r="E292" s="42" t="s">
        <v>185</v>
      </c>
      <c r="F292" s="7"/>
      <c r="G292" s="7"/>
      <c r="H292" s="7"/>
      <c r="I292" s="7"/>
      <c r="J292" s="7"/>
      <c r="K292" s="7">
        <f>'Прил.№4 ведомств.'!G925</f>
        <v>1282.4</v>
      </c>
      <c r="L292" s="7">
        <f>'Прил.№4 ведомств.'!H925</f>
        <v>1264.3</v>
      </c>
      <c r="M292" s="7">
        <f t="shared" si="111"/>
        <v>98.58858390517779</v>
      </c>
    </row>
    <row r="293" spans="1:13" ht="15.75" hidden="1">
      <c r="A293" s="31" t="s">
        <v>448</v>
      </c>
      <c r="B293" s="42" t="s">
        <v>285</v>
      </c>
      <c r="C293" s="42" t="s">
        <v>169</v>
      </c>
      <c r="D293" s="42" t="s">
        <v>449</v>
      </c>
      <c r="E293" s="8"/>
      <c r="F293" s="7" t="e">
        <f aca="true" t="shared" si="123" ref="F293:L293">F296+F294</f>
        <v>#REF!</v>
      </c>
      <c r="G293" s="7" t="e">
        <f t="shared" si="123"/>
        <v>#REF!</v>
      </c>
      <c r="H293" s="7" t="e">
        <f t="shared" si="123"/>
        <v>#REF!</v>
      </c>
      <c r="I293" s="7" t="e">
        <f t="shared" si="123"/>
        <v>#REF!</v>
      </c>
      <c r="J293" s="7" t="e">
        <f t="shared" si="123"/>
        <v>#REF!</v>
      </c>
      <c r="K293" s="7">
        <f t="shared" si="123"/>
        <v>0</v>
      </c>
      <c r="L293" s="7">
        <f t="shared" si="123"/>
        <v>0</v>
      </c>
      <c r="M293" s="4" t="e">
        <f t="shared" si="111"/>
        <v>#DIV/0!</v>
      </c>
    </row>
    <row r="294" spans="1:13" ht="31.5" hidden="1">
      <c r="A294" s="31" t="s">
        <v>182</v>
      </c>
      <c r="B294" s="42" t="s">
        <v>285</v>
      </c>
      <c r="C294" s="42" t="s">
        <v>169</v>
      </c>
      <c r="D294" s="42" t="s">
        <v>449</v>
      </c>
      <c r="E294" s="42" t="s">
        <v>183</v>
      </c>
      <c r="F294" s="7" t="e">
        <f>F295</f>
        <v>#REF!</v>
      </c>
      <c r="G294" s="7" t="e">
        <f aca="true" t="shared" si="124" ref="G294:L294">G295</f>
        <v>#REF!</v>
      </c>
      <c r="H294" s="7" t="e">
        <f t="shared" si="124"/>
        <v>#REF!</v>
      </c>
      <c r="I294" s="7" t="e">
        <f t="shared" si="124"/>
        <v>#REF!</v>
      </c>
      <c r="J294" s="7" t="e">
        <f t="shared" si="124"/>
        <v>#REF!</v>
      </c>
      <c r="K294" s="7">
        <f t="shared" si="124"/>
        <v>0</v>
      </c>
      <c r="L294" s="7">
        <f t="shared" si="124"/>
        <v>0</v>
      </c>
      <c r="M294" s="4" t="e">
        <f t="shared" si="111"/>
        <v>#DIV/0!</v>
      </c>
    </row>
    <row r="295" spans="1:13" ht="47.25" hidden="1">
      <c r="A295" s="31" t="s">
        <v>184</v>
      </c>
      <c r="B295" s="42" t="s">
        <v>285</v>
      </c>
      <c r="C295" s="42" t="s">
        <v>169</v>
      </c>
      <c r="D295" s="42" t="s">
        <v>449</v>
      </c>
      <c r="E295" s="42" t="s">
        <v>185</v>
      </c>
      <c r="F295" s="7" t="e">
        <f>#REF!</f>
        <v>#REF!</v>
      </c>
      <c r="G295" s="7" t="e">
        <f>#REF!</f>
        <v>#REF!</v>
      </c>
      <c r="H295" s="7" t="e">
        <f>#REF!</f>
        <v>#REF!</v>
      </c>
      <c r="I295" s="7" t="e">
        <f>#REF!</f>
        <v>#REF!</v>
      </c>
      <c r="J295" s="7" t="e">
        <f>#REF!</f>
        <v>#REF!</v>
      </c>
      <c r="K295" s="7">
        <f>'Прил.№4 ведомств.'!G571</f>
        <v>0</v>
      </c>
      <c r="L295" s="7">
        <f>'Прил.№4 ведомств.'!H571</f>
        <v>0</v>
      </c>
      <c r="M295" s="4" t="e">
        <f t="shared" si="111"/>
        <v>#DIV/0!</v>
      </c>
    </row>
    <row r="296" spans="1:13" ht="15.75" customHeight="1" hidden="1">
      <c r="A296" s="31" t="s">
        <v>186</v>
      </c>
      <c r="B296" s="42" t="s">
        <v>285</v>
      </c>
      <c r="C296" s="42" t="s">
        <v>169</v>
      </c>
      <c r="D296" s="42" t="s">
        <v>449</v>
      </c>
      <c r="E296" s="42" t="s">
        <v>196</v>
      </c>
      <c r="F296" s="7">
        <f>F297</f>
        <v>0</v>
      </c>
      <c r="G296" s="7">
        <f aca="true" t="shared" si="125" ref="G296:L296">G297</f>
        <v>0</v>
      </c>
      <c r="H296" s="7">
        <f t="shared" si="125"/>
        <v>0</v>
      </c>
      <c r="I296" s="7">
        <f t="shared" si="125"/>
        <v>0</v>
      </c>
      <c r="J296" s="7">
        <f t="shared" si="125"/>
        <v>0</v>
      </c>
      <c r="K296" s="7">
        <f t="shared" si="125"/>
        <v>0</v>
      </c>
      <c r="L296" s="7">
        <f t="shared" si="125"/>
        <v>0</v>
      </c>
      <c r="M296" s="4" t="e">
        <f t="shared" si="111"/>
        <v>#DIV/0!</v>
      </c>
    </row>
    <row r="297" spans="1:13" ht="47.25" customHeight="1" hidden="1">
      <c r="A297" s="31" t="s">
        <v>235</v>
      </c>
      <c r="B297" s="42" t="s">
        <v>285</v>
      </c>
      <c r="C297" s="42" t="s">
        <v>169</v>
      </c>
      <c r="D297" s="42" t="s">
        <v>449</v>
      </c>
      <c r="E297" s="42" t="s">
        <v>211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4" t="e">
        <f t="shared" si="111"/>
        <v>#DIV/0!</v>
      </c>
    </row>
    <row r="298" spans="1:13" ht="15.75">
      <c r="A298" s="43" t="s">
        <v>569</v>
      </c>
      <c r="B298" s="8" t="s">
        <v>285</v>
      </c>
      <c r="C298" s="8" t="s">
        <v>264</v>
      </c>
      <c r="D298" s="8"/>
      <c r="E298" s="8"/>
      <c r="F298" s="4" t="e">
        <f aca="true" t="shared" si="126" ref="F298:L298">F328+F299</f>
        <v>#REF!</v>
      </c>
      <c r="G298" s="4" t="e">
        <f t="shared" si="126"/>
        <v>#REF!</v>
      </c>
      <c r="H298" s="4" t="e">
        <f t="shared" si="126"/>
        <v>#REF!</v>
      </c>
      <c r="I298" s="4" t="e">
        <f t="shared" si="126"/>
        <v>#REF!</v>
      </c>
      <c r="J298" s="4" t="e">
        <f t="shared" si="126"/>
        <v>#REF!</v>
      </c>
      <c r="K298" s="4">
        <f t="shared" si="126"/>
        <v>103836.4</v>
      </c>
      <c r="L298" s="4">
        <f t="shared" si="126"/>
        <v>99820.6</v>
      </c>
      <c r="M298" s="4">
        <f t="shared" si="111"/>
        <v>96.13257008139729</v>
      </c>
    </row>
    <row r="299" spans="1:13" ht="63">
      <c r="A299" s="26" t="s">
        <v>654</v>
      </c>
      <c r="B299" s="42" t="s">
        <v>285</v>
      </c>
      <c r="C299" s="42" t="s">
        <v>264</v>
      </c>
      <c r="D299" s="21" t="s">
        <v>570</v>
      </c>
      <c r="E299" s="8"/>
      <c r="F299" s="7" t="e">
        <f aca="true" t="shared" si="127" ref="F299:L299">F303+F306+F311+F316+F319+F322+F325</f>
        <v>#REF!</v>
      </c>
      <c r="G299" s="7" t="e">
        <f t="shared" si="127"/>
        <v>#REF!</v>
      </c>
      <c r="H299" s="7" t="e">
        <f t="shared" si="127"/>
        <v>#REF!</v>
      </c>
      <c r="I299" s="7" t="e">
        <f t="shared" si="127"/>
        <v>#REF!</v>
      </c>
      <c r="J299" s="7" t="e">
        <f t="shared" si="127"/>
        <v>#REF!</v>
      </c>
      <c r="K299" s="7">
        <f t="shared" si="127"/>
        <v>6712</v>
      </c>
      <c r="L299" s="7">
        <f t="shared" si="127"/>
        <v>6168.099999999999</v>
      </c>
      <c r="M299" s="7">
        <f t="shared" si="111"/>
        <v>91.89660309892729</v>
      </c>
    </row>
    <row r="300" spans="1:13" ht="47.25" customHeight="1" hidden="1">
      <c r="A300" s="37" t="s">
        <v>571</v>
      </c>
      <c r="B300" s="42" t="s">
        <v>285</v>
      </c>
      <c r="C300" s="42" t="s">
        <v>264</v>
      </c>
      <c r="D300" s="21" t="s">
        <v>572</v>
      </c>
      <c r="E300" s="8"/>
      <c r="F300" s="7">
        <f>F301</f>
        <v>0</v>
      </c>
      <c r="G300" s="7">
        <f aca="true" t="shared" si="128" ref="G300:L301">G301</f>
        <v>0</v>
      </c>
      <c r="H300" s="7">
        <f t="shared" si="128"/>
        <v>0</v>
      </c>
      <c r="I300" s="7">
        <f t="shared" si="128"/>
        <v>0</v>
      </c>
      <c r="J300" s="7">
        <f t="shared" si="128"/>
        <v>0</v>
      </c>
      <c r="K300" s="7">
        <f t="shared" si="128"/>
        <v>0</v>
      </c>
      <c r="L300" s="7">
        <f t="shared" si="128"/>
        <v>0</v>
      </c>
      <c r="M300" s="7" t="e">
        <f t="shared" si="111"/>
        <v>#DIV/0!</v>
      </c>
    </row>
    <row r="301" spans="1:13" ht="31.5" customHeight="1" hidden="1">
      <c r="A301" s="26" t="s">
        <v>182</v>
      </c>
      <c r="B301" s="42" t="s">
        <v>285</v>
      </c>
      <c r="C301" s="42" t="s">
        <v>264</v>
      </c>
      <c r="D301" s="21" t="s">
        <v>572</v>
      </c>
      <c r="E301" s="42" t="s">
        <v>183</v>
      </c>
      <c r="F301" s="7">
        <f>F302</f>
        <v>0</v>
      </c>
      <c r="G301" s="7">
        <f t="shared" si="128"/>
        <v>0</v>
      </c>
      <c r="H301" s="7">
        <f t="shared" si="128"/>
        <v>0</v>
      </c>
      <c r="I301" s="7">
        <f t="shared" si="128"/>
        <v>0</v>
      </c>
      <c r="J301" s="7">
        <f t="shared" si="128"/>
        <v>0</v>
      </c>
      <c r="K301" s="7">
        <f t="shared" si="128"/>
        <v>0</v>
      </c>
      <c r="L301" s="7">
        <f t="shared" si="128"/>
        <v>0</v>
      </c>
      <c r="M301" s="7" t="e">
        <f t="shared" si="111"/>
        <v>#DIV/0!</v>
      </c>
    </row>
    <row r="302" spans="1:13" ht="47.25" customHeight="1" hidden="1">
      <c r="A302" s="26" t="s">
        <v>184</v>
      </c>
      <c r="B302" s="42" t="s">
        <v>285</v>
      </c>
      <c r="C302" s="42" t="s">
        <v>264</v>
      </c>
      <c r="D302" s="21" t="s">
        <v>572</v>
      </c>
      <c r="E302" s="42" t="s">
        <v>185</v>
      </c>
      <c r="F302" s="7"/>
      <c r="G302" s="7"/>
      <c r="H302" s="7"/>
      <c r="I302" s="7"/>
      <c r="J302" s="7"/>
      <c r="K302" s="7"/>
      <c r="L302" s="7"/>
      <c r="M302" s="7" t="e">
        <f t="shared" si="111"/>
        <v>#DIV/0!</v>
      </c>
    </row>
    <row r="303" spans="1:13" ht="15.75">
      <c r="A303" s="123" t="s">
        <v>573</v>
      </c>
      <c r="B303" s="42" t="s">
        <v>285</v>
      </c>
      <c r="C303" s="42" t="s">
        <v>264</v>
      </c>
      <c r="D303" s="21" t="s">
        <v>574</v>
      </c>
      <c r="E303" s="42"/>
      <c r="F303" s="7" t="e">
        <f>F304</f>
        <v>#REF!</v>
      </c>
      <c r="G303" s="7" t="e">
        <f aca="true" t="shared" si="129" ref="G303:L304">G304</f>
        <v>#REF!</v>
      </c>
      <c r="H303" s="7" t="e">
        <f t="shared" si="129"/>
        <v>#REF!</v>
      </c>
      <c r="I303" s="7" t="e">
        <f t="shared" si="129"/>
        <v>#REF!</v>
      </c>
      <c r="J303" s="7" t="e">
        <f t="shared" si="129"/>
        <v>#REF!</v>
      </c>
      <c r="K303" s="7">
        <f t="shared" si="129"/>
        <v>2407.7</v>
      </c>
      <c r="L303" s="7">
        <f t="shared" si="129"/>
        <v>2375.3</v>
      </c>
      <c r="M303" s="7">
        <f t="shared" si="111"/>
        <v>98.65431739834698</v>
      </c>
    </row>
    <row r="304" spans="1:13" ht="31.5">
      <c r="A304" s="33" t="s">
        <v>182</v>
      </c>
      <c r="B304" s="42" t="s">
        <v>285</v>
      </c>
      <c r="C304" s="42" t="s">
        <v>264</v>
      </c>
      <c r="D304" s="21" t="s">
        <v>574</v>
      </c>
      <c r="E304" s="42" t="s">
        <v>183</v>
      </c>
      <c r="F304" s="7" t="e">
        <f>F305</f>
        <v>#REF!</v>
      </c>
      <c r="G304" s="7" t="e">
        <f t="shared" si="129"/>
        <v>#REF!</v>
      </c>
      <c r="H304" s="7" t="e">
        <f t="shared" si="129"/>
        <v>#REF!</v>
      </c>
      <c r="I304" s="7" t="e">
        <f t="shared" si="129"/>
        <v>#REF!</v>
      </c>
      <c r="J304" s="7" t="e">
        <f t="shared" si="129"/>
        <v>#REF!</v>
      </c>
      <c r="K304" s="7">
        <f t="shared" si="129"/>
        <v>2407.7</v>
      </c>
      <c r="L304" s="7">
        <f t="shared" si="129"/>
        <v>2375.3</v>
      </c>
      <c r="M304" s="7">
        <f t="shared" si="111"/>
        <v>98.65431739834698</v>
      </c>
    </row>
    <row r="305" spans="1:13" ht="47.25">
      <c r="A305" s="33" t="s">
        <v>184</v>
      </c>
      <c r="B305" s="42" t="s">
        <v>285</v>
      </c>
      <c r="C305" s="42" t="s">
        <v>264</v>
      </c>
      <c r="D305" s="21" t="s">
        <v>574</v>
      </c>
      <c r="E305" s="42" t="s">
        <v>185</v>
      </c>
      <c r="F305" s="7" t="e">
        <f>#REF!</f>
        <v>#REF!</v>
      </c>
      <c r="G305" s="7" t="e">
        <f>#REF!</f>
        <v>#REF!</v>
      </c>
      <c r="H305" s="7" t="e">
        <f>#REF!</f>
        <v>#REF!</v>
      </c>
      <c r="I305" s="7" t="e">
        <f>#REF!</f>
        <v>#REF!</v>
      </c>
      <c r="J305" s="7" t="e">
        <f>#REF!</f>
        <v>#REF!</v>
      </c>
      <c r="K305" s="7">
        <f>'Прил.№4 ведомств.'!G933</f>
        <v>2407.7</v>
      </c>
      <c r="L305" s="7">
        <f>'Прил.№4 ведомств.'!H933</f>
        <v>2375.3</v>
      </c>
      <c r="M305" s="7">
        <f t="shared" si="111"/>
        <v>98.65431739834698</v>
      </c>
    </row>
    <row r="306" spans="1:13" ht="15.75">
      <c r="A306" s="123" t="s">
        <v>575</v>
      </c>
      <c r="B306" s="42" t="s">
        <v>285</v>
      </c>
      <c r="C306" s="42" t="s">
        <v>264</v>
      </c>
      <c r="D306" s="21" t="s">
        <v>576</v>
      </c>
      <c r="E306" s="42"/>
      <c r="F306" s="7" t="e">
        <f>F307</f>
        <v>#REF!</v>
      </c>
      <c r="G306" s="7" t="e">
        <f aca="true" t="shared" si="130" ref="G306:L307">G307</f>
        <v>#REF!</v>
      </c>
      <c r="H306" s="7" t="e">
        <f t="shared" si="130"/>
        <v>#REF!</v>
      </c>
      <c r="I306" s="7" t="e">
        <f t="shared" si="130"/>
        <v>#REF!</v>
      </c>
      <c r="J306" s="7" t="e">
        <f t="shared" si="130"/>
        <v>#REF!</v>
      </c>
      <c r="K306" s="7">
        <f>K307+K309</f>
        <v>83.1</v>
      </c>
      <c r="L306" s="7">
        <f>L307+L309</f>
        <v>83</v>
      </c>
      <c r="M306" s="7">
        <f t="shared" si="111"/>
        <v>99.87966305655837</v>
      </c>
    </row>
    <row r="307" spans="1:13" ht="31.5">
      <c r="A307" s="33" t="s">
        <v>182</v>
      </c>
      <c r="B307" s="42" t="s">
        <v>285</v>
      </c>
      <c r="C307" s="42" t="s">
        <v>264</v>
      </c>
      <c r="D307" s="21" t="s">
        <v>576</v>
      </c>
      <c r="E307" s="42" t="s">
        <v>183</v>
      </c>
      <c r="F307" s="7" t="e">
        <f>F308</f>
        <v>#REF!</v>
      </c>
      <c r="G307" s="7" t="e">
        <f t="shared" si="130"/>
        <v>#REF!</v>
      </c>
      <c r="H307" s="7" t="e">
        <f t="shared" si="130"/>
        <v>#REF!</v>
      </c>
      <c r="I307" s="7" t="e">
        <f t="shared" si="130"/>
        <v>#REF!</v>
      </c>
      <c r="J307" s="7" t="e">
        <f t="shared" si="130"/>
        <v>#REF!</v>
      </c>
      <c r="K307" s="7">
        <f t="shared" si="130"/>
        <v>42.5</v>
      </c>
      <c r="L307" s="7">
        <f t="shared" si="130"/>
        <v>42.5</v>
      </c>
      <c r="M307" s="7">
        <f t="shared" si="111"/>
        <v>100</v>
      </c>
    </row>
    <row r="308" spans="1:13" ht="47.25">
      <c r="A308" s="33" t="s">
        <v>184</v>
      </c>
      <c r="B308" s="42" t="s">
        <v>285</v>
      </c>
      <c r="C308" s="42" t="s">
        <v>264</v>
      </c>
      <c r="D308" s="21" t="s">
        <v>576</v>
      </c>
      <c r="E308" s="42" t="s">
        <v>185</v>
      </c>
      <c r="F308" s="7" t="e">
        <f>#REF!</f>
        <v>#REF!</v>
      </c>
      <c r="G308" s="7" t="e">
        <f>#REF!</f>
        <v>#REF!</v>
      </c>
      <c r="H308" s="7" t="e">
        <f>#REF!</f>
        <v>#REF!</v>
      </c>
      <c r="I308" s="7" t="e">
        <f>#REF!</f>
        <v>#REF!</v>
      </c>
      <c r="J308" s="7" t="e">
        <f>#REF!</f>
        <v>#REF!</v>
      </c>
      <c r="K308" s="7">
        <f>'Прил.№4 ведомств.'!G936</f>
        <v>42.5</v>
      </c>
      <c r="L308" s="7">
        <f>'Прил.№4 ведомств.'!H936</f>
        <v>42.5</v>
      </c>
      <c r="M308" s="7">
        <f t="shared" si="111"/>
        <v>100</v>
      </c>
    </row>
    <row r="309" spans="1:13" ht="15.75">
      <c r="A309" s="31" t="s">
        <v>186</v>
      </c>
      <c r="B309" s="42" t="s">
        <v>285</v>
      </c>
      <c r="C309" s="42" t="s">
        <v>264</v>
      </c>
      <c r="D309" s="21" t="s">
        <v>576</v>
      </c>
      <c r="E309" s="42" t="s">
        <v>196</v>
      </c>
      <c r="F309" s="7"/>
      <c r="G309" s="7"/>
      <c r="H309" s="7"/>
      <c r="I309" s="7"/>
      <c r="J309" s="7"/>
      <c r="K309" s="7">
        <f>K310</f>
        <v>40.6</v>
      </c>
      <c r="L309" s="7">
        <f>L310</f>
        <v>40.5</v>
      </c>
      <c r="M309" s="7">
        <f t="shared" si="111"/>
        <v>99.75369458128078</v>
      </c>
    </row>
    <row r="310" spans="1:13" ht="15.75">
      <c r="A310" s="31" t="s">
        <v>197</v>
      </c>
      <c r="B310" s="42" t="s">
        <v>285</v>
      </c>
      <c r="C310" s="42" t="s">
        <v>264</v>
      </c>
      <c r="D310" s="21" t="s">
        <v>576</v>
      </c>
      <c r="E310" s="42" t="s">
        <v>198</v>
      </c>
      <c r="F310" s="7"/>
      <c r="G310" s="7"/>
      <c r="H310" s="7"/>
      <c r="I310" s="7"/>
      <c r="J310" s="7"/>
      <c r="K310" s="7">
        <f>'Прил.№4 ведомств.'!G938</f>
        <v>40.6</v>
      </c>
      <c r="L310" s="7">
        <f>'Прил.№4 ведомств.'!H938</f>
        <v>40.5</v>
      </c>
      <c r="M310" s="7">
        <f t="shared" si="111"/>
        <v>99.75369458128078</v>
      </c>
    </row>
    <row r="311" spans="1:13" ht="15.75">
      <c r="A311" s="123" t="s">
        <v>577</v>
      </c>
      <c r="B311" s="42" t="s">
        <v>285</v>
      </c>
      <c r="C311" s="42" t="s">
        <v>264</v>
      </c>
      <c r="D311" s="21" t="s">
        <v>578</v>
      </c>
      <c r="E311" s="42"/>
      <c r="F311" s="7" t="e">
        <f>F312</f>
        <v>#REF!</v>
      </c>
      <c r="G311" s="7" t="e">
        <f aca="true" t="shared" si="131" ref="G311:L312">G312</f>
        <v>#REF!</v>
      </c>
      <c r="H311" s="7" t="e">
        <f t="shared" si="131"/>
        <v>#REF!</v>
      </c>
      <c r="I311" s="7" t="e">
        <f t="shared" si="131"/>
        <v>#REF!</v>
      </c>
      <c r="J311" s="7" t="e">
        <f t="shared" si="131"/>
        <v>#REF!</v>
      </c>
      <c r="K311" s="7">
        <f>K312+K314</f>
        <v>1093.8</v>
      </c>
      <c r="L311" s="7">
        <f>L312+L314</f>
        <v>1093.7</v>
      </c>
      <c r="M311" s="7">
        <f t="shared" si="111"/>
        <v>99.99085756079722</v>
      </c>
    </row>
    <row r="312" spans="1:13" ht="31.5">
      <c r="A312" s="33" t="s">
        <v>182</v>
      </c>
      <c r="B312" s="42" t="s">
        <v>285</v>
      </c>
      <c r="C312" s="42" t="s">
        <v>264</v>
      </c>
      <c r="D312" s="21" t="s">
        <v>578</v>
      </c>
      <c r="E312" s="42" t="s">
        <v>183</v>
      </c>
      <c r="F312" s="7" t="e">
        <f>F313</f>
        <v>#REF!</v>
      </c>
      <c r="G312" s="7" t="e">
        <f t="shared" si="131"/>
        <v>#REF!</v>
      </c>
      <c r="H312" s="7" t="e">
        <f t="shared" si="131"/>
        <v>#REF!</v>
      </c>
      <c r="I312" s="7" t="e">
        <f t="shared" si="131"/>
        <v>#REF!</v>
      </c>
      <c r="J312" s="7" t="e">
        <f t="shared" si="131"/>
        <v>#REF!</v>
      </c>
      <c r="K312" s="7">
        <f t="shared" si="131"/>
        <v>1093</v>
      </c>
      <c r="L312" s="7">
        <f t="shared" si="131"/>
        <v>1093</v>
      </c>
      <c r="M312" s="7">
        <f t="shared" si="111"/>
        <v>100</v>
      </c>
    </row>
    <row r="313" spans="1:13" ht="47.25">
      <c r="A313" s="33" t="s">
        <v>184</v>
      </c>
      <c r="B313" s="42" t="s">
        <v>285</v>
      </c>
      <c r="C313" s="42" t="s">
        <v>264</v>
      </c>
      <c r="D313" s="21" t="s">
        <v>578</v>
      </c>
      <c r="E313" s="42" t="s">
        <v>185</v>
      </c>
      <c r="F313" s="7" t="e">
        <f>#REF!</f>
        <v>#REF!</v>
      </c>
      <c r="G313" s="7" t="e">
        <f>#REF!</f>
        <v>#REF!</v>
      </c>
      <c r="H313" s="7" t="e">
        <f>#REF!</f>
        <v>#REF!</v>
      </c>
      <c r="I313" s="7" t="e">
        <f>#REF!</f>
        <v>#REF!</v>
      </c>
      <c r="J313" s="7" t="e">
        <f>#REF!</f>
        <v>#REF!</v>
      </c>
      <c r="K313" s="7">
        <f>'Прил.№4 ведомств.'!G941</f>
        <v>1093</v>
      </c>
      <c r="L313" s="7">
        <f>'Прил.№4 ведомств.'!H941</f>
        <v>1093</v>
      </c>
      <c r="M313" s="7">
        <f t="shared" si="111"/>
        <v>100</v>
      </c>
    </row>
    <row r="314" spans="1:13" ht="15.75">
      <c r="A314" s="31" t="s">
        <v>186</v>
      </c>
      <c r="B314" s="42" t="s">
        <v>285</v>
      </c>
      <c r="C314" s="42" t="s">
        <v>264</v>
      </c>
      <c r="D314" s="21" t="s">
        <v>578</v>
      </c>
      <c r="E314" s="42" t="s">
        <v>196</v>
      </c>
      <c r="F314" s="7"/>
      <c r="G314" s="7"/>
      <c r="H314" s="7"/>
      <c r="I314" s="7"/>
      <c r="J314" s="7"/>
      <c r="K314" s="7">
        <f>K315</f>
        <v>0.8</v>
      </c>
      <c r="L314" s="7">
        <f>L315</f>
        <v>0.7</v>
      </c>
      <c r="M314" s="7">
        <f t="shared" si="111"/>
        <v>87.49999999999999</v>
      </c>
    </row>
    <row r="315" spans="1:13" ht="15.75">
      <c r="A315" s="31" t="s">
        <v>620</v>
      </c>
      <c r="B315" s="42" t="s">
        <v>285</v>
      </c>
      <c r="C315" s="42" t="s">
        <v>264</v>
      </c>
      <c r="D315" s="21" t="s">
        <v>578</v>
      </c>
      <c r="E315" s="42"/>
      <c r="F315" s="7"/>
      <c r="G315" s="7"/>
      <c r="H315" s="7"/>
      <c r="I315" s="7"/>
      <c r="J315" s="7"/>
      <c r="K315" s="7">
        <f>'Прил.№4 ведомств.'!G943</f>
        <v>0.8</v>
      </c>
      <c r="L315" s="7">
        <f>'Прил.№4 ведомств.'!H943</f>
        <v>0.7</v>
      </c>
      <c r="M315" s="7">
        <f t="shared" si="111"/>
        <v>87.49999999999999</v>
      </c>
    </row>
    <row r="316" spans="1:13" ht="15.75">
      <c r="A316" s="123" t="s">
        <v>579</v>
      </c>
      <c r="B316" s="42" t="s">
        <v>285</v>
      </c>
      <c r="C316" s="42" t="s">
        <v>264</v>
      </c>
      <c r="D316" s="21" t="s">
        <v>580</v>
      </c>
      <c r="E316" s="42"/>
      <c r="F316" s="7" t="e">
        <f>F317</f>
        <v>#REF!</v>
      </c>
      <c r="G316" s="7" t="e">
        <f aca="true" t="shared" si="132" ref="G316:L317">G317</f>
        <v>#REF!</v>
      </c>
      <c r="H316" s="7" t="e">
        <f t="shared" si="132"/>
        <v>#REF!</v>
      </c>
      <c r="I316" s="7" t="e">
        <f t="shared" si="132"/>
        <v>#REF!</v>
      </c>
      <c r="J316" s="7" t="e">
        <f t="shared" si="132"/>
        <v>#REF!</v>
      </c>
      <c r="K316" s="7">
        <f t="shared" si="132"/>
        <v>1452.4</v>
      </c>
      <c r="L316" s="7">
        <f t="shared" si="132"/>
        <v>941.7</v>
      </c>
      <c r="M316" s="7">
        <f t="shared" si="111"/>
        <v>64.83751032773341</v>
      </c>
    </row>
    <row r="317" spans="1:13" ht="31.5">
      <c r="A317" s="33" t="s">
        <v>182</v>
      </c>
      <c r="B317" s="42" t="s">
        <v>285</v>
      </c>
      <c r="C317" s="42" t="s">
        <v>264</v>
      </c>
      <c r="D317" s="21" t="s">
        <v>580</v>
      </c>
      <c r="E317" s="42" t="s">
        <v>183</v>
      </c>
      <c r="F317" s="7" t="e">
        <f>F318</f>
        <v>#REF!</v>
      </c>
      <c r="G317" s="7" t="e">
        <f t="shared" si="132"/>
        <v>#REF!</v>
      </c>
      <c r="H317" s="7" t="e">
        <f t="shared" si="132"/>
        <v>#REF!</v>
      </c>
      <c r="I317" s="7" t="e">
        <f t="shared" si="132"/>
        <v>#REF!</v>
      </c>
      <c r="J317" s="7" t="e">
        <f t="shared" si="132"/>
        <v>#REF!</v>
      </c>
      <c r="K317" s="7">
        <f t="shared" si="132"/>
        <v>1452.4</v>
      </c>
      <c r="L317" s="7">
        <f t="shared" si="132"/>
        <v>941.7</v>
      </c>
      <c r="M317" s="7">
        <f t="shared" si="111"/>
        <v>64.83751032773341</v>
      </c>
    </row>
    <row r="318" spans="1:13" ht="47.25">
      <c r="A318" s="33" t="s">
        <v>184</v>
      </c>
      <c r="B318" s="42" t="s">
        <v>285</v>
      </c>
      <c r="C318" s="42" t="s">
        <v>264</v>
      </c>
      <c r="D318" s="21" t="s">
        <v>580</v>
      </c>
      <c r="E318" s="42" t="s">
        <v>185</v>
      </c>
      <c r="F318" s="7" t="e">
        <f>#REF!</f>
        <v>#REF!</v>
      </c>
      <c r="G318" s="7" t="e">
        <f>#REF!</f>
        <v>#REF!</v>
      </c>
      <c r="H318" s="7" t="e">
        <f>#REF!</f>
        <v>#REF!</v>
      </c>
      <c r="I318" s="7" t="e">
        <f>#REF!</f>
        <v>#REF!</v>
      </c>
      <c r="J318" s="7" t="e">
        <f>#REF!</f>
        <v>#REF!</v>
      </c>
      <c r="K318" s="7">
        <f>'Прил.№4 ведомств.'!G946</f>
        <v>1452.4</v>
      </c>
      <c r="L318" s="7">
        <f>'Прил.№4 ведомств.'!H946</f>
        <v>941.7</v>
      </c>
      <c r="M318" s="7">
        <f t="shared" si="111"/>
        <v>64.83751032773341</v>
      </c>
    </row>
    <row r="319" spans="1:13" ht="15.75">
      <c r="A319" s="123" t="s">
        <v>581</v>
      </c>
      <c r="B319" s="42" t="s">
        <v>285</v>
      </c>
      <c r="C319" s="42" t="s">
        <v>264</v>
      </c>
      <c r="D319" s="21" t="s">
        <v>582</v>
      </c>
      <c r="E319" s="42"/>
      <c r="F319" s="7" t="e">
        <f>F320</f>
        <v>#REF!</v>
      </c>
      <c r="G319" s="7" t="e">
        <f aca="true" t="shared" si="133" ref="G319:L320">G320</f>
        <v>#REF!</v>
      </c>
      <c r="H319" s="7" t="e">
        <f t="shared" si="133"/>
        <v>#REF!</v>
      </c>
      <c r="I319" s="7" t="e">
        <f t="shared" si="133"/>
        <v>#REF!</v>
      </c>
      <c r="J319" s="7" t="e">
        <f t="shared" si="133"/>
        <v>#REF!</v>
      </c>
      <c r="K319" s="7">
        <f t="shared" si="133"/>
        <v>131</v>
      </c>
      <c r="L319" s="7">
        <f t="shared" si="133"/>
        <v>130.4</v>
      </c>
      <c r="M319" s="7">
        <f t="shared" si="111"/>
        <v>99.54198473282443</v>
      </c>
    </row>
    <row r="320" spans="1:13" ht="31.5">
      <c r="A320" s="33" t="s">
        <v>182</v>
      </c>
      <c r="B320" s="42" t="s">
        <v>285</v>
      </c>
      <c r="C320" s="42" t="s">
        <v>264</v>
      </c>
      <c r="D320" s="21" t="s">
        <v>582</v>
      </c>
      <c r="E320" s="42" t="s">
        <v>183</v>
      </c>
      <c r="F320" s="7" t="e">
        <f>F321</f>
        <v>#REF!</v>
      </c>
      <c r="G320" s="7" t="e">
        <f t="shared" si="133"/>
        <v>#REF!</v>
      </c>
      <c r="H320" s="7" t="e">
        <f t="shared" si="133"/>
        <v>#REF!</v>
      </c>
      <c r="I320" s="7" t="e">
        <f t="shared" si="133"/>
        <v>#REF!</v>
      </c>
      <c r="J320" s="7" t="e">
        <f t="shared" si="133"/>
        <v>#REF!</v>
      </c>
      <c r="K320" s="7">
        <f t="shared" si="133"/>
        <v>131</v>
      </c>
      <c r="L320" s="7">
        <f t="shared" si="133"/>
        <v>130.4</v>
      </c>
      <c r="M320" s="7">
        <f t="shared" si="111"/>
        <v>99.54198473282443</v>
      </c>
    </row>
    <row r="321" spans="1:13" ht="47.25">
      <c r="A321" s="33" t="s">
        <v>184</v>
      </c>
      <c r="B321" s="42" t="s">
        <v>285</v>
      </c>
      <c r="C321" s="42" t="s">
        <v>264</v>
      </c>
      <c r="D321" s="21" t="s">
        <v>582</v>
      </c>
      <c r="E321" s="42" t="s">
        <v>185</v>
      </c>
      <c r="F321" s="7" t="e">
        <f>#REF!</f>
        <v>#REF!</v>
      </c>
      <c r="G321" s="7" t="e">
        <f>#REF!</f>
        <v>#REF!</v>
      </c>
      <c r="H321" s="7" t="e">
        <f>#REF!</f>
        <v>#REF!</v>
      </c>
      <c r="I321" s="7" t="e">
        <f>#REF!</f>
        <v>#REF!</v>
      </c>
      <c r="J321" s="7" t="e">
        <f>#REF!</f>
        <v>#REF!</v>
      </c>
      <c r="K321" s="7">
        <f>'Прил.№4 ведомств.'!G949</f>
        <v>131</v>
      </c>
      <c r="L321" s="7">
        <f>'Прил.№4 ведомств.'!H949</f>
        <v>130.4</v>
      </c>
      <c r="M321" s="7">
        <f t="shared" si="111"/>
        <v>99.54198473282443</v>
      </c>
    </row>
    <row r="322" spans="1:13" ht="31.5" customHeight="1" hidden="1">
      <c r="A322" s="121" t="s">
        <v>583</v>
      </c>
      <c r="B322" s="42" t="s">
        <v>285</v>
      </c>
      <c r="C322" s="42" t="s">
        <v>264</v>
      </c>
      <c r="D322" s="21" t="s">
        <v>584</v>
      </c>
      <c r="E322" s="42"/>
      <c r="F322" s="7">
        <f>F323</f>
        <v>0</v>
      </c>
      <c r="G322" s="7">
        <f aca="true" t="shared" si="134" ref="G322:L323">G323</f>
        <v>0</v>
      </c>
      <c r="H322" s="7">
        <f t="shared" si="134"/>
        <v>0</v>
      </c>
      <c r="I322" s="7">
        <f t="shared" si="134"/>
        <v>0</v>
      </c>
      <c r="J322" s="7">
        <f t="shared" si="134"/>
        <v>0</v>
      </c>
      <c r="K322" s="7">
        <f t="shared" si="134"/>
        <v>0</v>
      </c>
      <c r="L322" s="7">
        <f t="shared" si="134"/>
        <v>0</v>
      </c>
      <c r="M322" s="7" t="e">
        <f t="shared" si="111"/>
        <v>#DIV/0!</v>
      </c>
    </row>
    <row r="323" spans="1:13" ht="31.5" customHeight="1" hidden="1">
      <c r="A323" s="33" t="s">
        <v>182</v>
      </c>
      <c r="B323" s="42" t="s">
        <v>285</v>
      </c>
      <c r="C323" s="42" t="s">
        <v>264</v>
      </c>
      <c r="D323" s="21" t="s">
        <v>584</v>
      </c>
      <c r="E323" s="42" t="s">
        <v>183</v>
      </c>
      <c r="F323" s="7">
        <f>F324</f>
        <v>0</v>
      </c>
      <c r="G323" s="7">
        <f t="shared" si="134"/>
        <v>0</v>
      </c>
      <c r="H323" s="7">
        <f t="shared" si="134"/>
        <v>0</v>
      </c>
      <c r="I323" s="7">
        <f t="shared" si="134"/>
        <v>0</v>
      </c>
      <c r="J323" s="7">
        <f t="shared" si="134"/>
        <v>0</v>
      </c>
      <c r="K323" s="7">
        <f t="shared" si="134"/>
        <v>0</v>
      </c>
      <c r="L323" s="7">
        <f t="shared" si="134"/>
        <v>0</v>
      </c>
      <c r="M323" s="7" t="e">
        <f t="shared" si="111"/>
        <v>#DIV/0!</v>
      </c>
    </row>
    <row r="324" spans="1:13" ht="47.25" customHeight="1" hidden="1">
      <c r="A324" s="33" t="s">
        <v>184</v>
      </c>
      <c r="B324" s="42" t="s">
        <v>285</v>
      </c>
      <c r="C324" s="42" t="s">
        <v>264</v>
      </c>
      <c r="D324" s="21" t="s">
        <v>584</v>
      </c>
      <c r="E324" s="42" t="s">
        <v>185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 t="e">
        <f t="shared" si="111"/>
        <v>#DIV/0!</v>
      </c>
    </row>
    <row r="325" spans="1:13" ht="15.75">
      <c r="A325" s="121" t="s">
        <v>585</v>
      </c>
      <c r="B325" s="42" t="s">
        <v>285</v>
      </c>
      <c r="C325" s="42" t="s">
        <v>264</v>
      </c>
      <c r="D325" s="21" t="s">
        <v>586</v>
      </c>
      <c r="E325" s="42"/>
      <c r="F325" s="7" t="e">
        <f>F326</f>
        <v>#REF!</v>
      </c>
      <c r="G325" s="7" t="e">
        <f aca="true" t="shared" si="135" ref="G325:L326">G326</f>
        <v>#REF!</v>
      </c>
      <c r="H325" s="7" t="e">
        <f t="shared" si="135"/>
        <v>#REF!</v>
      </c>
      <c r="I325" s="7" t="e">
        <f t="shared" si="135"/>
        <v>#REF!</v>
      </c>
      <c r="J325" s="7" t="e">
        <f t="shared" si="135"/>
        <v>#REF!</v>
      </c>
      <c r="K325" s="7">
        <f t="shared" si="135"/>
        <v>1544</v>
      </c>
      <c r="L325" s="7">
        <f t="shared" si="135"/>
        <v>1544</v>
      </c>
      <c r="M325" s="7">
        <f t="shared" si="111"/>
        <v>100</v>
      </c>
    </row>
    <row r="326" spans="1:13" ht="31.5">
      <c r="A326" s="26" t="s">
        <v>182</v>
      </c>
      <c r="B326" s="42" t="s">
        <v>285</v>
      </c>
      <c r="C326" s="42" t="s">
        <v>264</v>
      </c>
      <c r="D326" s="21" t="s">
        <v>586</v>
      </c>
      <c r="E326" s="42" t="s">
        <v>183</v>
      </c>
      <c r="F326" s="7" t="e">
        <f>F327</f>
        <v>#REF!</v>
      </c>
      <c r="G326" s="7" t="e">
        <f t="shared" si="135"/>
        <v>#REF!</v>
      </c>
      <c r="H326" s="7" t="e">
        <f t="shared" si="135"/>
        <v>#REF!</v>
      </c>
      <c r="I326" s="7" t="e">
        <f t="shared" si="135"/>
        <v>#REF!</v>
      </c>
      <c r="J326" s="7" t="e">
        <f t="shared" si="135"/>
        <v>#REF!</v>
      </c>
      <c r="K326" s="7">
        <f t="shared" si="135"/>
        <v>1544</v>
      </c>
      <c r="L326" s="7">
        <f t="shared" si="135"/>
        <v>1544</v>
      </c>
      <c r="M326" s="7">
        <f t="shared" si="111"/>
        <v>100</v>
      </c>
    </row>
    <row r="327" spans="1:13" ht="47.25">
      <c r="A327" s="26" t="s">
        <v>184</v>
      </c>
      <c r="B327" s="42" t="s">
        <v>285</v>
      </c>
      <c r="C327" s="42" t="s">
        <v>264</v>
      </c>
      <c r="D327" s="21" t="s">
        <v>586</v>
      </c>
      <c r="E327" s="42" t="s">
        <v>185</v>
      </c>
      <c r="F327" s="7" t="e">
        <f>#REF!</f>
        <v>#REF!</v>
      </c>
      <c r="G327" s="7" t="e">
        <f>#REF!</f>
        <v>#REF!</v>
      </c>
      <c r="H327" s="7" t="e">
        <f>#REF!</f>
        <v>#REF!</v>
      </c>
      <c r="I327" s="7" t="e">
        <f>#REF!</f>
        <v>#REF!</v>
      </c>
      <c r="J327" s="7" t="e">
        <f>#REF!</f>
        <v>#REF!</v>
      </c>
      <c r="K327" s="7">
        <f>'Прил.№4 ведомств.'!G955</f>
        <v>1544</v>
      </c>
      <c r="L327" s="7">
        <f>'Прил.№4 ведомств.'!H955</f>
        <v>1544</v>
      </c>
      <c r="M327" s="7">
        <f t="shared" si="111"/>
        <v>100</v>
      </c>
    </row>
    <row r="328" spans="1:13" ht="15.75">
      <c r="A328" s="31" t="s">
        <v>172</v>
      </c>
      <c r="B328" s="42" t="s">
        <v>285</v>
      </c>
      <c r="C328" s="42" t="s">
        <v>264</v>
      </c>
      <c r="D328" s="42" t="s">
        <v>173</v>
      </c>
      <c r="E328" s="42"/>
      <c r="F328" s="7" t="e">
        <f aca="true" t="shared" si="136" ref="F328:K328">F329+F344</f>
        <v>#REF!</v>
      </c>
      <c r="G328" s="7" t="e">
        <f t="shared" si="136"/>
        <v>#REF!</v>
      </c>
      <c r="H328" s="7" t="e">
        <f t="shared" si="136"/>
        <v>#REF!</v>
      </c>
      <c r="I328" s="7" t="e">
        <f t="shared" si="136"/>
        <v>#REF!</v>
      </c>
      <c r="J328" s="7" t="e">
        <f t="shared" si="136"/>
        <v>#REF!</v>
      </c>
      <c r="K328" s="7">
        <f t="shared" si="136"/>
        <v>97124.4</v>
      </c>
      <c r="L328" s="7">
        <f>L329+L344</f>
        <v>93652.5</v>
      </c>
      <c r="M328" s="7">
        <f t="shared" si="111"/>
        <v>96.42530610227709</v>
      </c>
    </row>
    <row r="329" spans="1:13" ht="31.5">
      <c r="A329" s="31" t="s">
        <v>236</v>
      </c>
      <c r="B329" s="42" t="s">
        <v>285</v>
      </c>
      <c r="C329" s="42" t="s">
        <v>264</v>
      </c>
      <c r="D329" s="42" t="s">
        <v>237</v>
      </c>
      <c r="E329" s="42"/>
      <c r="F329" s="7" t="e">
        <f>F330+F336+F341</f>
        <v>#REF!</v>
      </c>
      <c r="G329" s="7" t="e">
        <f>G330+G336+G341</f>
        <v>#REF!</v>
      </c>
      <c r="H329" s="7" t="e">
        <f>H330+H336+H341</f>
        <v>#REF!</v>
      </c>
      <c r="I329" s="7" t="e">
        <f>I330+I336+I341</f>
        <v>#REF!</v>
      </c>
      <c r="J329" s="7" t="e">
        <f>J330+J336+J341</f>
        <v>#REF!</v>
      </c>
      <c r="K329" s="7">
        <f>K330+K336+K341+K333</f>
        <v>47412</v>
      </c>
      <c r="L329" s="7">
        <f>L330+L336+L341+L333</f>
        <v>47412</v>
      </c>
      <c r="M329" s="7">
        <f t="shared" si="111"/>
        <v>100</v>
      </c>
    </row>
    <row r="330" spans="1:13" ht="47.25" hidden="1">
      <c r="A330" s="124" t="s">
        <v>759</v>
      </c>
      <c r="B330" s="42" t="s">
        <v>285</v>
      </c>
      <c r="C330" s="42" t="s">
        <v>264</v>
      </c>
      <c r="D330" s="21" t="s">
        <v>587</v>
      </c>
      <c r="E330" s="42"/>
      <c r="F330" s="7" t="e">
        <f>F331</f>
        <v>#REF!</v>
      </c>
      <c r="G330" s="7" t="e">
        <f aca="true" t="shared" si="137" ref="G330:L331">G331</f>
        <v>#REF!</v>
      </c>
      <c r="H330" s="7" t="e">
        <f t="shared" si="137"/>
        <v>#REF!</v>
      </c>
      <c r="I330" s="7" t="e">
        <f t="shared" si="137"/>
        <v>#REF!</v>
      </c>
      <c r="J330" s="7" t="e">
        <f t="shared" si="137"/>
        <v>#REF!</v>
      </c>
      <c r="K330" s="7">
        <f t="shared" si="137"/>
        <v>0</v>
      </c>
      <c r="L330" s="7">
        <f t="shared" si="137"/>
        <v>0</v>
      </c>
      <c r="M330" s="7" t="e">
        <f t="shared" si="111"/>
        <v>#DIV/0!</v>
      </c>
    </row>
    <row r="331" spans="1:13" ht="31.5" hidden="1">
      <c r="A331" s="31" t="s">
        <v>182</v>
      </c>
      <c r="B331" s="42" t="s">
        <v>285</v>
      </c>
      <c r="C331" s="42" t="s">
        <v>264</v>
      </c>
      <c r="D331" s="21" t="s">
        <v>587</v>
      </c>
      <c r="E331" s="42" t="s">
        <v>183</v>
      </c>
      <c r="F331" s="7" t="e">
        <f>F332</f>
        <v>#REF!</v>
      </c>
      <c r="G331" s="7" t="e">
        <f t="shared" si="137"/>
        <v>#REF!</v>
      </c>
      <c r="H331" s="7" t="e">
        <f t="shared" si="137"/>
        <v>#REF!</v>
      </c>
      <c r="I331" s="7" t="e">
        <f t="shared" si="137"/>
        <v>#REF!</v>
      </c>
      <c r="J331" s="7" t="e">
        <f t="shared" si="137"/>
        <v>#REF!</v>
      </c>
      <c r="K331" s="7">
        <f t="shared" si="137"/>
        <v>0</v>
      </c>
      <c r="L331" s="7">
        <f t="shared" si="137"/>
        <v>0</v>
      </c>
      <c r="M331" s="7" t="e">
        <f t="shared" si="111"/>
        <v>#DIV/0!</v>
      </c>
    </row>
    <row r="332" spans="1:13" ht="47.25" hidden="1">
      <c r="A332" s="31" t="s">
        <v>184</v>
      </c>
      <c r="B332" s="42" t="s">
        <v>285</v>
      </c>
      <c r="C332" s="42" t="s">
        <v>264</v>
      </c>
      <c r="D332" s="21" t="s">
        <v>587</v>
      </c>
      <c r="E332" s="42" t="s">
        <v>185</v>
      </c>
      <c r="F332" s="7" t="e">
        <f>#REF!</f>
        <v>#REF!</v>
      </c>
      <c r="G332" s="7" t="e">
        <f>#REF!</f>
        <v>#REF!</v>
      </c>
      <c r="H332" s="7" t="e">
        <f>#REF!</f>
        <v>#REF!</v>
      </c>
      <c r="I332" s="7" t="e">
        <f>#REF!</f>
        <v>#REF!</v>
      </c>
      <c r="J332" s="7" t="e">
        <f>#REF!</f>
        <v>#REF!</v>
      </c>
      <c r="K332" s="7">
        <f>'Прил.№4 ведомств.'!G960</f>
        <v>0</v>
      </c>
      <c r="L332" s="7">
        <f>'Прил.№4 ведомств.'!H960</f>
        <v>0</v>
      </c>
      <c r="M332" s="7" t="e">
        <f aca="true" t="shared" si="138" ref="M332:M395">L332/K332*100</f>
        <v>#DIV/0!</v>
      </c>
    </row>
    <row r="333" spans="1:13" ht="78.75">
      <c r="A333" s="124" t="s">
        <v>1031</v>
      </c>
      <c r="B333" s="42" t="s">
        <v>285</v>
      </c>
      <c r="C333" s="42" t="s">
        <v>264</v>
      </c>
      <c r="D333" s="21" t="s">
        <v>1032</v>
      </c>
      <c r="E333" s="42"/>
      <c r="F333" s="7"/>
      <c r="G333" s="7"/>
      <c r="H333" s="7"/>
      <c r="I333" s="7"/>
      <c r="J333" s="7"/>
      <c r="K333" s="7">
        <f>K334</f>
        <v>31370</v>
      </c>
      <c r="L333" s="7">
        <f>L334</f>
        <v>31370</v>
      </c>
      <c r="M333" s="7">
        <f t="shared" si="138"/>
        <v>100</v>
      </c>
    </row>
    <row r="334" spans="1:13" ht="15.75">
      <c r="A334" s="26" t="s">
        <v>186</v>
      </c>
      <c r="B334" s="42" t="s">
        <v>285</v>
      </c>
      <c r="C334" s="42" t="s">
        <v>264</v>
      </c>
      <c r="D334" s="21" t="s">
        <v>1032</v>
      </c>
      <c r="E334" s="42" t="s">
        <v>196</v>
      </c>
      <c r="F334" s="7"/>
      <c r="G334" s="7"/>
      <c r="H334" s="7"/>
      <c r="I334" s="7"/>
      <c r="J334" s="7"/>
      <c r="K334" s="7">
        <f>K335</f>
        <v>31370</v>
      </c>
      <c r="L334" s="7">
        <f>L335</f>
        <v>31370</v>
      </c>
      <c r="M334" s="7">
        <f t="shared" si="138"/>
        <v>100</v>
      </c>
    </row>
    <row r="335" spans="1:13" ht="47.25">
      <c r="A335" s="26" t="s">
        <v>235</v>
      </c>
      <c r="B335" s="42" t="s">
        <v>285</v>
      </c>
      <c r="C335" s="42" t="s">
        <v>264</v>
      </c>
      <c r="D335" s="21" t="s">
        <v>1032</v>
      </c>
      <c r="E335" s="42" t="s">
        <v>211</v>
      </c>
      <c r="F335" s="7"/>
      <c r="G335" s="7"/>
      <c r="H335" s="7"/>
      <c r="I335" s="7"/>
      <c r="J335" s="7"/>
      <c r="K335" s="7">
        <f>'Прил.№4 ведомств.'!G963</f>
        <v>31370</v>
      </c>
      <c r="L335" s="7">
        <f>'Прил.№4 ведомств.'!H963</f>
        <v>31370</v>
      </c>
      <c r="M335" s="7">
        <f t="shared" si="138"/>
        <v>100</v>
      </c>
    </row>
    <row r="336" spans="1:13" ht="31.5">
      <c r="A336" s="70" t="s">
        <v>765</v>
      </c>
      <c r="B336" s="42" t="s">
        <v>285</v>
      </c>
      <c r="C336" s="42" t="s">
        <v>264</v>
      </c>
      <c r="D336" s="42" t="s">
        <v>588</v>
      </c>
      <c r="E336" s="42"/>
      <c r="F336" s="7" t="e">
        <f aca="true" t="shared" si="139" ref="F336:J337">F337</f>
        <v>#REF!</v>
      </c>
      <c r="G336" s="7" t="e">
        <f t="shared" si="139"/>
        <v>#REF!</v>
      </c>
      <c r="H336" s="7" t="e">
        <f t="shared" si="139"/>
        <v>#REF!</v>
      </c>
      <c r="I336" s="7" t="e">
        <f t="shared" si="139"/>
        <v>#REF!</v>
      </c>
      <c r="J336" s="7" t="e">
        <f t="shared" si="139"/>
        <v>#REF!</v>
      </c>
      <c r="K336" s="7">
        <f>K337+K339</f>
        <v>16042</v>
      </c>
      <c r="L336" s="7">
        <f>L337+L339</f>
        <v>16042</v>
      </c>
      <c r="M336" s="7">
        <f t="shared" si="138"/>
        <v>100</v>
      </c>
    </row>
    <row r="337" spans="1:13" ht="31.5">
      <c r="A337" s="31" t="s">
        <v>182</v>
      </c>
      <c r="B337" s="42" t="s">
        <v>285</v>
      </c>
      <c r="C337" s="42" t="s">
        <v>264</v>
      </c>
      <c r="D337" s="42" t="s">
        <v>588</v>
      </c>
      <c r="E337" s="42" t="s">
        <v>183</v>
      </c>
      <c r="F337" s="7" t="e">
        <f t="shared" si="139"/>
        <v>#REF!</v>
      </c>
      <c r="G337" s="7" t="e">
        <f t="shared" si="139"/>
        <v>#REF!</v>
      </c>
      <c r="H337" s="7" t="e">
        <f t="shared" si="139"/>
        <v>#REF!</v>
      </c>
      <c r="I337" s="7" t="e">
        <f t="shared" si="139"/>
        <v>#REF!</v>
      </c>
      <c r="J337" s="7" t="e">
        <f t="shared" si="139"/>
        <v>#REF!</v>
      </c>
      <c r="K337" s="7">
        <f>K338</f>
        <v>15905.43</v>
      </c>
      <c r="L337" s="7">
        <f>L338</f>
        <v>15905.4</v>
      </c>
      <c r="M337" s="7">
        <f t="shared" si="138"/>
        <v>99.99981138516846</v>
      </c>
    </row>
    <row r="338" spans="1:13" ht="47.25">
      <c r="A338" s="31" t="s">
        <v>184</v>
      </c>
      <c r="B338" s="42" t="s">
        <v>285</v>
      </c>
      <c r="C338" s="42" t="s">
        <v>264</v>
      </c>
      <c r="D338" s="42" t="s">
        <v>588</v>
      </c>
      <c r="E338" s="42" t="s">
        <v>185</v>
      </c>
      <c r="F338" s="7" t="e">
        <f>#REF!</f>
        <v>#REF!</v>
      </c>
      <c r="G338" s="7" t="e">
        <f>#REF!</f>
        <v>#REF!</v>
      </c>
      <c r="H338" s="7" t="e">
        <f>#REF!</f>
        <v>#REF!</v>
      </c>
      <c r="I338" s="7" t="e">
        <f>#REF!</f>
        <v>#REF!</v>
      </c>
      <c r="J338" s="7" t="e">
        <f>#REF!</f>
        <v>#REF!</v>
      </c>
      <c r="K338" s="7">
        <f>'Прил.№4 ведомств.'!G966</f>
        <v>15905.43</v>
      </c>
      <c r="L338" s="7">
        <f>'Прил.№4 ведомств.'!H966</f>
        <v>15905.4</v>
      </c>
      <c r="M338" s="7">
        <f t="shared" si="138"/>
        <v>99.99981138516846</v>
      </c>
    </row>
    <row r="339" spans="1:13" ht="15.75">
      <c r="A339" s="31" t="s">
        <v>186</v>
      </c>
      <c r="B339" s="42" t="s">
        <v>285</v>
      </c>
      <c r="C339" s="42" t="s">
        <v>264</v>
      </c>
      <c r="D339" s="42" t="s">
        <v>588</v>
      </c>
      <c r="E339" s="42" t="s">
        <v>196</v>
      </c>
      <c r="F339" s="7"/>
      <c r="G339" s="7"/>
      <c r="H339" s="7"/>
      <c r="I339" s="7"/>
      <c r="J339" s="7"/>
      <c r="K339" s="7">
        <f>K340</f>
        <v>136.57</v>
      </c>
      <c r="L339" s="7">
        <f>L340</f>
        <v>136.6</v>
      </c>
      <c r="M339" s="7">
        <f t="shared" si="138"/>
        <v>100.02196675697445</v>
      </c>
    </row>
    <row r="340" spans="1:13" ht="15.75">
      <c r="A340" s="31" t="s">
        <v>620</v>
      </c>
      <c r="B340" s="42" t="s">
        <v>285</v>
      </c>
      <c r="C340" s="42" t="s">
        <v>264</v>
      </c>
      <c r="D340" s="42" t="s">
        <v>588</v>
      </c>
      <c r="E340" s="42" t="s">
        <v>189</v>
      </c>
      <c r="F340" s="7"/>
      <c r="G340" s="7"/>
      <c r="H340" s="7"/>
      <c r="I340" s="7"/>
      <c r="J340" s="7"/>
      <c r="K340" s="7">
        <f>'Прил.№4 ведомств.'!G968</f>
        <v>136.57</v>
      </c>
      <c r="L340" s="7">
        <f>'Прил.№4 ведомств.'!H968</f>
        <v>136.6</v>
      </c>
      <c r="M340" s="7">
        <f t="shared" si="138"/>
        <v>100.02196675697445</v>
      </c>
    </row>
    <row r="341" spans="1:13" ht="47.25" hidden="1">
      <c r="A341" s="26" t="s">
        <v>766</v>
      </c>
      <c r="B341" s="42" t="s">
        <v>285</v>
      </c>
      <c r="C341" s="42" t="s">
        <v>264</v>
      </c>
      <c r="D341" s="21" t="s">
        <v>767</v>
      </c>
      <c r="E341" s="42"/>
      <c r="F341" s="7" t="e">
        <f>F342</f>
        <v>#REF!</v>
      </c>
      <c r="G341" s="7" t="e">
        <f aca="true" t="shared" si="140" ref="G341:L342">G342</f>
        <v>#REF!</v>
      </c>
      <c r="H341" s="7" t="e">
        <f t="shared" si="140"/>
        <v>#REF!</v>
      </c>
      <c r="I341" s="7" t="e">
        <f t="shared" si="140"/>
        <v>#REF!</v>
      </c>
      <c r="J341" s="7" t="e">
        <f t="shared" si="140"/>
        <v>#REF!</v>
      </c>
      <c r="K341" s="7">
        <f t="shared" si="140"/>
        <v>0</v>
      </c>
      <c r="L341" s="7">
        <f t="shared" si="140"/>
        <v>0</v>
      </c>
      <c r="M341" s="7" t="e">
        <f t="shared" si="138"/>
        <v>#DIV/0!</v>
      </c>
    </row>
    <row r="342" spans="1:13" ht="31.5" hidden="1">
      <c r="A342" s="26" t="s">
        <v>182</v>
      </c>
      <c r="B342" s="42" t="s">
        <v>285</v>
      </c>
      <c r="C342" s="42" t="s">
        <v>264</v>
      </c>
      <c r="D342" s="21" t="s">
        <v>767</v>
      </c>
      <c r="E342" s="42" t="s">
        <v>183</v>
      </c>
      <c r="F342" s="7" t="e">
        <f>F343</f>
        <v>#REF!</v>
      </c>
      <c r="G342" s="7" t="e">
        <f t="shared" si="140"/>
        <v>#REF!</v>
      </c>
      <c r="H342" s="7" t="e">
        <f t="shared" si="140"/>
        <v>#REF!</v>
      </c>
      <c r="I342" s="7" t="e">
        <f t="shared" si="140"/>
        <v>#REF!</v>
      </c>
      <c r="J342" s="7" t="e">
        <f t="shared" si="140"/>
        <v>#REF!</v>
      </c>
      <c r="K342" s="7">
        <f t="shared" si="140"/>
        <v>0</v>
      </c>
      <c r="L342" s="7">
        <f t="shared" si="140"/>
        <v>0</v>
      </c>
      <c r="M342" s="7" t="e">
        <f t="shared" si="138"/>
        <v>#DIV/0!</v>
      </c>
    </row>
    <row r="343" spans="1:13" ht="47.25" hidden="1">
      <c r="A343" s="26" t="s">
        <v>184</v>
      </c>
      <c r="B343" s="42" t="s">
        <v>285</v>
      </c>
      <c r="C343" s="42" t="s">
        <v>264</v>
      </c>
      <c r="D343" s="21" t="s">
        <v>767</v>
      </c>
      <c r="E343" s="42" t="s">
        <v>185</v>
      </c>
      <c r="F343" s="7" t="e">
        <f>#REF!</f>
        <v>#REF!</v>
      </c>
      <c r="G343" s="7" t="e">
        <f>#REF!</f>
        <v>#REF!</v>
      </c>
      <c r="H343" s="7" t="e">
        <f>#REF!</f>
        <v>#REF!</v>
      </c>
      <c r="I343" s="7" t="e">
        <f>#REF!</f>
        <v>#REF!</v>
      </c>
      <c r="J343" s="7" t="e">
        <f>#REF!</f>
        <v>#REF!</v>
      </c>
      <c r="K343" s="7">
        <f>'Прил.№4 ведомств.'!G971</f>
        <v>0</v>
      </c>
      <c r="L343" s="7">
        <f>'Прил.№4 ведомств.'!H971</f>
        <v>0</v>
      </c>
      <c r="M343" s="7" t="e">
        <f t="shared" si="138"/>
        <v>#DIV/0!</v>
      </c>
    </row>
    <row r="344" spans="1:13" ht="15.75">
      <c r="A344" s="31" t="s">
        <v>192</v>
      </c>
      <c r="B344" s="42" t="s">
        <v>285</v>
      </c>
      <c r="C344" s="42" t="s">
        <v>264</v>
      </c>
      <c r="D344" s="42" t="s">
        <v>193</v>
      </c>
      <c r="E344" s="8"/>
      <c r="F344" s="7" t="e">
        <f>F345+F351</f>
        <v>#REF!</v>
      </c>
      <c r="G344" s="7" t="e">
        <f>G345+G351</f>
        <v>#REF!</v>
      </c>
      <c r="H344" s="7" t="e">
        <f>H345+H351</f>
        <v>#REF!</v>
      </c>
      <c r="I344" s="7" t="e">
        <f>I345+I351</f>
        <v>#REF!</v>
      </c>
      <c r="J344" s="7" t="e">
        <f>J345+J351</f>
        <v>#REF!</v>
      </c>
      <c r="K344" s="7">
        <f>K345+K351+K359+K364+K367+K356+K370</f>
        <v>49712.4</v>
      </c>
      <c r="L344" s="7">
        <f>L345+L351+L359+L364+L367+L356+L370</f>
        <v>46240.5</v>
      </c>
      <c r="M344" s="7">
        <f t="shared" si="138"/>
        <v>93.01602819417289</v>
      </c>
    </row>
    <row r="345" spans="1:13" ht="15.75">
      <c r="A345" s="31" t="s">
        <v>589</v>
      </c>
      <c r="B345" s="42" t="s">
        <v>285</v>
      </c>
      <c r="C345" s="42" t="s">
        <v>264</v>
      </c>
      <c r="D345" s="42" t="s">
        <v>590</v>
      </c>
      <c r="E345" s="8"/>
      <c r="F345" s="7" t="e">
        <f aca="true" t="shared" si="141" ref="F345:L345">F346+F348</f>
        <v>#REF!</v>
      </c>
      <c r="G345" s="7" t="e">
        <f t="shared" si="141"/>
        <v>#REF!</v>
      </c>
      <c r="H345" s="7" t="e">
        <f t="shared" si="141"/>
        <v>#REF!</v>
      </c>
      <c r="I345" s="7" t="e">
        <f t="shared" si="141"/>
        <v>#REF!</v>
      </c>
      <c r="J345" s="7" t="e">
        <f t="shared" si="141"/>
        <v>#REF!</v>
      </c>
      <c r="K345" s="7">
        <f t="shared" si="141"/>
        <v>131.80000000000172</v>
      </c>
      <c r="L345" s="7">
        <f t="shared" si="141"/>
        <v>0</v>
      </c>
      <c r="M345" s="7">
        <f t="shared" si="138"/>
        <v>0</v>
      </c>
    </row>
    <row r="346" spans="1:13" ht="31.5">
      <c r="A346" s="31" t="s">
        <v>182</v>
      </c>
      <c r="B346" s="42" t="s">
        <v>285</v>
      </c>
      <c r="C346" s="42" t="s">
        <v>264</v>
      </c>
      <c r="D346" s="42" t="s">
        <v>590</v>
      </c>
      <c r="E346" s="42" t="s">
        <v>183</v>
      </c>
      <c r="F346" s="7" t="e">
        <f>F347</f>
        <v>#REF!</v>
      </c>
      <c r="G346" s="7" t="e">
        <f aca="true" t="shared" si="142" ref="G346:L346">G347</f>
        <v>#REF!</v>
      </c>
      <c r="H346" s="7" t="e">
        <f t="shared" si="142"/>
        <v>#REF!</v>
      </c>
      <c r="I346" s="7" t="e">
        <f t="shared" si="142"/>
        <v>#REF!</v>
      </c>
      <c r="J346" s="7" t="e">
        <f t="shared" si="142"/>
        <v>#REF!</v>
      </c>
      <c r="K346" s="7">
        <f t="shared" si="142"/>
        <v>131.80000000000172</v>
      </c>
      <c r="L346" s="7">
        <f t="shared" si="142"/>
        <v>0</v>
      </c>
      <c r="M346" s="7">
        <f t="shared" si="138"/>
        <v>0</v>
      </c>
    </row>
    <row r="347" spans="1:13" ht="47.25">
      <c r="A347" s="31" t="s">
        <v>184</v>
      </c>
      <c r="B347" s="42" t="s">
        <v>285</v>
      </c>
      <c r="C347" s="42" t="s">
        <v>264</v>
      </c>
      <c r="D347" s="42" t="s">
        <v>590</v>
      </c>
      <c r="E347" s="42" t="s">
        <v>185</v>
      </c>
      <c r="F347" s="7" t="e">
        <f>#REF!</f>
        <v>#REF!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>
        <f>'Прил.№4 ведомств.'!G975</f>
        <v>131.80000000000172</v>
      </c>
      <c r="L347" s="7">
        <f>'Прил.№4 ведомств.'!H975</f>
        <v>0</v>
      </c>
      <c r="M347" s="7">
        <f t="shared" si="138"/>
        <v>0</v>
      </c>
    </row>
    <row r="348" spans="1:13" ht="15.75" hidden="1">
      <c r="A348" s="31" t="s">
        <v>186</v>
      </c>
      <c r="B348" s="42" t="s">
        <v>285</v>
      </c>
      <c r="C348" s="42" t="s">
        <v>264</v>
      </c>
      <c r="D348" s="42" t="s">
        <v>590</v>
      </c>
      <c r="E348" s="42" t="s">
        <v>196</v>
      </c>
      <c r="F348" s="7" t="e">
        <f aca="true" t="shared" si="143" ref="F348:L348">F350+F349</f>
        <v>#REF!</v>
      </c>
      <c r="G348" s="7" t="e">
        <f t="shared" si="143"/>
        <v>#REF!</v>
      </c>
      <c r="H348" s="7" t="e">
        <f t="shared" si="143"/>
        <v>#REF!</v>
      </c>
      <c r="I348" s="7" t="e">
        <f t="shared" si="143"/>
        <v>#REF!</v>
      </c>
      <c r="J348" s="7" t="e">
        <f t="shared" si="143"/>
        <v>#REF!</v>
      </c>
      <c r="K348" s="7">
        <f t="shared" si="143"/>
        <v>0</v>
      </c>
      <c r="L348" s="7">
        <f t="shared" si="143"/>
        <v>0</v>
      </c>
      <c r="M348" s="7" t="e">
        <f t="shared" si="138"/>
        <v>#DIV/0!</v>
      </c>
    </row>
    <row r="349" spans="1:13" ht="47.25" customHeight="1" hidden="1">
      <c r="A349" s="31" t="s">
        <v>235</v>
      </c>
      <c r="B349" s="42" t="s">
        <v>285</v>
      </c>
      <c r="C349" s="42" t="s">
        <v>264</v>
      </c>
      <c r="D349" s="42" t="s">
        <v>590</v>
      </c>
      <c r="E349" s="42" t="s">
        <v>211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 t="e">
        <f t="shared" si="138"/>
        <v>#DIV/0!</v>
      </c>
    </row>
    <row r="350" spans="1:13" ht="15.75" hidden="1">
      <c r="A350" s="31" t="s">
        <v>620</v>
      </c>
      <c r="B350" s="42" t="s">
        <v>285</v>
      </c>
      <c r="C350" s="42" t="s">
        <v>264</v>
      </c>
      <c r="D350" s="42" t="s">
        <v>590</v>
      </c>
      <c r="E350" s="42" t="s">
        <v>189</v>
      </c>
      <c r="F350" s="7" t="e">
        <f>#REF!</f>
        <v>#REF!</v>
      </c>
      <c r="G350" s="7" t="e">
        <f>#REF!</f>
        <v>#REF!</v>
      </c>
      <c r="H350" s="7" t="e">
        <f>#REF!</f>
        <v>#REF!</v>
      </c>
      <c r="I350" s="7" t="e">
        <f>#REF!</f>
        <v>#REF!</v>
      </c>
      <c r="J350" s="7" t="e">
        <f>#REF!</f>
        <v>#REF!</v>
      </c>
      <c r="K350" s="7">
        <f>'Прил.№4 ведомств.'!G978</f>
        <v>0</v>
      </c>
      <c r="L350" s="7">
        <f>'Прил.№4 ведомств.'!H978</f>
        <v>0</v>
      </c>
      <c r="M350" s="7" t="e">
        <f t="shared" si="138"/>
        <v>#DIV/0!</v>
      </c>
    </row>
    <row r="351" spans="1:13" ht="15.75">
      <c r="A351" s="31" t="s">
        <v>591</v>
      </c>
      <c r="B351" s="42" t="s">
        <v>285</v>
      </c>
      <c r="C351" s="42" t="s">
        <v>264</v>
      </c>
      <c r="D351" s="42" t="s">
        <v>592</v>
      </c>
      <c r="E351" s="42"/>
      <c r="F351" s="7" t="e">
        <f>F354</f>
        <v>#REF!</v>
      </c>
      <c r="G351" s="7" t="e">
        <f>G354</f>
        <v>#REF!</v>
      </c>
      <c r="H351" s="7" t="e">
        <f>H354</f>
        <v>#REF!</v>
      </c>
      <c r="I351" s="7" t="e">
        <f>I354</f>
        <v>#REF!</v>
      </c>
      <c r="J351" s="7" t="e">
        <f>J354</f>
        <v>#REF!</v>
      </c>
      <c r="K351" s="7">
        <f>K354+K352</f>
        <v>5200</v>
      </c>
      <c r="L351" s="7">
        <f>L354+L352</f>
        <v>5173.4</v>
      </c>
      <c r="M351" s="7">
        <f t="shared" si="138"/>
        <v>99.48846153846154</v>
      </c>
    </row>
    <row r="352" spans="1:13" ht="31.5">
      <c r="A352" s="31" t="s">
        <v>182</v>
      </c>
      <c r="B352" s="42" t="s">
        <v>285</v>
      </c>
      <c r="C352" s="42" t="s">
        <v>264</v>
      </c>
      <c r="D352" s="42" t="s">
        <v>592</v>
      </c>
      <c r="E352" s="42" t="s">
        <v>183</v>
      </c>
      <c r="F352" s="7"/>
      <c r="G352" s="7"/>
      <c r="H352" s="7"/>
      <c r="I352" s="7"/>
      <c r="J352" s="7"/>
      <c r="K352" s="7">
        <f>K353</f>
        <v>5200</v>
      </c>
      <c r="L352" s="7">
        <f>L353</f>
        <v>5173.4</v>
      </c>
      <c r="M352" s="7">
        <f t="shared" si="138"/>
        <v>99.48846153846154</v>
      </c>
    </row>
    <row r="353" spans="1:13" ht="47.25">
      <c r="A353" s="31" t="s">
        <v>184</v>
      </c>
      <c r="B353" s="42" t="s">
        <v>285</v>
      </c>
      <c r="C353" s="42" t="s">
        <v>264</v>
      </c>
      <c r="D353" s="42" t="s">
        <v>592</v>
      </c>
      <c r="E353" s="42" t="s">
        <v>185</v>
      </c>
      <c r="F353" s="7"/>
      <c r="G353" s="7"/>
      <c r="H353" s="7"/>
      <c r="I353" s="7"/>
      <c r="J353" s="7"/>
      <c r="K353" s="7">
        <f>'Прил.№4 ведомств.'!G981</f>
        <v>5200</v>
      </c>
      <c r="L353" s="7">
        <f>'Прил.№4 ведомств.'!H981</f>
        <v>5173.4</v>
      </c>
      <c r="M353" s="7">
        <f t="shared" si="138"/>
        <v>99.48846153846154</v>
      </c>
    </row>
    <row r="354" spans="1:13" ht="15.75" hidden="1">
      <c r="A354" s="31" t="s">
        <v>186</v>
      </c>
      <c r="B354" s="42" t="s">
        <v>285</v>
      </c>
      <c r="C354" s="42" t="s">
        <v>264</v>
      </c>
      <c r="D354" s="42" t="s">
        <v>592</v>
      </c>
      <c r="E354" s="42" t="s">
        <v>196</v>
      </c>
      <c r="F354" s="7" t="e">
        <f>F355</f>
        <v>#REF!</v>
      </c>
      <c r="G354" s="7" t="e">
        <f aca="true" t="shared" si="144" ref="G354:L354">G355</f>
        <v>#REF!</v>
      </c>
      <c r="H354" s="7" t="e">
        <f t="shared" si="144"/>
        <v>#REF!</v>
      </c>
      <c r="I354" s="7" t="e">
        <f t="shared" si="144"/>
        <v>#REF!</v>
      </c>
      <c r="J354" s="7" t="e">
        <f t="shared" si="144"/>
        <v>#REF!</v>
      </c>
      <c r="K354" s="7">
        <f t="shared" si="144"/>
        <v>0</v>
      </c>
      <c r="L354" s="7">
        <f t="shared" si="144"/>
        <v>0</v>
      </c>
      <c r="M354" s="7" t="e">
        <f t="shared" si="138"/>
        <v>#DIV/0!</v>
      </c>
    </row>
    <row r="355" spans="1:13" ht="15.75" hidden="1">
      <c r="A355" s="31" t="s">
        <v>197</v>
      </c>
      <c r="B355" s="42" t="s">
        <v>285</v>
      </c>
      <c r="C355" s="42" t="s">
        <v>264</v>
      </c>
      <c r="D355" s="42" t="s">
        <v>592</v>
      </c>
      <c r="E355" s="42" t="s">
        <v>198</v>
      </c>
      <c r="F355" s="7" t="e">
        <f>#REF!</f>
        <v>#REF!</v>
      </c>
      <c r="G355" s="7" t="e">
        <f>#REF!</f>
        <v>#REF!</v>
      </c>
      <c r="H355" s="7" t="e">
        <f>#REF!</f>
        <v>#REF!</v>
      </c>
      <c r="I355" s="7" t="e">
        <f>#REF!</f>
        <v>#REF!</v>
      </c>
      <c r="J355" s="7" t="e">
        <f>#REF!</f>
        <v>#REF!</v>
      </c>
      <c r="K355" s="7">
        <f>'Прил.№4 ведомств.'!G983</f>
        <v>0</v>
      </c>
      <c r="L355" s="7">
        <f>'Прил.№4 ведомств.'!H983</f>
        <v>0</v>
      </c>
      <c r="M355" s="7" t="e">
        <f t="shared" si="138"/>
        <v>#DIV/0!</v>
      </c>
    </row>
    <row r="356" spans="1:13" ht="15.75">
      <c r="A356" s="26" t="s">
        <v>194</v>
      </c>
      <c r="B356" s="42" t="s">
        <v>285</v>
      </c>
      <c r="C356" s="42" t="s">
        <v>264</v>
      </c>
      <c r="D356" s="42" t="s">
        <v>195</v>
      </c>
      <c r="E356" s="42"/>
      <c r="F356" s="7"/>
      <c r="G356" s="7"/>
      <c r="H356" s="7"/>
      <c r="I356" s="7"/>
      <c r="J356" s="7"/>
      <c r="K356" s="7">
        <f>K357</f>
        <v>1403.4</v>
      </c>
      <c r="L356" s="7">
        <f>L357</f>
        <v>1403.4</v>
      </c>
      <c r="M356" s="7">
        <f t="shared" si="138"/>
        <v>100</v>
      </c>
    </row>
    <row r="357" spans="1:13" ht="15.75">
      <c r="A357" s="26" t="s">
        <v>186</v>
      </c>
      <c r="B357" s="42" t="s">
        <v>285</v>
      </c>
      <c r="C357" s="42" t="s">
        <v>264</v>
      </c>
      <c r="D357" s="42" t="s">
        <v>195</v>
      </c>
      <c r="E357" s="42" t="s">
        <v>196</v>
      </c>
      <c r="F357" s="7"/>
      <c r="G357" s="7"/>
      <c r="H357" s="7"/>
      <c r="I357" s="7"/>
      <c r="J357" s="7"/>
      <c r="K357" s="7">
        <f>K358</f>
        <v>1403.4</v>
      </c>
      <c r="L357" s="7">
        <f>L358</f>
        <v>1403.4</v>
      </c>
      <c r="M357" s="7">
        <f t="shared" si="138"/>
        <v>100</v>
      </c>
    </row>
    <row r="358" spans="1:13" ht="15.75">
      <c r="A358" s="26" t="s">
        <v>197</v>
      </c>
      <c r="B358" s="42" t="s">
        <v>285</v>
      </c>
      <c r="C358" s="42" t="s">
        <v>264</v>
      </c>
      <c r="D358" s="42" t="s">
        <v>195</v>
      </c>
      <c r="E358" s="42" t="s">
        <v>198</v>
      </c>
      <c r="F358" s="7"/>
      <c r="G358" s="7"/>
      <c r="H358" s="7"/>
      <c r="I358" s="7"/>
      <c r="J358" s="7"/>
      <c r="K358" s="7">
        <f>'Прил.№4 ведомств.'!G986</f>
        <v>1403.4</v>
      </c>
      <c r="L358" s="7">
        <f>'Прил.№4 ведомств.'!H986</f>
        <v>1403.4</v>
      </c>
      <c r="M358" s="7">
        <f t="shared" si="138"/>
        <v>100</v>
      </c>
    </row>
    <row r="359" spans="1:13" ht="77.25" customHeight="1">
      <c r="A359" s="26" t="s">
        <v>959</v>
      </c>
      <c r="B359" s="42" t="s">
        <v>285</v>
      </c>
      <c r="C359" s="42" t="s">
        <v>264</v>
      </c>
      <c r="D359" s="21" t="s">
        <v>961</v>
      </c>
      <c r="E359" s="42"/>
      <c r="F359" s="7">
        <f>F360</f>
        <v>0</v>
      </c>
      <c r="G359" s="7">
        <f aca="true" t="shared" si="145" ref="G359:L360">G360</f>
        <v>0</v>
      </c>
      <c r="H359" s="7">
        <f t="shared" si="145"/>
        <v>0</v>
      </c>
      <c r="I359" s="7">
        <f t="shared" si="145"/>
        <v>0</v>
      </c>
      <c r="J359" s="7">
        <f t="shared" si="145"/>
        <v>0</v>
      </c>
      <c r="K359" s="7">
        <f>K360+K362</f>
        <v>20000</v>
      </c>
      <c r="L359" s="7">
        <f>L360+L362</f>
        <v>19653.7</v>
      </c>
      <c r="M359" s="7">
        <f t="shared" si="138"/>
        <v>98.2685</v>
      </c>
    </row>
    <row r="360" spans="1:13" ht="31.5" customHeight="1">
      <c r="A360" s="26" t="s">
        <v>182</v>
      </c>
      <c r="B360" s="42" t="s">
        <v>285</v>
      </c>
      <c r="C360" s="42" t="s">
        <v>264</v>
      </c>
      <c r="D360" s="21" t="s">
        <v>961</v>
      </c>
      <c r="E360" s="42" t="s">
        <v>183</v>
      </c>
      <c r="F360" s="7">
        <f>F361</f>
        <v>0</v>
      </c>
      <c r="G360" s="7">
        <f t="shared" si="145"/>
        <v>0</v>
      </c>
      <c r="H360" s="7">
        <f t="shared" si="145"/>
        <v>0</v>
      </c>
      <c r="I360" s="7">
        <f t="shared" si="145"/>
        <v>0</v>
      </c>
      <c r="J360" s="7">
        <f t="shared" si="145"/>
        <v>0</v>
      </c>
      <c r="K360" s="7">
        <f t="shared" si="145"/>
        <v>20000</v>
      </c>
      <c r="L360" s="7">
        <f t="shared" si="145"/>
        <v>19653.7</v>
      </c>
      <c r="M360" s="7">
        <f t="shared" si="138"/>
        <v>98.2685</v>
      </c>
    </row>
    <row r="361" spans="1:13" ht="47.25" customHeight="1">
      <c r="A361" s="26" t="s">
        <v>184</v>
      </c>
      <c r="B361" s="42" t="s">
        <v>285</v>
      </c>
      <c r="C361" s="42" t="s">
        <v>264</v>
      </c>
      <c r="D361" s="21" t="s">
        <v>961</v>
      </c>
      <c r="E361" s="42" t="s">
        <v>185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>'Прил.№4 ведомств.'!G989</f>
        <v>20000</v>
      </c>
      <c r="L361" s="7">
        <f>'Прил.№4 ведомств.'!H989</f>
        <v>19653.7</v>
      </c>
      <c r="M361" s="7">
        <f t="shared" si="138"/>
        <v>98.2685</v>
      </c>
    </row>
    <row r="362" spans="1:13" ht="15.75" hidden="1">
      <c r="A362" s="31" t="s">
        <v>186</v>
      </c>
      <c r="B362" s="42" t="s">
        <v>285</v>
      </c>
      <c r="C362" s="42" t="s">
        <v>264</v>
      </c>
      <c r="D362" s="21" t="s">
        <v>961</v>
      </c>
      <c r="E362" s="42" t="s">
        <v>196</v>
      </c>
      <c r="F362" s="7"/>
      <c r="G362" s="7"/>
      <c r="H362" s="7"/>
      <c r="I362" s="7"/>
      <c r="J362" s="7"/>
      <c r="K362" s="7">
        <f>K363</f>
        <v>0</v>
      </c>
      <c r="L362" s="7">
        <f>L363</f>
        <v>0</v>
      </c>
      <c r="M362" s="7" t="e">
        <f t="shared" si="138"/>
        <v>#DIV/0!</v>
      </c>
    </row>
    <row r="363" spans="1:13" ht="15.75" hidden="1">
      <c r="A363" s="31" t="s">
        <v>620</v>
      </c>
      <c r="B363" s="42" t="s">
        <v>285</v>
      </c>
      <c r="C363" s="42" t="s">
        <v>264</v>
      </c>
      <c r="D363" s="21" t="s">
        <v>961</v>
      </c>
      <c r="E363" s="42" t="s">
        <v>189</v>
      </c>
      <c r="F363" s="7"/>
      <c r="G363" s="7"/>
      <c r="H363" s="7"/>
      <c r="I363" s="7"/>
      <c r="J363" s="7"/>
      <c r="K363" s="7">
        <f>'Прил.№4 ведомств.'!G991</f>
        <v>0</v>
      </c>
      <c r="L363" s="7">
        <f>'Прил.№4 ведомств.'!H991</f>
        <v>0</v>
      </c>
      <c r="M363" s="7" t="e">
        <f t="shared" si="138"/>
        <v>#DIV/0!</v>
      </c>
    </row>
    <row r="364" spans="1:13" ht="63">
      <c r="A364" s="26" t="s">
        <v>984</v>
      </c>
      <c r="B364" s="42" t="s">
        <v>285</v>
      </c>
      <c r="C364" s="42" t="s">
        <v>264</v>
      </c>
      <c r="D364" s="21" t="s">
        <v>986</v>
      </c>
      <c r="E364" s="42"/>
      <c r="F364" s="7"/>
      <c r="G364" s="7"/>
      <c r="H364" s="7"/>
      <c r="I364" s="7"/>
      <c r="J364" s="7"/>
      <c r="K364" s="7">
        <f>K365</f>
        <v>2967.2</v>
      </c>
      <c r="L364" s="7">
        <f>L365</f>
        <v>0</v>
      </c>
      <c r="M364" s="7">
        <f t="shared" si="138"/>
        <v>0</v>
      </c>
    </row>
    <row r="365" spans="1:13" ht="31.5">
      <c r="A365" s="26" t="s">
        <v>182</v>
      </c>
      <c r="B365" s="42" t="s">
        <v>285</v>
      </c>
      <c r="C365" s="42" t="s">
        <v>264</v>
      </c>
      <c r="D365" s="21" t="s">
        <v>986</v>
      </c>
      <c r="E365" s="42" t="s">
        <v>183</v>
      </c>
      <c r="F365" s="7"/>
      <c r="G365" s="7"/>
      <c r="H365" s="7"/>
      <c r="I365" s="7"/>
      <c r="J365" s="7"/>
      <c r="K365" s="7">
        <f>K366</f>
        <v>2967.2</v>
      </c>
      <c r="L365" s="7">
        <f>L366</f>
        <v>0</v>
      </c>
      <c r="M365" s="7">
        <f t="shared" si="138"/>
        <v>0</v>
      </c>
    </row>
    <row r="366" spans="1:13" ht="47.25">
      <c r="A366" s="26" t="s">
        <v>184</v>
      </c>
      <c r="B366" s="42" t="s">
        <v>285</v>
      </c>
      <c r="C366" s="42" t="s">
        <v>264</v>
      </c>
      <c r="D366" s="21" t="s">
        <v>986</v>
      </c>
      <c r="E366" s="42" t="s">
        <v>185</v>
      </c>
      <c r="F366" s="7"/>
      <c r="G366" s="7"/>
      <c r="H366" s="7"/>
      <c r="I366" s="7"/>
      <c r="J366" s="7"/>
      <c r="K366" s="7">
        <f>'Прил.№4 ведомств.'!G994</f>
        <v>2967.2</v>
      </c>
      <c r="L366" s="7">
        <f>'Прил.№4 ведомств.'!H994</f>
        <v>0</v>
      </c>
      <c r="M366" s="7">
        <f t="shared" si="138"/>
        <v>0</v>
      </c>
    </row>
    <row r="367" spans="1:13" ht="78.75">
      <c r="A367" s="121" t="s">
        <v>1006</v>
      </c>
      <c r="B367" s="42" t="s">
        <v>285</v>
      </c>
      <c r="C367" s="42" t="s">
        <v>264</v>
      </c>
      <c r="D367" s="21" t="s">
        <v>1008</v>
      </c>
      <c r="E367" s="42"/>
      <c r="F367" s="7"/>
      <c r="G367" s="7"/>
      <c r="H367" s="7"/>
      <c r="I367" s="7"/>
      <c r="J367" s="7"/>
      <c r="K367" s="7">
        <f>K368</f>
        <v>20000</v>
      </c>
      <c r="L367" s="7">
        <f>L368</f>
        <v>20000</v>
      </c>
      <c r="M367" s="7">
        <f t="shared" si="138"/>
        <v>100</v>
      </c>
    </row>
    <row r="368" spans="1:13" ht="31.5">
      <c r="A368" s="26" t="s">
        <v>182</v>
      </c>
      <c r="B368" s="42" t="s">
        <v>285</v>
      </c>
      <c r="C368" s="42" t="s">
        <v>264</v>
      </c>
      <c r="D368" s="21" t="s">
        <v>1008</v>
      </c>
      <c r="E368" s="42" t="s">
        <v>183</v>
      </c>
      <c r="F368" s="7"/>
      <c r="G368" s="7"/>
      <c r="H368" s="7"/>
      <c r="I368" s="7"/>
      <c r="J368" s="7"/>
      <c r="K368" s="7">
        <f>K369</f>
        <v>20000</v>
      </c>
      <c r="L368" s="7">
        <f>L369</f>
        <v>20000</v>
      </c>
      <c r="M368" s="7">
        <f t="shared" si="138"/>
        <v>100</v>
      </c>
    </row>
    <row r="369" spans="1:13" ht="47.25">
      <c r="A369" s="26" t="s">
        <v>184</v>
      </c>
      <c r="B369" s="42" t="s">
        <v>285</v>
      </c>
      <c r="C369" s="42" t="s">
        <v>264</v>
      </c>
      <c r="D369" s="21" t="s">
        <v>1008</v>
      </c>
      <c r="E369" s="42" t="s">
        <v>185</v>
      </c>
      <c r="F369" s="7"/>
      <c r="G369" s="7"/>
      <c r="H369" s="7"/>
      <c r="I369" s="7"/>
      <c r="J369" s="7"/>
      <c r="K369" s="7">
        <f>'Прил.№4 ведомств.'!G997</f>
        <v>20000</v>
      </c>
      <c r="L369" s="7">
        <f>'Прил.№4 ведомств.'!H997</f>
        <v>20000</v>
      </c>
      <c r="M369" s="7">
        <f t="shared" si="138"/>
        <v>100</v>
      </c>
    </row>
    <row r="370" spans="1:13" ht="78.75">
      <c r="A370" s="124" t="s">
        <v>1031</v>
      </c>
      <c r="B370" s="42" t="s">
        <v>285</v>
      </c>
      <c r="C370" s="42" t="s">
        <v>264</v>
      </c>
      <c r="D370" s="21" t="s">
        <v>1033</v>
      </c>
      <c r="E370" s="42"/>
      <c r="F370" s="7"/>
      <c r="G370" s="7"/>
      <c r="H370" s="7"/>
      <c r="I370" s="7"/>
      <c r="J370" s="7"/>
      <c r="K370" s="7">
        <f>K371</f>
        <v>10</v>
      </c>
      <c r="L370" s="7">
        <f>L371</f>
        <v>10</v>
      </c>
      <c r="M370" s="7">
        <f t="shared" si="138"/>
        <v>100</v>
      </c>
    </row>
    <row r="371" spans="1:13" ht="15.75">
      <c r="A371" s="26" t="s">
        <v>186</v>
      </c>
      <c r="B371" s="42" t="s">
        <v>285</v>
      </c>
      <c r="C371" s="42" t="s">
        <v>264</v>
      </c>
      <c r="D371" s="21" t="s">
        <v>1033</v>
      </c>
      <c r="E371" s="42" t="s">
        <v>196</v>
      </c>
      <c r="F371" s="7"/>
      <c r="G371" s="7"/>
      <c r="H371" s="7"/>
      <c r="I371" s="7"/>
      <c r="J371" s="7"/>
      <c r="K371" s="7">
        <f>K372</f>
        <v>10</v>
      </c>
      <c r="L371" s="7">
        <f>L372</f>
        <v>10</v>
      </c>
      <c r="M371" s="7">
        <f t="shared" si="138"/>
        <v>100</v>
      </c>
    </row>
    <row r="372" spans="1:13" ht="47.25">
      <c r="A372" s="26" t="s">
        <v>235</v>
      </c>
      <c r="B372" s="42" t="s">
        <v>285</v>
      </c>
      <c r="C372" s="42" t="s">
        <v>264</v>
      </c>
      <c r="D372" s="21" t="s">
        <v>1033</v>
      </c>
      <c r="E372" s="42" t="s">
        <v>211</v>
      </c>
      <c r="F372" s="7"/>
      <c r="G372" s="7"/>
      <c r="H372" s="7"/>
      <c r="I372" s="7"/>
      <c r="J372" s="7"/>
      <c r="K372" s="7">
        <f>'Прил.№4 ведомств.'!G1000</f>
        <v>10</v>
      </c>
      <c r="L372" s="7">
        <f>'Прил.№4 ведомств.'!H1000</f>
        <v>10</v>
      </c>
      <c r="M372" s="7">
        <f t="shared" si="138"/>
        <v>100</v>
      </c>
    </row>
    <row r="373" spans="1:13" ht="15.75">
      <c r="A373" s="43" t="s">
        <v>593</v>
      </c>
      <c r="B373" s="8" t="s">
        <v>285</v>
      </c>
      <c r="C373" s="8" t="s">
        <v>266</v>
      </c>
      <c r="D373" s="8"/>
      <c r="E373" s="8"/>
      <c r="F373" s="4" t="e">
        <f aca="true" t="shared" si="146" ref="F373:K373">F374+F409+F405</f>
        <v>#REF!</v>
      </c>
      <c r="G373" s="4" t="e">
        <f t="shared" si="146"/>
        <v>#REF!</v>
      </c>
      <c r="H373" s="4" t="e">
        <f t="shared" si="146"/>
        <v>#REF!</v>
      </c>
      <c r="I373" s="4" t="e">
        <f t="shared" si="146"/>
        <v>#REF!</v>
      </c>
      <c r="J373" s="4" t="e">
        <f t="shared" si="146"/>
        <v>#REF!</v>
      </c>
      <c r="K373" s="4">
        <f t="shared" si="146"/>
        <v>15195.28</v>
      </c>
      <c r="L373" s="4">
        <f>L374+L409+L405</f>
        <v>11827.2</v>
      </c>
      <c r="M373" s="4">
        <f t="shared" si="138"/>
        <v>77.8346960371905</v>
      </c>
    </row>
    <row r="374" spans="1:13" ht="48" customHeight="1">
      <c r="A374" s="26" t="s">
        <v>594</v>
      </c>
      <c r="B374" s="42" t="s">
        <v>285</v>
      </c>
      <c r="C374" s="42" t="s">
        <v>266</v>
      </c>
      <c r="D374" s="42" t="s">
        <v>595</v>
      </c>
      <c r="E374" s="42"/>
      <c r="F374" s="7" t="e">
        <f aca="true" t="shared" si="147" ref="F374:K374">F375+F390</f>
        <v>#REF!</v>
      </c>
      <c r="G374" s="7" t="e">
        <f t="shared" si="147"/>
        <v>#REF!</v>
      </c>
      <c r="H374" s="7" t="e">
        <f t="shared" si="147"/>
        <v>#REF!</v>
      </c>
      <c r="I374" s="7" t="e">
        <f t="shared" si="147"/>
        <v>#REF!</v>
      </c>
      <c r="J374" s="7" t="e">
        <f t="shared" si="147"/>
        <v>#REF!</v>
      </c>
      <c r="K374" s="7">
        <f t="shared" si="147"/>
        <v>7436.299999999999</v>
      </c>
      <c r="L374" s="7">
        <f>L375+L390</f>
        <v>5578.299999999999</v>
      </c>
      <c r="M374" s="7">
        <f t="shared" si="138"/>
        <v>75.01445611392762</v>
      </c>
    </row>
    <row r="375" spans="1:13" ht="47.25">
      <c r="A375" s="26" t="s">
        <v>596</v>
      </c>
      <c r="B375" s="21" t="s">
        <v>285</v>
      </c>
      <c r="C375" s="21" t="s">
        <v>266</v>
      </c>
      <c r="D375" s="21" t="s">
        <v>597</v>
      </c>
      <c r="E375" s="21"/>
      <c r="F375" s="7" t="e">
        <f>F379+F376+F384</f>
        <v>#REF!</v>
      </c>
      <c r="G375" s="7" t="e">
        <f>G379+G376+G384</f>
        <v>#REF!</v>
      </c>
      <c r="H375" s="7" t="e">
        <f>H379+H376+H384</f>
        <v>#REF!</v>
      </c>
      <c r="I375" s="7" t="e">
        <f>I379+I376+I384</f>
        <v>#REF!</v>
      </c>
      <c r="J375" s="7" t="e">
        <f>J379+J376+J384</f>
        <v>#REF!</v>
      </c>
      <c r="K375" s="7">
        <f>K379+K376+K384+K387</f>
        <v>6912.5</v>
      </c>
      <c r="L375" s="7">
        <f>L379+L376+L384+L387</f>
        <v>5316.9</v>
      </c>
      <c r="M375" s="7">
        <f t="shared" si="138"/>
        <v>76.91717902350813</v>
      </c>
    </row>
    <row r="376" spans="1:13" ht="24" customHeight="1" hidden="1">
      <c r="A376" s="26" t="s">
        <v>598</v>
      </c>
      <c r="B376" s="21" t="s">
        <v>285</v>
      </c>
      <c r="C376" s="21" t="s">
        <v>266</v>
      </c>
      <c r="D376" s="21" t="s">
        <v>599</v>
      </c>
      <c r="E376" s="21"/>
      <c r="F376" s="7" t="e">
        <f>F377</f>
        <v>#REF!</v>
      </c>
      <c r="G376" s="7" t="e">
        <f aca="true" t="shared" si="148" ref="G376:L377">G377</f>
        <v>#REF!</v>
      </c>
      <c r="H376" s="7" t="e">
        <f t="shared" si="148"/>
        <v>#REF!</v>
      </c>
      <c r="I376" s="7" t="e">
        <f t="shared" si="148"/>
        <v>#REF!</v>
      </c>
      <c r="J376" s="7" t="e">
        <f t="shared" si="148"/>
        <v>#REF!</v>
      </c>
      <c r="K376" s="7">
        <f t="shared" si="148"/>
        <v>0</v>
      </c>
      <c r="L376" s="7">
        <f t="shared" si="148"/>
        <v>0</v>
      </c>
      <c r="M376" s="7" t="e">
        <f t="shared" si="138"/>
        <v>#DIV/0!</v>
      </c>
    </row>
    <row r="377" spans="1:13" ht="31.5" hidden="1">
      <c r="A377" s="26" t="s">
        <v>182</v>
      </c>
      <c r="B377" s="21" t="s">
        <v>285</v>
      </c>
      <c r="C377" s="21" t="s">
        <v>266</v>
      </c>
      <c r="D377" s="21" t="s">
        <v>599</v>
      </c>
      <c r="E377" s="21" t="s">
        <v>183</v>
      </c>
      <c r="F377" s="7" t="e">
        <f>F378</f>
        <v>#REF!</v>
      </c>
      <c r="G377" s="7" t="e">
        <f t="shared" si="148"/>
        <v>#REF!</v>
      </c>
      <c r="H377" s="7" t="e">
        <f t="shared" si="148"/>
        <v>#REF!</v>
      </c>
      <c r="I377" s="7" t="e">
        <f t="shared" si="148"/>
        <v>#REF!</v>
      </c>
      <c r="J377" s="7" t="e">
        <f t="shared" si="148"/>
        <v>#REF!</v>
      </c>
      <c r="K377" s="7">
        <f t="shared" si="148"/>
        <v>0</v>
      </c>
      <c r="L377" s="7">
        <f t="shared" si="148"/>
        <v>0</v>
      </c>
      <c r="M377" s="7" t="e">
        <f t="shared" si="138"/>
        <v>#DIV/0!</v>
      </c>
    </row>
    <row r="378" spans="1:13" ht="47.25" hidden="1">
      <c r="A378" s="26" t="s">
        <v>184</v>
      </c>
      <c r="B378" s="21" t="s">
        <v>285</v>
      </c>
      <c r="C378" s="21" t="s">
        <v>266</v>
      </c>
      <c r="D378" s="21" t="s">
        <v>599</v>
      </c>
      <c r="E378" s="21" t="s">
        <v>185</v>
      </c>
      <c r="F378" s="7" t="e">
        <f>#REF!</f>
        <v>#REF!</v>
      </c>
      <c r="G378" s="7" t="e">
        <f>#REF!</f>
        <v>#REF!</v>
      </c>
      <c r="H378" s="7" t="e">
        <f>#REF!</f>
        <v>#REF!</v>
      </c>
      <c r="I378" s="7" t="e">
        <f>#REF!</f>
        <v>#REF!</v>
      </c>
      <c r="J378" s="7" t="e">
        <f>#REF!</f>
        <v>#REF!</v>
      </c>
      <c r="K378" s="7">
        <f>'Прил.№4 ведомств.'!G1006</f>
        <v>0</v>
      </c>
      <c r="L378" s="7">
        <f>'Прил.№4 ведомств.'!H1006</f>
        <v>0</v>
      </c>
      <c r="M378" s="7" t="e">
        <f t="shared" si="138"/>
        <v>#DIV/0!</v>
      </c>
    </row>
    <row r="379" spans="1:13" ht="15.75">
      <c r="A379" s="26" t="s">
        <v>600</v>
      </c>
      <c r="B379" s="21" t="s">
        <v>285</v>
      </c>
      <c r="C379" s="21" t="s">
        <v>266</v>
      </c>
      <c r="D379" s="21" t="s">
        <v>601</v>
      </c>
      <c r="E379" s="21"/>
      <c r="F379" s="7" t="e">
        <f>F380</f>
        <v>#REF!</v>
      </c>
      <c r="G379" s="7" t="e">
        <f aca="true" t="shared" si="149" ref="G379:L380">G380</f>
        <v>#REF!</v>
      </c>
      <c r="H379" s="7" t="e">
        <f t="shared" si="149"/>
        <v>#REF!</v>
      </c>
      <c r="I379" s="7" t="e">
        <f t="shared" si="149"/>
        <v>#REF!</v>
      </c>
      <c r="J379" s="7" t="e">
        <f t="shared" si="149"/>
        <v>#REF!</v>
      </c>
      <c r="K379" s="7">
        <f>K380+K382</f>
        <v>2189.9000000000005</v>
      </c>
      <c r="L379" s="7">
        <f>L380+L382</f>
        <v>2144</v>
      </c>
      <c r="M379" s="7">
        <f t="shared" si="138"/>
        <v>97.90401388191239</v>
      </c>
    </row>
    <row r="380" spans="1:13" ht="31.5">
      <c r="A380" s="26" t="s">
        <v>182</v>
      </c>
      <c r="B380" s="21" t="s">
        <v>285</v>
      </c>
      <c r="C380" s="21" t="s">
        <v>266</v>
      </c>
      <c r="D380" s="21" t="s">
        <v>601</v>
      </c>
      <c r="E380" s="21" t="s">
        <v>183</v>
      </c>
      <c r="F380" s="7" t="e">
        <f>F381</f>
        <v>#REF!</v>
      </c>
      <c r="G380" s="7" t="e">
        <f t="shared" si="149"/>
        <v>#REF!</v>
      </c>
      <c r="H380" s="7" t="e">
        <f t="shared" si="149"/>
        <v>#REF!</v>
      </c>
      <c r="I380" s="7" t="e">
        <f t="shared" si="149"/>
        <v>#REF!</v>
      </c>
      <c r="J380" s="7" t="e">
        <f t="shared" si="149"/>
        <v>#REF!</v>
      </c>
      <c r="K380" s="7">
        <f t="shared" si="149"/>
        <v>2152.4000000000005</v>
      </c>
      <c r="L380" s="7">
        <f t="shared" si="149"/>
        <v>2106.5</v>
      </c>
      <c r="M380" s="7">
        <f t="shared" si="138"/>
        <v>97.86749674781636</v>
      </c>
    </row>
    <row r="381" spans="1:13" ht="47.25">
      <c r="A381" s="26" t="s">
        <v>184</v>
      </c>
      <c r="B381" s="21" t="s">
        <v>285</v>
      </c>
      <c r="C381" s="21" t="s">
        <v>266</v>
      </c>
      <c r="D381" s="21" t="s">
        <v>601</v>
      </c>
      <c r="E381" s="21" t="s">
        <v>185</v>
      </c>
      <c r="F381" s="7" t="e">
        <f>#REF!</f>
        <v>#REF!</v>
      </c>
      <c r="G381" s="7" t="e">
        <f>#REF!</f>
        <v>#REF!</v>
      </c>
      <c r="H381" s="7" t="e">
        <f>#REF!</f>
        <v>#REF!</v>
      </c>
      <c r="I381" s="7" t="e">
        <f>#REF!</f>
        <v>#REF!</v>
      </c>
      <c r="J381" s="7" t="e">
        <f>#REF!</f>
        <v>#REF!</v>
      </c>
      <c r="K381" s="7">
        <f>'Прил.№4 ведомств.'!G1009</f>
        <v>2152.4000000000005</v>
      </c>
      <c r="L381" s="7">
        <f>'Прил.№4 ведомств.'!H1009</f>
        <v>2106.5</v>
      </c>
      <c r="M381" s="7">
        <f t="shared" si="138"/>
        <v>97.86749674781636</v>
      </c>
    </row>
    <row r="382" spans="1:13" ht="15.75">
      <c r="A382" s="31" t="s">
        <v>186</v>
      </c>
      <c r="B382" s="21" t="s">
        <v>285</v>
      </c>
      <c r="C382" s="21" t="s">
        <v>266</v>
      </c>
      <c r="D382" s="21" t="s">
        <v>601</v>
      </c>
      <c r="E382" s="21" t="s">
        <v>196</v>
      </c>
      <c r="F382" s="7"/>
      <c r="G382" s="7"/>
      <c r="H382" s="7"/>
      <c r="I382" s="7"/>
      <c r="J382" s="7"/>
      <c r="K382" s="7">
        <f>K383</f>
        <v>37.5</v>
      </c>
      <c r="L382" s="7">
        <f>L383</f>
        <v>37.5</v>
      </c>
      <c r="M382" s="7">
        <f t="shared" si="138"/>
        <v>100</v>
      </c>
    </row>
    <row r="383" spans="1:13" ht="15.75">
      <c r="A383" s="31" t="s">
        <v>620</v>
      </c>
      <c r="B383" s="21" t="s">
        <v>285</v>
      </c>
      <c r="C383" s="21" t="s">
        <v>266</v>
      </c>
      <c r="D383" s="21" t="s">
        <v>601</v>
      </c>
      <c r="E383" s="21" t="s">
        <v>189</v>
      </c>
      <c r="F383" s="7"/>
      <c r="G383" s="7"/>
      <c r="H383" s="7"/>
      <c r="I383" s="7"/>
      <c r="J383" s="7"/>
      <c r="K383" s="7">
        <f>'Прил.№4 ведомств.'!G1011</f>
        <v>37.5</v>
      </c>
      <c r="L383" s="7">
        <f>'Прил.№4 ведомств.'!H1011</f>
        <v>37.5</v>
      </c>
      <c r="M383" s="7">
        <f t="shared" si="138"/>
        <v>100</v>
      </c>
    </row>
    <row r="384" spans="1:13" ht="15.75">
      <c r="A384" s="26" t="s">
        <v>602</v>
      </c>
      <c r="B384" s="21" t="s">
        <v>285</v>
      </c>
      <c r="C384" s="21" t="s">
        <v>266</v>
      </c>
      <c r="D384" s="21" t="s">
        <v>603</v>
      </c>
      <c r="E384" s="21"/>
      <c r="F384" s="7" t="e">
        <f>F385</f>
        <v>#REF!</v>
      </c>
      <c r="G384" s="7" t="e">
        <f aca="true" t="shared" si="150" ref="G384:L385">G385</f>
        <v>#REF!</v>
      </c>
      <c r="H384" s="7" t="e">
        <f t="shared" si="150"/>
        <v>#REF!</v>
      </c>
      <c r="I384" s="7" t="e">
        <f t="shared" si="150"/>
        <v>#REF!</v>
      </c>
      <c r="J384" s="7" t="e">
        <f t="shared" si="150"/>
        <v>#REF!</v>
      </c>
      <c r="K384" s="7">
        <f t="shared" si="150"/>
        <v>2551.7000000000003</v>
      </c>
      <c r="L384" s="7">
        <f t="shared" si="150"/>
        <v>1002</v>
      </c>
      <c r="M384" s="7">
        <f t="shared" si="138"/>
        <v>39.26793902104479</v>
      </c>
    </row>
    <row r="385" spans="1:13" ht="31.5">
      <c r="A385" s="26" t="s">
        <v>182</v>
      </c>
      <c r="B385" s="21" t="s">
        <v>285</v>
      </c>
      <c r="C385" s="21" t="s">
        <v>266</v>
      </c>
      <c r="D385" s="21" t="s">
        <v>603</v>
      </c>
      <c r="E385" s="21" t="s">
        <v>183</v>
      </c>
      <c r="F385" s="7" t="e">
        <f>F386</f>
        <v>#REF!</v>
      </c>
      <c r="G385" s="7" t="e">
        <f t="shared" si="150"/>
        <v>#REF!</v>
      </c>
      <c r="H385" s="7" t="e">
        <f t="shared" si="150"/>
        <v>#REF!</v>
      </c>
      <c r="I385" s="7" t="e">
        <f t="shared" si="150"/>
        <v>#REF!</v>
      </c>
      <c r="J385" s="7" t="e">
        <f t="shared" si="150"/>
        <v>#REF!</v>
      </c>
      <c r="K385" s="7">
        <f t="shared" si="150"/>
        <v>2551.7000000000003</v>
      </c>
      <c r="L385" s="7">
        <f t="shared" si="150"/>
        <v>1002</v>
      </c>
      <c r="M385" s="7">
        <f t="shared" si="138"/>
        <v>39.26793902104479</v>
      </c>
    </row>
    <row r="386" spans="1:13" ht="47.25">
      <c r="A386" s="26" t="s">
        <v>184</v>
      </c>
      <c r="B386" s="21" t="s">
        <v>285</v>
      </c>
      <c r="C386" s="21" t="s">
        <v>266</v>
      </c>
      <c r="D386" s="21" t="s">
        <v>603</v>
      </c>
      <c r="E386" s="21" t="s">
        <v>185</v>
      </c>
      <c r="F386" s="7" t="e">
        <f>#REF!</f>
        <v>#REF!</v>
      </c>
      <c r="G386" s="7" t="e">
        <f>#REF!</f>
        <v>#REF!</v>
      </c>
      <c r="H386" s="7" t="e">
        <f>#REF!</f>
        <v>#REF!</v>
      </c>
      <c r="I386" s="7" t="e">
        <f>#REF!</f>
        <v>#REF!</v>
      </c>
      <c r="J386" s="7" t="e">
        <f>#REF!</f>
        <v>#REF!</v>
      </c>
      <c r="K386" s="7">
        <f>'Прил.№4 ведомств.'!G1014</f>
        <v>2551.7000000000003</v>
      </c>
      <c r="L386" s="7">
        <f>'Прил.№4 ведомств.'!H1014</f>
        <v>1002</v>
      </c>
      <c r="M386" s="7">
        <f t="shared" si="138"/>
        <v>39.26793902104479</v>
      </c>
    </row>
    <row r="387" spans="1:13" ht="31.5">
      <c r="A387" s="26" t="s">
        <v>613</v>
      </c>
      <c r="B387" s="21" t="s">
        <v>285</v>
      </c>
      <c r="C387" s="21" t="s">
        <v>266</v>
      </c>
      <c r="D387" s="21" t="s">
        <v>970</v>
      </c>
      <c r="E387" s="21"/>
      <c r="F387" s="7"/>
      <c r="G387" s="7"/>
      <c r="H387" s="7"/>
      <c r="I387" s="7"/>
      <c r="J387" s="7"/>
      <c r="K387" s="7">
        <f>K388</f>
        <v>2170.9</v>
      </c>
      <c r="L387" s="7">
        <f>L388</f>
        <v>2170.9</v>
      </c>
      <c r="M387" s="7">
        <f t="shared" si="138"/>
        <v>100</v>
      </c>
    </row>
    <row r="388" spans="1:13" ht="31.5">
      <c r="A388" s="26" t="s">
        <v>182</v>
      </c>
      <c r="B388" s="21" t="s">
        <v>285</v>
      </c>
      <c r="C388" s="21" t="s">
        <v>266</v>
      </c>
      <c r="D388" s="21" t="s">
        <v>970</v>
      </c>
      <c r="E388" s="21" t="s">
        <v>183</v>
      </c>
      <c r="F388" s="7"/>
      <c r="G388" s="7"/>
      <c r="H388" s="7"/>
      <c r="I388" s="7"/>
      <c r="J388" s="7"/>
      <c r="K388" s="7">
        <f>K389</f>
        <v>2170.9</v>
      </c>
      <c r="L388" s="7">
        <f>L389</f>
        <v>2170.9</v>
      </c>
      <c r="M388" s="7">
        <f t="shared" si="138"/>
        <v>100</v>
      </c>
    </row>
    <row r="389" spans="1:13" ht="47.25">
      <c r="A389" s="26" t="s">
        <v>184</v>
      </c>
      <c r="B389" s="21" t="s">
        <v>285</v>
      </c>
      <c r="C389" s="21" t="s">
        <v>266</v>
      </c>
      <c r="D389" s="21" t="s">
        <v>970</v>
      </c>
      <c r="E389" s="21" t="s">
        <v>185</v>
      </c>
      <c r="F389" s="7"/>
      <c r="G389" s="7"/>
      <c r="H389" s="7"/>
      <c r="I389" s="7"/>
      <c r="J389" s="7"/>
      <c r="K389" s="7">
        <f>'Прил.№4 ведомств.'!G1017</f>
        <v>2170.9</v>
      </c>
      <c r="L389" s="7">
        <f>'Прил.№4 ведомств.'!H1017</f>
        <v>2170.9</v>
      </c>
      <c r="M389" s="7">
        <f t="shared" si="138"/>
        <v>100</v>
      </c>
    </row>
    <row r="390" spans="1:13" ht="47.25">
      <c r="A390" s="26" t="s">
        <v>604</v>
      </c>
      <c r="B390" s="21" t="s">
        <v>285</v>
      </c>
      <c r="C390" s="21" t="s">
        <v>266</v>
      </c>
      <c r="D390" s="21" t="s">
        <v>605</v>
      </c>
      <c r="E390" s="21"/>
      <c r="F390" s="7" t="e">
        <f aca="true" t="shared" si="151" ref="F390:L390">F391+F396+F399+F402</f>
        <v>#REF!</v>
      </c>
      <c r="G390" s="7" t="e">
        <f t="shared" si="151"/>
        <v>#REF!</v>
      </c>
      <c r="H390" s="7" t="e">
        <f t="shared" si="151"/>
        <v>#REF!</v>
      </c>
      <c r="I390" s="7" t="e">
        <f t="shared" si="151"/>
        <v>#REF!</v>
      </c>
      <c r="J390" s="7" t="e">
        <f t="shared" si="151"/>
        <v>#REF!</v>
      </c>
      <c r="K390" s="7">
        <f t="shared" si="151"/>
        <v>523.7999999999996</v>
      </c>
      <c r="L390" s="7">
        <f t="shared" si="151"/>
        <v>261.40000000000003</v>
      </c>
      <c r="M390" s="7">
        <f t="shared" si="138"/>
        <v>49.904543718976754</v>
      </c>
    </row>
    <row r="391" spans="1:13" ht="15.75">
      <c r="A391" s="26" t="s">
        <v>602</v>
      </c>
      <c r="B391" s="21" t="s">
        <v>285</v>
      </c>
      <c r="C391" s="21" t="s">
        <v>266</v>
      </c>
      <c r="D391" s="21" t="s">
        <v>606</v>
      </c>
      <c r="E391" s="21"/>
      <c r="F391" s="7" t="e">
        <f aca="true" t="shared" si="152" ref="F391:L391">F392+F394</f>
        <v>#REF!</v>
      </c>
      <c r="G391" s="7" t="e">
        <f t="shared" si="152"/>
        <v>#REF!</v>
      </c>
      <c r="H391" s="7" t="e">
        <f t="shared" si="152"/>
        <v>#REF!</v>
      </c>
      <c r="I391" s="7" t="e">
        <f t="shared" si="152"/>
        <v>#REF!</v>
      </c>
      <c r="J391" s="7" t="e">
        <f t="shared" si="152"/>
        <v>#REF!</v>
      </c>
      <c r="K391" s="7">
        <f t="shared" si="152"/>
        <v>177.5</v>
      </c>
      <c r="L391" s="7">
        <f t="shared" si="152"/>
        <v>158.6</v>
      </c>
      <c r="M391" s="7">
        <f t="shared" si="138"/>
        <v>89.35211267605634</v>
      </c>
    </row>
    <row r="392" spans="1:13" ht="78.75" hidden="1">
      <c r="A392" s="26" t="s">
        <v>178</v>
      </c>
      <c r="B392" s="21" t="s">
        <v>285</v>
      </c>
      <c r="C392" s="21" t="s">
        <v>266</v>
      </c>
      <c r="D392" s="21" t="s">
        <v>606</v>
      </c>
      <c r="E392" s="21" t="s">
        <v>179</v>
      </c>
      <c r="F392" s="7" t="e">
        <f>F393</f>
        <v>#REF!</v>
      </c>
      <c r="G392" s="7" t="e">
        <f aca="true" t="shared" si="153" ref="G392:L392">G393</f>
        <v>#REF!</v>
      </c>
      <c r="H392" s="7" t="e">
        <f t="shared" si="153"/>
        <v>#REF!</v>
      </c>
      <c r="I392" s="7" t="e">
        <f t="shared" si="153"/>
        <v>#REF!</v>
      </c>
      <c r="J392" s="7" t="e">
        <f t="shared" si="153"/>
        <v>#REF!</v>
      </c>
      <c r="K392" s="7">
        <f t="shared" si="153"/>
        <v>0</v>
      </c>
      <c r="L392" s="7">
        <f t="shared" si="153"/>
        <v>0</v>
      </c>
      <c r="M392" s="7" t="e">
        <f t="shared" si="138"/>
        <v>#DIV/0!</v>
      </c>
    </row>
    <row r="393" spans="1:13" ht="31.5" hidden="1">
      <c r="A393" s="48" t="s">
        <v>393</v>
      </c>
      <c r="B393" s="21" t="s">
        <v>285</v>
      </c>
      <c r="C393" s="21" t="s">
        <v>266</v>
      </c>
      <c r="D393" s="21" t="s">
        <v>606</v>
      </c>
      <c r="E393" s="21" t="s">
        <v>260</v>
      </c>
      <c r="F393" s="7" t="e">
        <f>#REF!</f>
        <v>#REF!</v>
      </c>
      <c r="G393" s="7" t="e">
        <f>#REF!</f>
        <v>#REF!</v>
      </c>
      <c r="H393" s="7" t="e">
        <f>#REF!</f>
        <v>#REF!</v>
      </c>
      <c r="I393" s="7" t="e">
        <f>#REF!</f>
        <v>#REF!</v>
      </c>
      <c r="J393" s="7" t="e">
        <f>#REF!</f>
        <v>#REF!</v>
      </c>
      <c r="K393" s="7">
        <f>'Прил.№4 ведомств.'!G1021</f>
        <v>0</v>
      </c>
      <c r="L393" s="7">
        <f>'Прил.№4 ведомств.'!H1021</f>
        <v>0</v>
      </c>
      <c r="M393" s="7" t="e">
        <f t="shared" si="138"/>
        <v>#DIV/0!</v>
      </c>
    </row>
    <row r="394" spans="1:13" ht="31.5">
      <c r="A394" s="26" t="s">
        <v>182</v>
      </c>
      <c r="B394" s="21" t="s">
        <v>285</v>
      </c>
      <c r="C394" s="21" t="s">
        <v>266</v>
      </c>
      <c r="D394" s="21" t="s">
        <v>606</v>
      </c>
      <c r="E394" s="21" t="s">
        <v>183</v>
      </c>
      <c r="F394" s="7" t="e">
        <f>F395</f>
        <v>#REF!</v>
      </c>
      <c r="G394" s="7" t="e">
        <f aca="true" t="shared" si="154" ref="G394:L394">G395</f>
        <v>#REF!</v>
      </c>
      <c r="H394" s="7" t="e">
        <f t="shared" si="154"/>
        <v>#REF!</v>
      </c>
      <c r="I394" s="7" t="e">
        <f t="shared" si="154"/>
        <v>#REF!</v>
      </c>
      <c r="J394" s="7" t="e">
        <f t="shared" si="154"/>
        <v>#REF!</v>
      </c>
      <c r="K394" s="7">
        <f t="shared" si="154"/>
        <v>177.5</v>
      </c>
      <c r="L394" s="7">
        <f t="shared" si="154"/>
        <v>158.6</v>
      </c>
      <c r="M394" s="7">
        <f t="shared" si="138"/>
        <v>89.35211267605634</v>
      </c>
    </row>
    <row r="395" spans="1:13" ht="47.25">
      <c r="A395" s="26" t="s">
        <v>184</v>
      </c>
      <c r="B395" s="21" t="s">
        <v>285</v>
      </c>
      <c r="C395" s="21" t="s">
        <v>266</v>
      </c>
      <c r="D395" s="21" t="s">
        <v>606</v>
      </c>
      <c r="E395" s="21" t="s">
        <v>185</v>
      </c>
      <c r="F395" s="7" t="e">
        <f>#REF!</f>
        <v>#REF!</v>
      </c>
      <c r="G395" s="7" t="e">
        <f>#REF!</f>
        <v>#REF!</v>
      </c>
      <c r="H395" s="7" t="e">
        <f>#REF!</f>
        <v>#REF!</v>
      </c>
      <c r="I395" s="7" t="e">
        <f>#REF!</f>
        <v>#REF!</v>
      </c>
      <c r="J395" s="7" t="e">
        <f>#REF!</f>
        <v>#REF!</v>
      </c>
      <c r="K395" s="7">
        <f>'Прил.№4 ведомств.'!G1023</f>
        <v>177.5</v>
      </c>
      <c r="L395" s="7">
        <f>'Прил.№4 ведомств.'!H1023</f>
        <v>158.6</v>
      </c>
      <c r="M395" s="7">
        <f t="shared" si="138"/>
        <v>89.35211267605634</v>
      </c>
    </row>
    <row r="396" spans="1:13" ht="15.75">
      <c r="A396" s="26" t="s">
        <v>607</v>
      </c>
      <c r="B396" s="21" t="s">
        <v>285</v>
      </c>
      <c r="C396" s="21" t="s">
        <v>266</v>
      </c>
      <c r="D396" s="21" t="s">
        <v>608</v>
      </c>
      <c r="E396" s="21"/>
      <c r="F396" s="7" t="e">
        <f>F397</f>
        <v>#REF!</v>
      </c>
      <c r="G396" s="7" t="e">
        <f aca="true" t="shared" si="155" ref="G396:L397">G397</f>
        <v>#REF!</v>
      </c>
      <c r="H396" s="7" t="e">
        <f t="shared" si="155"/>
        <v>#REF!</v>
      </c>
      <c r="I396" s="7" t="e">
        <f t="shared" si="155"/>
        <v>#REF!</v>
      </c>
      <c r="J396" s="7" t="e">
        <f t="shared" si="155"/>
        <v>#REF!</v>
      </c>
      <c r="K396" s="7">
        <f t="shared" si="155"/>
        <v>87.69999999999999</v>
      </c>
      <c r="L396" s="7">
        <f t="shared" si="155"/>
        <v>87.7</v>
      </c>
      <c r="M396" s="7">
        <f aca="true" t="shared" si="156" ref="M396:M459">L396/K396*100</f>
        <v>100.00000000000003</v>
      </c>
    </row>
    <row r="397" spans="1:13" ht="31.5">
      <c r="A397" s="26" t="s">
        <v>182</v>
      </c>
      <c r="B397" s="21" t="s">
        <v>285</v>
      </c>
      <c r="C397" s="21" t="s">
        <v>266</v>
      </c>
      <c r="D397" s="21" t="s">
        <v>608</v>
      </c>
      <c r="E397" s="21" t="s">
        <v>183</v>
      </c>
      <c r="F397" s="7" t="e">
        <f>F398</f>
        <v>#REF!</v>
      </c>
      <c r="G397" s="7" t="e">
        <f t="shared" si="155"/>
        <v>#REF!</v>
      </c>
      <c r="H397" s="7" t="e">
        <f t="shared" si="155"/>
        <v>#REF!</v>
      </c>
      <c r="I397" s="7" t="e">
        <f t="shared" si="155"/>
        <v>#REF!</v>
      </c>
      <c r="J397" s="7" t="e">
        <f t="shared" si="155"/>
        <v>#REF!</v>
      </c>
      <c r="K397" s="7">
        <f t="shared" si="155"/>
        <v>87.69999999999999</v>
      </c>
      <c r="L397" s="7">
        <f t="shared" si="155"/>
        <v>87.7</v>
      </c>
      <c r="M397" s="7">
        <f t="shared" si="156"/>
        <v>100.00000000000003</v>
      </c>
    </row>
    <row r="398" spans="1:13" ht="47.25">
      <c r="A398" s="26" t="s">
        <v>184</v>
      </c>
      <c r="B398" s="21" t="s">
        <v>285</v>
      </c>
      <c r="C398" s="21" t="s">
        <v>266</v>
      </c>
      <c r="D398" s="21" t="s">
        <v>608</v>
      </c>
      <c r="E398" s="21" t="s">
        <v>185</v>
      </c>
      <c r="F398" s="7" t="e">
        <f>#REF!</f>
        <v>#REF!</v>
      </c>
      <c r="G398" s="7" t="e">
        <f>#REF!</f>
        <v>#REF!</v>
      </c>
      <c r="H398" s="7" t="e">
        <f>#REF!</f>
        <v>#REF!</v>
      </c>
      <c r="I398" s="7" t="e">
        <f>#REF!</f>
        <v>#REF!</v>
      </c>
      <c r="J398" s="7" t="e">
        <f>#REF!</f>
        <v>#REF!</v>
      </c>
      <c r="K398" s="7">
        <f>'Прил.№4 ведомств.'!G1026</f>
        <v>87.69999999999999</v>
      </c>
      <c r="L398" s="7">
        <f>'Прил.№4 ведомств.'!H1026</f>
        <v>87.7</v>
      </c>
      <c r="M398" s="7">
        <f t="shared" si="156"/>
        <v>100.00000000000003</v>
      </c>
    </row>
    <row r="399" spans="1:13" ht="47.25">
      <c r="A399" s="123" t="s">
        <v>609</v>
      </c>
      <c r="B399" s="21" t="s">
        <v>285</v>
      </c>
      <c r="C399" s="21" t="s">
        <v>266</v>
      </c>
      <c r="D399" s="21" t="s">
        <v>610</v>
      </c>
      <c r="E399" s="21"/>
      <c r="F399" s="7" t="e">
        <f>F400</f>
        <v>#REF!</v>
      </c>
      <c r="G399" s="7" t="e">
        <f aca="true" t="shared" si="157" ref="G399:L400">G400</f>
        <v>#REF!</v>
      </c>
      <c r="H399" s="7" t="e">
        <f t="shared" si="157"/>
        <v>#REF!</v>
      </c>
      <c r="I399" s="7" t="e">
        <f t="shared" si="157"/>
        <v>#REF!</v>
      </c>
      <c r="J399" s="7" t="e">
        <f t="shared" si="157"/>
        <v>#REF!</v>
      </c>
      <c r="K399" s="7">
        <f t="shared" si="157"/>
        <v>243.39999999999964</v>
      </c>
      <c r="L399" s="7">
        <f t="shared" si="157"/>
        <v>0</v>
      </c>
      <c r="M399" s="7">
        <f t="shared" si="156"/>
        <v>0</v>
      </c>
    </row>
    <row r="400" spans="1:13" ht="31.5">
      <c r="A400" s="26" t="s">
        <v>182</v>
      </c>
      <c r="B400" s="21" t="s">
        <v>285</v>
      </c>
      <c r="C400" s="21" t="s">
        <v>266</v>
      </c>
      <c r="D400" s="21" t="s">
        <v>610</v>
      </c>
      <c r="E400" s="21" t="s">
        <v>183</v>
      </c>
      <c r="F400" s="7" t="e">
        <f>F401</f>
        <v>#REF!</v>
      </c>
      <c r="G400" s="7" t="e">
        <f t="shared" si="157"/>
        <v>#REF!</v>
      </c>
      <c r="H400" s="7" t="e">
        <f t="shared" si="157"/>
        <v>#REF!</v>
      </c>
      <c r="I400" s="7" t="e">
        <f t="shared" si="157"/>
        <v>#REF!</v>
      </c>
      <c r="J400" s="7" t="e">
        <f t="shared" si="157"/>
        <v>#REF!</v>
      </c>
      <c r="K400" s="7">
        <f t="shared" si="157"/>
        <v>243.39999999999964</v>
      </c>
      <c r="L400" s="7">
        <f t="shared" si="157"/>
        <v>0</v>
      </c>
      <c r="M400" s="7">
        <f t="shared" si="156"/>
        <v>0</v>
      </c>
    </row>
    <row r="401" spans="1:13" ht="47.25">
      <c r="A401" s="26" t="s">
        <v>184</v>
      </c>
      <c r="B401" s="21" t="s">
        <v>285</v>
      </c>
      <c r="C401" s="21" t="s">
        <v>266</v>
      </c>
      <c r="D401" s="21" t="s">
        <v>610</v>
      </c>
      <c r="E401" s="21" t="s">
        <v>185</v>
      </c>
      <c r="F401" s="7" t="e">
        <f>#REF!</f>
        <v>#REF!</v>
      </c>
      <c r="G401" s="7" t="e">
        <f>#REF!</f>
        <v>#REF!</v>
      </c>
      <c r="H401" s="7" t="e">
        <f>#REF!</f>
        <v>#REF!</v>
      </c>
      <c r="I401" s="7" t="e">
        <f>#REF!</f>
        <v>#REF!</v>
      </c>
      <c r="J401" s="7" t="e">
        <f>#REF!</f>
        <v>#REF!</v>
      </c>
      <c r="K401" s="7">
        <f>'Прил.№4 ведомств.'!G1029</f>
        <v>243.39999999999964</v>
      </c>
      <c r="L401" s="7">
        <f>'Прил.№4 ведомств.'!H1029</f>
        <v>0</v>
      </c>
      <c r="M401" s="7">
        <f t="shared" si="156"/>
        <v>0</v>
      </c>
    </row>
    <row r="402" spans="1:13" ht="15.75">
      <c r="A402" s="123" t="s">
        <v>611</v>
      </c>
      <c r="B402" s="21" t="s">
        <v>285</v>
      </c>
      <c r="C402" s="21" t="s">
        <v>266</v>
      </c>
      <c r="D402" s="21" t="s">
        <v>612</v>
      </c>
      <c r="E402" s="21"/>
      <c r="F402" s="7" t="e">
        <f>F403</f>
        <v>#REF!</v>
      </c>
      <c r="G402" s="7" t="e">
        <f aca="true" t="shared" si="158" ref="G402:L403">G403</f>
        <v>#REF!</v>
      </c>
      <c r="H402" s="7" t="e">
        <f t="shared" si="158"/>
        <v>#REF!</v>
      </c>
      <c r="I402" s="7" t="e">
        <f t="shared" si="158"/>
        <v>#REF!</v>
      </c>
      <c r="J402" s="7" t="e">
        <f t="shared" si="158"/>
        <v>#REF!</v>
      </c>
      <c r="K402" s="7">
        <f t="shared" si="158"/>
        <v>15.199999999999989</v>
      </c>
      <c r="L402" s="7">
        <f t="shared" si="158"/>
        <v>15.1</v>
      </c>
      <c r="M402" s="7">
        <f t="shared" si="156"/>
        <v>99.34210526315796</v>
      </c>
    </row>
    <row r="403" spans="1:13" ht="31.5">
      <c r="A403" s="26" t="s">
        <v>182</v>
      </c>
      <c r="B403" s="21" t="s">
        <v>285</v>
      </c>
      <c r="C403" s="21" t="s">
        <v>266</v>
      </c>
      <c r="D403" s="21" t="s">
        <v>612</v>
      </c>
      <c r="E403" s="21" t="s">
        <v>183</v>
      </c>
      <c r="F403" s="7" t="e">
        <f>F404</f>
        <v>#REF!</v>
      </c>
      <c r="G403" s="7" t="e">
        <f t="shared" si="158"/>
        <v>#REF!</v>
      </c>
      <c r="H403" s="7" t="e">
        <f t="shared" si="158"/>
        <v>#REF!</v>
      </c>
      <c r="I403" s="7" t="e">
        <f t="shared" si="158"/>
        <v>#REF!</v>
      </c>
      <c r="J403" s="7" t="e">
        <f t="shared" si="158"/>
        <v>#REF!</v>
      </c>
      <c r="K403" s="7">
        <f t="shared" si="158"/>
        <v>15.199999999999989</v>
      </c>
      <c r="L403" s="7">
        <f t="shared" si="158"/>
        <v>15.1</v>
      </c>
      <c r="M403" s="7">
        <f t="shared" si="156"/>
        <v>99.34210526315796</v>
      </c>
    </row>
    <row r="404" spans="1:13" ht="47.25">
      <c r="A404" s="26" t="s">
        <v>184</v>
      </c>
      <c r="B404" s="21" t="s">
        <v>285</v>
      </c>
      <c r="C404" s="21" t="s">
        <v>266</v>
      </c>
      <c r="D404" s="21" t="s">
        <v>612</v>
      </c>
      <c r="E404" s="21" t="s">
        <v>185</v>
      </c>
      <c r="F404" s="7" t="e">
        <f>#REF!</f>
        <v>#REF!</v>
      </c>
      <c r="G404" s="7" t="e">
        <f>#REF!</f>
        <v>#REF!</v>
      </c>
      <c r="H404" s="7" t="e">
        <f>#REF!</f>
        <v>#REF!</v>
      </c>
      <c r="I404" s="7" t="e">
        <f>#REF!</f>
        <v>#REF!</v>
      </c>
      <c r="J404" s="7" t="e">
        <f>#REF!</f>
        <v>#REF!</v>
      </c>
      <c r="K404" s="7">
        <f>'Прил.№4 ведомств.'!G1032</f>
        <v>15.199999999999989</v>
      </c>
      <c r="L404" s="7">
        <f>'Прил.№4 ведомств.'!H1032</f>
        <v>15.1</v>
      </c>
      <c r="M404" s="7">
        <f t="shared" si="156"/>
        <v>99.34210526315796</v>
      </c>
    </row>
    <row r="405" spans="1:13" ht="63">
      <c r="A405" s="26" t="s">
        <v>999</v>
      </c>
      <c r="B405" s="21" t="s">
        <v>285</v>
      </c>
      <c r="C405" s="21" t="s">
        <v>266</v>
      </c>
      <c r="D405" s="21" t="s">
        <v>801</v>
      </c>
      <c r="E405" s="21"/>
      <c r="F405" s="7" t="e">
        <f>F406</f>
        <v>#REF!</v>
      </c>
      <c r="G405" s="7" t="e">
        <f aca="true" t="shared" si="159" ref="G405:L407">G406</f>
        <v>#REF!</v>
      </c>
      <c r="H405" s="7" t="e">
        <f t="shared" si="159"/>
        <v>#REF!</v>
      </c>
      <c r="I405" s="7" t="e">
        <f t="shared" si="159"/>
        <v>#REF!</v>
      </c>
      <c r="J405" s="7" t="e">
        <f t="shared" si="159"/>
        <v>#REF!</v>
      </c>
      <c r="K405" s="7">
        <f t="shared" si="159"/>
        <v>1979.6</v>
      </c>
      <c r="L405" s="7">
        <f t="shared" si="159"/>
        <v>1979.5</v>
      </c>
      <c r="M405" s="7">
        <f t="shared" si="156"/>
        <v>99.99494847443928</v>
      </c>
    </row>
    <row r="406" spans="1:13" ht="63">
      <c r="A406" s="26" t="s">
        <v>771</v>
      </c>
      <c r="B406" s="21" t="s">
        <v>285</v>
      </c>
      <c r="C406" s="21" t="s">
        <v>266</v>
      </c>
      <c r="D406" s="21" t="s">
        <v>1028</v>
      </c>
      <c r="E406" s="21"/>
      <c r="F406" s="7" t="e">
        <f>F407</f>
        <v>#REF!</v>
      </c>
      <c r="G406" s="7" t="e">
        <f t="shared" si="159"/>
        <v>#REF!</v>
      </c>
      <c r="H406" s="7" t="e">
        <f t="shared" si="159"/>
        <v>#REF!</v>
      </c>
      <c r="I406" s="7" t="e">
        <f t="shared" si="159"/>
        <v>#REF!</v>
      </c>
      <c r="J406" s="7" t="e">
        <f t="shared" si="159"/>
        <v>#REF!</v>
      </c>
      <c r="K406" s="7">
        <f t="shared" si="159"/>
        <v>1979.6</v>
      </c>
      <c r="L406" s="7">
        <f t="shared" si="159"/>
        <v>1979.5</v>
      </c>
      <c r="M406" s="7">
        <f t="shared" si="156"/>
        <v>99.99494847443928</v>
      </c>
    </row>
    <row r="407" spans="1:13" ht="31.5">
      <c r="A407" s="26" t="s">
        <v>182</v>
      </c>
      <c r="B407" s="21" t="s">
        <v>285</v>
      </c>
      <c r="C407" s="21" t="s">
        <v>266</v>
      </c>
      <c r="D407" s="21" t="s">
        <v>1028</v>
      </c>
      <c r="E407" s="21" t="s">
        <v>183</v>
      </c>
      <c r="F407" s="7" t="e">
        <f>F408</f>
        <v>#REF!</v>
      </c>
      <c r="G407" s="7" t="e">
        <f t="shared" si="159"/>
        <v>#REF!</v>
      </c>
      <c r="H407" s="7" t="e">
        <f t="shared" si="159"/>
        <v>#REF!</v>
      </c>
      <c r="I407" s="7" t="e">
        <f t="shared" si="159"/>
        <v>#REF!</v>
      </c>
      <c r="J407" s="7" t="e">
        <f t="shared" si="159"/>
        <v>#REF!</v>
      </c>
      <c r="K407" s="7">
        <f t="shared" si="159"/>
        <v>1979.6</v>
      </c>
      <c r="L407" s="7">
        <f t="shared" si="159"/>
        <v>1979.5</v>
      </c>
      <c r="M407" s="7">
        <f t="shared" si="156"/>
        <v>99.99494847443928</v>
      </c>
    </row>
    <row r="408" spans="1:13" ht="47.25">
      <c r="A408" s="26" t="s">
        <v>184</v>
      </c>
      <c r="B408" s="21" t="s">
        <v>285</v>
      </c>
      <c r="C408" s="21" t="s">
        <v>266</v>
      </c>
      <c r="D408" s="21" t="s">
        <v>1028</v>
      </c>
      <c r="E408" s="21" t="s">
        <v>185</v>
      </c>
      <c r="F408" s="7" t="e">
        <f>#REF!</f>
        <v>#REF!</v>
      </c>
      <c r="G408" s="7" t="e">
        <f>#REF!</f>
        <v>#REF!</v>
      </c>
      <c r="H408" s="7" t="e">
        <f>#REF!</f>
        <v>#REF!</v>
      </c>
      <c r="I408" s="7" t="e">
        <f>#REF!</f>
        <v>#REF!</v>
      </c>
      <c r="J408" s="7" t="e">
        <f>#REF!</f>
        <v>#REF!</v>
      </c>
      <c r="K408" s="7">
        <f>'Прил.№4 ведомств.'!G1036</f>
        <v>1979.6</v>
      </c>
      <c r="L408" s="7">
        <f>'Прил.№4 ведомств.'!H1036</f>
        <v>1979.5</v>
      </c>
      <c r="M408" s="7">
        <f t="shared" si="156"/>
        <v>99.99494847443928</v>
      </c>
    </row>
    <row r="409" spans="1:13" ht="15.75">
      <c r="A409" s="31" t="s">
        <v>172</v>
      </c>
      <c r="B409" s="42" t="s">
        <v>285</v>
      </c>
      <c r="C409" s="42" t="s">
        <v>266</v>
      </c>
      <c r="D409" s="42" t="s">
        <v>173</v>
      </c>
      <c r="E409" s="8"/>
      <c r="F409" s="7" t="e">
        <f aca="true" t="shared" si="160" ref="F409:L409">F410+F423</f>
        <v>#REF!</v>
      </c>
      <c r="G409" s="7" t="e">
        <f t="shared" si="160"/>
        <v>#REF!</v>
      </c>
      <c r="H409" s="7" t="e">
        <f t="shared" si="160"/>
        <v>#REF!</v>
      </c>
      <c r="I409" s="7" t="e">
        <f t="shared" si="160"/>
        <v>#REF!</v>
      </c>
      <c r="J409" s="7" t="e">
        <f t="shared" si="160"/>
        <v>#REF!</v>
      </c>
      <c r="K409" s="7">
        <f t="shared" si="160"/>
        <v>5779.38</v>
      </c>
      <c r="L409" s="7">
        <f t="shared" si="160"/>
        <v>4269.400000000001</v>
      </c>
      <c r="M409" s="7">
        <f t="shared" si="156"/>
        <v>73.87297599396476</v>
      </c>
    </row>
    <row r="410" spans="1:13" ht="31.5">
      <c r="A410" s="31" t="s">
        <v>236</v>
      </c>
      <c r="B410" s="42" t="s">
        <v>285</v>
      </c>
      <c r="C410" s="42" t="s">
        <v>266</v>
      </c>
      <c r="D410" s="42" t="s">
        <v>237</v>
      </c>
      <c r="E410" s="8"/>
      <c r="F410" s="7" t="e">
        <f aca="true" t="shared" si="161" ref="F410:L410">F411+F414+F417+F420</f>
        <v>#REF!</v>
      </c>
      <c r="G410" s="7" t="e">
        <f t="shared" si="161"/>
        <v>#REF!</v>
      </c>
      <c r="H410" s="7" t="e">
        <f t="shared" si="161"/>
        <v>#REF!</v>
      </c>
      <c r="I410" s="7" t="e">
        <f t="shared" si="161"/>
        <v>#REF!</v>
      </c>
      <c r="J410" s="7" t="e">
        <f t="shared" si="161"/>
        <v>#REF!</v>
      </c>
      <c r="K410" s="7">
        <f t="shared" si="161"/>
        <v>2283.88</v>
      </c>
      <c r="L410" s="7">
        <f t="shared" si="161"/>
        <v>785.7</v>
      </c>
      <c r="M410" s="7">
        <f t="shared" si="156"/>
        <v>34.4019825910293</v>
      </c>
    </row>
    <row r="411" spans="1:13" ht="35.25" customHeight="1" hidden="1">
      <c r="A411" s="48" t="s">
        <v>613</v>
      </c>
      <c r="B411" s="42" t="s">
        <v>285</v>
      </c>
      <c r="C411" s="42" t="s">
        <v>266</v>
      </c>
      <c r="D411" s="42" t="s">
        <v>614</v>
      </c>
      <c r="E411" s="8"/>
      <c r="F411" s="7" t="e">
        <f>F412</f>
        <v>#REF!</v>
      </c>
      <c r="G411" s="7" t="e">
        <f aca="true" t="shared" si="162" ref="G411:L412">G412</f>
        <v>#REF!</v>
      </c>
      <c r="H411" s="7" t="e">
        <f t="shared" si="162"/>
        <v>#REF!</v>
      </c>
      <c r="I411" s="7" t="e">
        <f t="shared" si="162"/>
        <v>#REF!</v>
      </c>
      <c r="J411" s="7" t="e">
        <f t="shared" si="162"/>
        <v>#REF!</v>
      </c>
      <c r="K411" s="7">
        <f t="shared" si="162"/>
        <v>0</v>
      </c>
      <c r="L411" s="7">
        <f t="shared" si="162"/>
        <v>0</v>
      </c>
      <c r="M411" s="7" t="e">
        <f t="shared" si="156"/>
        <v>#DIV/0!</v>
      </c>
    </row>
    <row r="412" spans="1:13" ht="31.5" hidden="1">
      <c r="A412" s="31" t="s">
        <v>182</v>
      </c>
      <c r="B412" s="42" t="s">
        <v>285</v>
      </c>
      <c r="C412" s="42" t="s">
        <v>266</v>
      </c>
      <c r="D412" s="42" t="s">
        <v>614</v>
      </c>
      <c r="E412" s="42" t="s">
        <v>183</v>
      </c>
      <c r="F412" s="7" t="e">
        <f>F413</f>
        <v>#REF!</v>
      </c>
      <c r="G412" s="7" t="e">
        <f t="shared" si="162"/>
        <v>#REF!</v>
      </c>
      <c r="H412" s="7" t="e">
        <f t="shared" si="162"/>
        <v>#REF!</v>
      </c>
      <c r="I412" s="7" t="e">
        <f t="shared" si="162"/>
        <v>#REF!</v>
      </c>
      <c r="J412" s="7" t="e">
        <f t="shared" si="162"/>
        <v>#REF!</v>
      </c>
      <c r="K412" s="7">
        <f t="shared" si="162"/>
        <v>0</v>
      </c>
      <c r="L412" s="7">
        <f t="shared" si="162"/>
        <v>0</v>
      </c>
      <c r="M412" s="7" t="e">
        <f t="shared" si="156"/>
        <v>#DIV/0!</v>
      </c>
    </row>
    <row r="413" spans="1:13" ht="47.25" hidden="1">
      <c r="A413" s="31" t="s">
        <v>184</v>
      </c>
      <c r="B413" s="42" t="s">
        <v>285</v>
      </c>
      <c r="C413" s="42" t="s">
        <v>266</v>
      </c>
      <c r="D413" s="42" t="s">
        <v>614</v>
      </c>
      <c r="E413" s="42" t="s">
        <v>185</v>
      </c>
      <c r="F413" s="7" t="e">
        <f>#REF!</f>
        <v>#REF!</v>
      </c>
      <c r="G413" s="7" t="e">
        <f>#REF!</f>
        <v>#REF!</v>
      </c>
      <c r="H413" s="7" t="e">
        <f>#REF!</f>
        <v>#REF!</v>
      </c>
      <c r="I413" s="7" t="e">
        <f>#REF!</f>
        <v>#REF!</v>
      </c>
      <c r="J413" s="7" t="e">
        <f>#REF!</f>
        <v>#REF!</v>
      </c>
      <c r="K413" s="7">
        <f>'Прил.№4 ведомств.'!G1041</f>
        <v>0</v>
      </c>
      <c r="L413" s="7">
        <f>'Прил.№4 ведомств.'!H1041</f>
        <v>0</v>
      </c>
      <c r="M413" s="7" t="e">
        <f t="shared" si="156"/>
        <v>#DIV/0!</v>
      </c>
    </row>
    <row r="414" spans="1:13" ht="31.5">
      <c r="A414" s="26" t="s">
        <v>768</v>
      </c>
      <c r="B414" s="42" t="s">
        <v>285</v>
      </c>
      <c r="C414" s="42" t="s">
        <v>266</v>
      </c>
      <c r="D414" s="21" t="s">
        <v>769</v>
      </c>
      <c r="E414" s="42"/>
      <c r="F414" s="7" t="e">
        <f>F415</f>
        <v>#REF!</v>
      </c>
      <c r="G414" s="7" t="e">
        <f aca="true" t="shared" si="163" ref="G414:L415">G415</f>
        <v>#REF!</v>
      </c>
      <c r="H414" s="7" t="e">
        <f t="shared" si="163"/>
        <v>#REF!</v>
      </c>
      <c r="I414" s="7" t="e">
        <f t="shared" si="163"/>
        <v>#REF!</v>
      </c>
      <c r="J414" s="7" t="e">
        <f t="shared" si="163"/>
        <v>#REF!</v>
      </c>
      <c r="K414" s="7">
        <f t="shared" si="163"/>
        <v>2283.88</v>
      </c>
      <c r="L414" s="7">
        <f t="shared" si="163"/>
        <v>785.7</v>
      </c>
      <c r="M414" s="7">
        <f t="shared" si="156"/>
        <v>34.4019825910293</v>
      </c>
    </row>
    <row r="415" spans="1:13" ht="31.5">
      <c r="A415" s="26" t="s">
        <v>182</v>
      </c>
      <c r="B415" s="42" t="s">
        <v>285</v>
      </c>
      <c r="C415" s="42" t="s">
        <v>266</v>
      </c>
      <c r="D415" s="21" t="s">
        <v>769</v>
      </c>
      <c r="E415" s="42" t="s">
        <v>183</v>
      </c>
      <c r="F415" s="7" t="e">
        <f>F416</f>
        <v>#REF!</v>
      </c>
      <c r="G415" s="7" t="e">
        <f t="shared" si="163"/>
        <v>#REF!</v>
      </c>
      <c r="H415" s="7" t="e">
        <f t="shared" si="163"/>
        <v>#REF!</v>
      </c>
      <c r="I415" s="7" t="e">
        <f t="shared" si="163"/>
        <v>#REF!</v>
      </c>
      <c r="J415" s="7" t="e">
        <f t="shared" si="163"/>
        <v>#REF!</v>
      </c>
      <c r="K415" s="7">
        <f t="shared" si="163"/>
        <v>2283.88</v>
      </c>
      <c r="L415" s="7">
        <f t="shared" si="163"/>
        <v>785.7</v>
      </c>
      <c r="M415" s="7">
        <f t="shared" si="156"/>
        <v>34.4019825910293</v>
      </c>
    </row>
    <row r="416" spans="1:13" ht="47.25">
      <c r="A416" s="26" t="s">
        <v>184</v>
      </c>
      <c r="B416" s="42" t="s">
        <v>285</v>
      </c>
      <c r="C416" s="42" t="s">
        <v>266</v>
      </c>
      <c r="D416" s="21" t="s">
        <v>769</v>
      </c>
      <c r="E416" s="42" t="s">
        <v>185</v>
      </c>
      <c r="F416" s="7" t="e">
        <f>#REF!</f>
        <v>#REF!</v>
      </c>
      <c r="G416" s="7" t="e">
        <f>#REF!</f>
        <v>#REF!</v>
      </c>
      <c r="H416" s="7" t="e">
        <f>#REF!</f>
        <v>#REF!</v>
      </c>
      <c r="I416" s="7" t="e">
        <f>#REF!</f>
        <v>#REF!</v>
      </c>
      <c r="J416" s="7" t="e">
        <f>#REF!</f>
        <v>#REF!</v>
      </c>
      <c r="K416" s="7">
        <f>'Прил.№4 ведомств.'!G1044</f>
        <v>2283.88</v>
      </c>
      <c r="L416" s="7">
        <f>'Прил.№4 ведомств.'!H1044</f>
        <v>785.7</v>
      </c>
      <c r="M416" s="7">
        <f t="shared" si="156"/>
        <v>34.4019825910293</v>
      </c>
    </row>
    <row r="417" spans="1:13" ht="47.25" hidden="1">
      <c r="A417" s="26" t="s">
        <v>770</v>
      </c>
      <c r="B417" s="42" t="s">
        <v>285</v>
      </c>
      <c r="C417" s="42" t="s">
        <v>266</v>
      </c>
      <c r="D417" s="42" t="s">
        <v>615</v>
      </c>
      <c r="E417" s="42"/>
      <c r="F417" s="7" t="e">
        <f>F418</f>
        <v>#REF!</v>
      </c>
      <c r="G417" s="7" t="e">
        <f aca="true" t="shared" si="164" ref="G417:L418">G418</f>
        <v>#REF!</v>
      </c>
      <c r="H417" s="7" t="e">
        <f t="shared" si="164"/>
        <v>#REF!</v>
      </c>
      <c r="I417" s="7" t="e">
        <f t="shared" si="164"/>
        <v>#REF!</v>
      </c>
      <c r="J417" s="7" t="e">
        <f t="shared" si="164"/>
        <v>#REF!</v>
      </c>
      <c r="K417" s="7">
        <f t="shared" si="164"/>
        <v>0</v>
      </c>
      <c r="L417" s="7">
        <f t="shared" si="164"/>
        <v>0</v>
      </c>
      <c r="M417" s="7" t="e">
        <f t="shared" si="156"/>
        <v>#DIV/0!</v>
      </c>
    </row>
    <row r="418" spans="1:13" ht="31.5" hidden="1">
      <c r="A418" s="31" t="s">
        <v>182</v>
      </c>
      <c r="B418" s="42" t="s">
        <v>285</v>
      </c>
      <c r="C418" s="42" t="s">
        <v>266</v>
      </c>
      <c r="D418" s="42" t="s">
        <v>615</v>
      </c>
      <c r="E418" s="42" t="s">
        <v>183</v>
      </c>
      <c r="F418" s="7" t="e">
        <f>F419</f>
        <v>#REF!</v>
      </c>
      <c r="G418" s="7" t="e">
        <f t="shared" si="164"/>
        <v>#REF!</v>
      </c>
      <c r="H418" s="7" t="e">
        <f t="shared" si="164"/>
        <v>#REF!</v>
      </c>
      <c r="I418" s="7" t="e">
        <f t="shared" si="164"/>
        <v>#REF!</v>
      </c>
      <c r="J418" s="7" t="e">
        <f t="shared" si="164"/>
        <v>#REF!</v>
      </c>
      <c r="K418" s="7">
        <f t="shared" si="164"/>
        <v>0</v>
      </c>
      <c r="L418" s="7">
        <f t="shared" si="164"/>
        <v>0</v>
      </c>
      <c r="M418" s="7" t="e">
        <f t="shared" si="156"/>
        <v>#DIV/0!</v>
      </c>
    </row>
    <row r="419" spans="1:13" ht="47.25" hidden="1">
      <c r="A419" s="31" t="s">
        <v>184</v>
      </c>
      <c r="B419" s="42" t="s">
        <v>285</v>
      </c>
      <c r="C419" s="42" t="s">
        <v>266</v>
      </c>
      <c r="D419" s="42" t="s">
        <v>615</v>
      </c>
      <c r="E419" s="42" t="s">
        <v>185</v>
      </c>
      <c r="F419" s="7" t="e">
        <f>#REF!</f>
        <v>#REF!</v>
      </c>
      <c r="G419" s="7" t="e">
        <f>#REF!</f>
        <v>#REF!</v>
      </c>
      <c r="H419" s="7" t="e">
        <f>#REF!</f>
        <v>#REF!</v>
      </c>
      <c r="I419" s="7" t="e">
        <f>#REF!</f>
        <v>#REF!</v>
      </c>
      <c r="J419" s="7" t="e">
        <f>#REF!</f>
        <v>#REF!</v>
      </c>
      <c r="K419" s="7">
        <f>'Прил.№4 ведомств.'!G1047</f>
        <v>0</v>
      </c>
      <c r="L419" s="7">
        <f>'Прил.№4 ведомств.'!H1047</f>
        <v>0</v>
      </c>
      <c r="M419" s="7" t="e">
        <f t="shared" si="156"/>
        <v>#DIV/0!</v>
      </c>
    </row>
    <row r="420" spans="1:13" ht="53.25" customHeight="1" hidden="1">
      <c r="A420" s="26" t="s">
        <v>771</v>
      </c>
      <c r="B420" s="42" t="s">
        <v>285</v>
      </c>
      <c r="C420" s="42" t="s">
        <v>266</v>
      </c>
      <c r="D420" s="21" t="s">
        <v>772</v>
      </c>
      <c r="E420" s="42"/>
      <c r="F420" s="7" t="e">
        <f>F421</f>
        <v>#REF!</v>
      </c>
      <c r="G420" s="7" t="e">
        <f aca="true" t="shared" si="165" ref="G420:L421">G421</f>
        <v>#REF!</v>
      </c>
      <c r="H420" s="7" t="e">
        <f t="shared" si="165"/>
        <v>#REF!</v>
      </c>
      <c r="I420" s="7" t="e">
        <f t="shared" si="165"/>
        <v>#REF!</v>
      </c>
      <c r="J420" s="7" t="e">
        <f t="shared" si="165"/>
        <v>#REF!</v>
      </c>
      <c r="K420" s="7">
        <f t="shared" si="165"/>
        <v>0</v>
      </c>
      <c r="L420" s="7">
        <f t="shared" si="165"/>
        <v>0</v>
      </c>
      <c r="M420" s="7" t="e">
        <f t="shared" si="156"/>
        <v>#DIV/0!</v>
      </c>
    </row>
    <row r="421" spans="1:13" ht="31.5" hidden="1">
      <c r="A421" s="26" t="s">
        <v>182</v>
      </c>
      <c r="B421" s="42" t="s">
        <v>285</v>
      </c>
      <c r="C421" s="42" t="s">
        <v>266</v>
      </c>
      <c r="D421" s="21" t="s">
        <v>772</v>
      </c>
      <c r="E421" s="42" t="s">
        <v>183</v>
      </c>
      <c r="F421" s="7" t="e">
        <f>F422</f>
        <v>#REF!</v>
      </c>
      <c r="G421" s="7" t="e">
        <f t="shared" si="165"/>
        <v>#REF!</v>
      </c>
      <c r="H421" s="7" t="e">
        <f t="shared" si="165"/>
        <v>#REF!</v>
      </c>
      <c r="I421" s="7" t="e">
        <f t="shared" si="165"/>
        <v>#REF!</v>
      </c>
      <c r="J421" s="7" t="e">
        <f t="shared" si="165"/>
        <v>#REF!</v>
      </c>
      <c r="K421" s="7">
        <f t="shared" si="165"/>
        <v>0</v>
      </c>
      <c r="L421" s="7">
        <f t="shared" si="165"/>
        <v>0</v>
      </c>
      <c r="M421" s="7" t="e">
        <f t="shared" si="156"/>
        <v>#DIV/0!</v>
      </c>
    </row>
    <row r="422" spans="1:13" ht="47.25" hidden="1">
      <c r="A422" s="26" t="s">
        <v>184</v>
      </c>
      <c r="B422" s="42" t="s">
        <v>285</v>
      </c>
      <c r="C422" s="42" t="s">
        <v>266</v>
      </c>
      <c r="D422" s="21" t="s">
        <v>772</v>
      </c>
      <c r="E422" s="42" t="s">
        <v>185</v>
      </c>
      <c r="F422" s="7" t="e">
        <f>#REF!</f>
        <v>#REF!</v>
      </c>
      <c r="G422" s="7" t="e">
        <f>#REF!</f>
        <v>#REF!</v>
      </c>
      <c r="H422" s="7" t="e">
        <f>#REF!</f>
        <v>#REF!</v>
      </c>
      <c r="I422" s="7" t="e">
        <f>#REF!</f>
        <v>#REF!</v>
      </c>
      <c r="J422" s="7" t="e">
        <f>#REF!</f>
        <v>#REF!</v>
      </c>
      <c r="K422" s="7">
        <f>'Прил.№4 ведомств.'!G1050</f>
        <v>0</v>
      </c>
      <c r="L422" s="7">
        <f>'Прил.№4 ведомств.'!H1050</f>
        <v>0</v>
      </c>
      <c r="M422" s="7" t="e">
        <f t="shared" si="156"/>
        <v>#DIV/0!</v>
      </c>
    </row>
    <row r="423" spans="1:13" ht="15.75">
      <c r="A423" s="31" t="s">
        <v>192</v>
      </c>
      <c r="B423" s="42" t="s">
        <v>285</v>
      </c>
      <c r="C423" s="42" t="s">
        <v>266</v>
      </c>
      <c r="D423" s="42" t="s">
        <v>193</v>
      </c>
      <c r="E423" s="8"/>
      <c r="F423" s="7" t="e">
        <f>F424+F427</f>
        <v>#REF!</v>
      </c>
      <c r="G423" s="7" t="e">
        <f>G424+G427</f>
        <v>#REF!</v>
      </c>
      <c r="H423" s="7" t="e">
        <f>H424+H427</f>
        <v>#REF!</v>
      </c>
      <c r="I423" s="7" t="e">
        <f>I424+I427</f>
        <v>#REF!</v>
      </c>
      <c r="J423" s="7" t="e">
        <f>J424+J427</f>
        <v>#REF!</v>
      </c>
      <c r="K423" s="7">
        <f>K424+K427+K430</f>
        <v>3495.5</v>
      </c>
      <c r="L423" s="7">
        <f>L424+L427+L430</f>
        <v>3483.7000000000003</v>
      </c>
      <c r="M423" s="7">
        <f t="shared" si="156"/>
        <v>99.66242311543414</v>
      </c>
    </row>
    <row r="424" spans="1:13" ht="15.75">
      <c r="A424" s="47" t="s">
        <v>655</v>
      </c>
      <c r="B424" s="42" t="s">
        <v>285</v>
      </c>
      <c r="C424" s="42" t="s">
        <v>266</v>
      </c>
      <c r="D424" s="42" t="s">
        <v>617</v>
      </c>
      <c r="E424" s="42"/>
      <c r="F424" s="7" t="e">
        <f>F425</f>
        <v>#REF!</v>
      </c>
      <c r="G424" s="7" t="e">
        <f aca="true" t="shared" si="166" ref="G424:L425">G425</f>
        <v>#REF!</v>
      </c>
      <c r="H424" s="7" t="e">
        <f t="shared" si="166"/>
        <v>#REF!</v>
      </c>
      <c r="I424" s="7" t="e">
        <f t="shared" si="166"/>
        <v>#REF!</v>
      </c>
      <c r="J424" s="7" t="e">
        <f t="shared" si="166"/>
        <v>#REF!</v>
      </c>
      <c r="K424" s="7">
        <f t="shared" si="166"/>
        <v>390</v>
      </c>
      <c r="L424" s="7">
        <f t="shared" si="166"/>
        <v>389.4</v>
      </c>
      <c r="M424" s="7">
        <f t="shared" si="156"/>
        <v>99.84615384615384</v>
      </c>
    </row>
    <row r="425" spans="1:13" ht="31.5">
      <c r="A425" s="31" t="s">
        <v>182</v>
      </c>
      <c r="B425" s="42" t="s">
        <v>285</v>
      </c>
      <c r="C425" s="42" t="s">
        <v>266</v>
      </c>
      <c r="D425" s="42" t="s">
        <v>617</v>
      </c>
      <c r="E425" s="42" t="s">
        <v>183</v>
      </c>
      <c r="F425" s="7" t="e">
        <f>F426</f>
        <v>#REF!</v>
      </c>
      <c r="G425" s="7" t="e">
        <f t="shared" si="166"/>
        <v>#REF!</v>
      </c>
      <c r="H425" s="7" t="e">
        <f t="shared" si="166"/>
        <v>#REF!</v>
      </c>
      <c r="I425" s="7" t="e">
        <f t="shared" si="166"/>
        <v>#REF!</v>
      </c>
      <c r="J425" s="7" t="e">
        <f t="shared" si="166"/>
        <v>#REF!</v>
      </c>
      <c r="K425" s="7">
        <f t="shared" si="166"/>
        <v>390</v>
      </c>
      <c r="L425" s="7">
        <f t="shared" si="166"/>
        <v>389.4</v>
      </c>
      <c r="M425" s="7">
        <f t="shared" si="156"/>
        <v>99.84615384615384</v>
      </c>
    </row>
    <row r="426" spans="1:13" ht="47.25">
      <c r="A426" s="31" t="s">
        <v>184</v>
      </c>
      <c r="B426" s="42" t="s">
        <v>285</v>
      </c>
      <c r="C426" s="42" t="s">
        <v>266</v>
      </c>
      <c r="D426" s="42" t="s">
        <v>617</v>
      </c>
      <c r="E426" s="42" t="s">
        <v>185</v>
      </c>
      <c r="F426" s="7" t="e">
        <f>#REF!</f>
        <v>#REF!</v>
      </c>
      <c r="G426" s="7" t="e">
        <f>#REF!</f>
        <v>#REF!</v>
      </c>
      <c r="H426" s="7" t="e">
        <f>#REF!</f>
        <v>#REF!</v>
      </c>
      <c r="I426" s="7" t="e">
        <f>#REF!</f>
        <v>#REF!</v>
      </c>
      <c r="J426" s="7" t="e">
        <f>#REF!</f>
        <v>#REF!</v>
      </c>
      <c r="K426" s="7">
        <f>'Прил.№4 ведомств.'!G1054</f>
        <v>390</v>
      </c>
      <c r="L426" s="7">
        <f>'Прил.№4 ведомств.'!H1054</f>
        <v>389.4</v>
      </c>
      <c r="M426" s="7">
        <f t="shared" si="156"/>
        <v>99.84615384615384</v>
      </c>
    </row>
    <row r="427" spans="1:13" ht="15.75" customHeight="1" hidden="1">
      <c r="A427" s="31" t="s">
        <v>618</v>
      </c>
      <c r="B427" s="42" t="s">
        <v>285</v>
      </c>
      <c r="C427" s="42" t="s">
        <v>266</v>
      </c>
      <c r="D427" s="42" t="s">
        <v>619</v>
      </c>
      <c r="E427" s="8"/>
      <c r="F427" s="7" t="e">
        <f>F428</f>
        <v>#REF!</v>
      </c>
      <c r="G427" s="7" t="e">
        <f aca="true" t="shared" si="167" ref="G427:L428">G428</f>
        <v>#REF!</v>
      </c>
      <c r="H427" s="7" t="e">
        <f t="shared" si="167"/>
        <v>#REF!</v>
      </c>
      <c r="I427" s="7" t="e">
        <f t="shared" si="167"/>
        <v>#REF!</v>
      </c>
      <c r="J427" s="7" t="e">
        <f t="shared" si="167"/>
        <v>#REF!</v>
      </c>
      <c r="K427" s="7">
        <f t="shared" si="167"/>
        <v>0</v>
      </c>
      <c r="L427" s="7">
        <f t="shared" si="167"/>
        <v>0</v>
      </c>
      <c r="M427" s="7" t="e">
        <f t="shared" si="156"/>
        <v>#DIV/0!</v>
      </c>
    </row>
    <row r="428" spans="1:13" ht="15.75" customHeight="1" hidden="1">
      <c r="A428" s="31" t="s">
        <v>186</v>
      </c>
      <c r="B428" s="42" t="s">
        <v>285</v>
      </c>
      <c r="C428" s="42" t="s">
        <v>266</v>
      </c>
      <c r="D428" s="42" t="s">
        <v>619</v>
      </c>
      <c r="E428" s="42" t="s">
        <v>196</v>
      </c>
      <c r="F428" s="7" t="e">
        <f>F429</f>
        <v>#REF!</v>
      </c>
      <c r="G428" s="7" t="e">
        <f t="shared" si="167"/>
        <v>#REF!</v>
      </c>
      <c r="H428" s="7" t="e">
        <f t="shared" si="167"/>
        <v>#REF!</v>
      </c>
      <c r="I428" s="7" t="e">
        <f t="shared" si="167"/>
        <v>#REF!</v>
      </c>
      <c r="J428" s="7" t="e">
        <f t="shared" si="167"/>
        <v>#REF!</v>
      </c>
      <c r="K428" s="7">
        <f t="shared" si="167"/>
        <v>0</v>
      </c>
      <c r="L428" s="7">
        <f t="shared" si="167"/>
        <v>0</v>
      </c>
      <c r="M428" s="7" t="e">
        <f t="shared" si="156"/>
        <v>#DIV/0!</v>
      </c>
    </row>
    <row r="429" spans="1:13" ht="15.75" customHeight="1" hidden="1">
      <c r="A429" s="31" t="s">
        <v>620</v>
      </c>
      <c r="B429" s="42" t="s">
        <v>285</v>
      </c>
      <c r="C429" s="42" t="s">
        <v>266</v>
      </c>
      <c r="D429" s="42" t="s">
        <v>619</v>
      </c>
      <c r="E429" s="42" t="s">
        <v>189</v>
      </c>
      <c r="F429" s="7" t="e">
        <f>#REF!</f>
        <v>#REF!</v>
      </c>
      <c r="G429" s="7" t="e">
        <f>#REF!</f>
        <v>#REF!</v>
      </c>
      <c r="H429" s="7" t="e">
        <f>#REF!</f>
        <v>#REF!</v>
      </c>
      <c r="I429" s="7" t="e">
        <f>#REF!</f>
        <v>#REF!</v>
      </c>
      <c r="J429" s="7" t="e">
        <f>#REF!</f>
        <v>#REF!</v>
      </c>
      <c r="K429" s="7">
        <f>'Прил.№4 ведомств.'!G1057</f>
        <v>0</v>
      </c>
      <c r="L429" s="7">
        <f>'Прил.№4 ведомств.'!H1057</f>
        <v>0</v>
      </c>
      <c r="M429" s="7" t="e">
        <f t="shared" si="156"/>
        <v>#DIV/0!</v>
      </c>
    </row>
    <row r="430" spans="1:13" s="1" customFormat="1" ht="63">
      <c r="A430" s="26" t="s">
        <v>992</v>
      </c>
      <c r="B430" s="42" t="s">
        <v>285</v>
      </c>
      <c r="C430" s="42" t="s">
        <v>266</v>
      </c>
      <c r="D430" s="42" t="s">
        <v>993</v>
      </c>
      <c r="E430" s="42"/>
      <c r="F430" s="7"/>
      <c r="G430" s="7"/>
      <c r="H430" s="7"/>
      <c r="I430" s="7"/>
      <c r="J430" s="7"/>
      <c r="K430" s="7">
        <f>K431</f>
        <v>3105.5</v>
      </c>
      <c r="L430" s="7">
        <f>L431</f>
        <v>3094.3</v>
      </c>
      <c r="M430" s="7">
        <f t="shared" si="156"/>
        <v>99.6393495411367</v>
      </c>
    </row>
    <row r="431" spans="1:13" ht="15.75" customHeight="1">
      <c r="A431" s="31" t="s">
        <v>182</v>
      </c>
      <c r="B431" s="42" t="s">
        <v>285</v>
      </c>
      <c r="C431" s="42" t="s">
        <v>266</v>
      </c>
      <c r="D431" s="42" t="s">
        <v>993</v>
      </c>
      <c r="E431" s="42" t="s">
        <v>183</v>
      </c>
      <c r="F431" s="7"/>
      <c r="G431" s="7"/>
      <c r="H431" s="7"/>
      <c r="I431" s="7"/>
      <c r="J431" s="7"/>
      <c r="K431" s="7">
        <f>K432</f>
        <v>3105.5</v>
      </c>
      <c r="L431" s="7">
        <f>L432</f>
        <v>3094.3</v>
      </c>
      <c r="M431" s="7">
        <f t="shared" si="156"/>
        <v>99.6393495411367</v>
      </c>
    </row>
    <row r="432" spans="1:13" ht="15.75" customHeight="1">
      <c r="A432" s="31" t="s">
        <v>184</v>
      </c>
      <c r="B432" s="42" t="s">
        <v>285</v>
      </c>
      <c r="C432" s="42" t="s">
        <v>266</v>
      </c>
      <c r="D432" s="42" t="s">
        <v>993</v>
      </c>
      <c r="E432" s="42" t="s">
        <v>185</v>
      </c>
      <c r="F432" s="7"/>
      <c r="G432" s="7"/>
      <c r="H432" s="7"/>
      <c r="I432" s="7"/>
      <c r="J432" s="7"/>
      <c r="K432" s="7">
        <f>'Прил.№4 ведомств.'!G1060</f>
        <v>3105.5</v>
      </c>
      <c r="L432" s="7">
        <f>'Прил.№4 ведомств.'!H1060</f>
        <v>3094.3</v>
      </c>
      <c r="M432" s="7">
        <f t="shared" si="156"/>
        <v>99.6393495411367</v>
      </c>
    </row>
    <row r="433" spans="1:13" ht="31.5">
      <c r="A433" s="43" t="s">
        <v>621</v>
      </c>
      <c r="B433" s="8" t="s">
        <v>285</v>
      </c>
      <c r="C433" s="8" t="s">
        <v>285</v>
      </c>
      <c r="D433" s="8"/>
      <c r="E433" s="8"/>
      <c r="F433" s="4" t="e">
        <f>F434</f>
        <v>#REF!</v>
      </c>
      <c r="G433" s="4" t="e">
        <f aca="true" t="shared" si="168" ref="G433:L433">G434</f>
        <v>#REF!</v>
      </c>
      <c r="H433" s="4" t="e">
        <f t="shared" si="168"/>
        <v>#REF!</v>
      </c>
      <c r="I433" s="4" t="e">
        <f t="shared" si="168"/>
        <v>#REF!</v>
      </c>
      <c r="J433" s="4" t="e">
        <f t="shared" si="168"/>
        <v>#REF!</v>
      </c>
      <c r="K433" s="4">
        <f t="shared" si="168"/>
        <v>25280.100000000002</v>
      </c>
      <c r="L433" s="4">
        <f t="shared" si="168"/>
        <v>25092.800000000003</v>
      </c>
      <c r="M433" s="4">
        <f t="shared" si="156"/>
        <v>99.25910103203705</v>
      </c>
    </row>
    <row r="434" spans="1:13" ht="15.75">
      <c r="A434" s="31" t="s">
        <v>172</v>
      </c>
      <c r="B434" s="42" t="s">
        <v>285</v>
      </c>
      <c r="C434" s="42" t="s">
        <v>285</v>
      </c>
      <c r="D434" s="42" t="s">
        <v>173</v>
      </c>
      <c r="E434" s="42"/>
      <c r="F434" s="7" t="e">
        <f aca="true" t="shared" si="169" ref="F434:L434">F443+F435</f>
        <v>#REF!</v>
      </c>
      <c r="G434" s="7" t="e">
        <f t="shared" si="169"/>
        <v>#REF!</v>
      </c>
      <c r="H434" s="7" t="e">
        <f t="shared" si="169"/>
        <v>#REF!</v>
      </c>
      <c r="I434" s="7" t="e">
        <f t="shared" si="169"/>
        <v>#REF!</v>
      </c>
      <c r="J434" s="7" t="e">
        <f t="shared" si="169"/>
        <v>#REF!</v>
      </c>
      <c r="K434" s="7">
        <f t="shared" si="169"/>
        <v>25280.100000000002</v>
      </c>
      <c r="L434" s="7">
        <f t="shared" si="169"/>
        <v>25092.800000000003</v>
      </c>
      <c r="M434" s="7">
        <f t="shared" si="156"/>
        <v>99.25910103203705</v>
      </c>
    </row>
    <row r="435" spans="1:13" ht="31.5">
      <c r="A435" s="31" t="s">
        <v>174</v>
      </c>
      <c r="B435" s="42" t="s">
        <v>285</v>
      </c>
      <c r="C435" s="42" t="s">
        <v>285</v>
      </c>
      <c r="D435" s="42" t="s">
        <v>175</v>
      </c>
      <c r="E435" s="42"/>
      <c r="F435" s="7" t="e">
        <f>F436</f>
        <v>#REF!</v>
      </c>
      <c r="G435" s="7" t="e">
        <f aca="true" t="shared" si="170" ref="G435:L435">G436</f>
        <v>#REF!</v>
      </c>
      <c r="H435" s="7" t="e">
        <f t="shared" si="170"/>
        <v>#REF!</v>
      </c>
      <c r="I435" s="7" t="e">
        <f t="shared" si="170"/>
        <v>#REF!</v>
      </c>
      <c r="J435" s="7" t="e">
        <f t="shared" si="170"/>
        <v>#REF!</v>
      </c>
      <c r="K435" s="7">
        <f t="shared" si="170"/>
        <v>13225.800000000001</v>
      </c>
      <c r="L435" s="7">
        <f t="shared" si="170"/>
        <v>13202.800000000001</v>
      </c>
      <c r="M435" s="7">
        <f t="shared" si="156"/>
        <v>99.82609747614511</v>
      </c>
    </row>
    <row r="436" spans="1:13" ht="31.5">
      <c r="A436" s="31" t="s">
        <v>656</v>
      </c>
      <c r="B436" s="42" t="s">
        <v>285</v>
      </c>
      <c r="C436" s="42" t="s">
        <v>285</v>
      </c>
      <c r="D436" s="42" t="s">
        <v>177</v>
      </c>
      <c r="E436" s="42"/>
      <c r="F436" s="7" t="e">
        <f aca="true" t="shared" si="171" ref="F436:L436">F437+F439+F441</f>
        <v>#REF!</v>
      </c>
      <c r="G436" s="7" t="e">
        <f t="shared" si="171"/>
        <v>#REF!</v>
      </c>
      <c r="H436" s="7" t="e">
        <f t="shared" si="171"/>
        <v>#REF!</v>
      </c>
      <c r="I436" s="7" t="e">
        <f t="shared" si="171"/>
        <v>#REF!</v>
      </c>
      <c r="J436" s="7" t="e">
        <f t="shared" si="171"/>
        <v>#REF!</v>
      </c>
      <c r="K436" s="7">
        <f t="shared" si="171"/>
        <v>13225.800000000001</v>
      </c>
      <c r="L436" s="7">
        <f t="shared" si="171"/>
        <v>13202.800000000001</v>
      </c>
      <c r="M436" s="7">
        <f t="shared" si="156"/>
        <v>99.82609747614511</v>
      </c>
    </row>
    <row r="437" spans="1:13" ht="87.75" customHeight="1">
      <c r="A437" s="31" t="s">
        <v>178</v>
      </c>
      <c r="B437" s="42" t="s">
        <v>285</v>
      </c>
      <c r="C437" s="42" t="s">
        <v>285</v>
      </c>
      <c r="D437" s="42" t="s">
        <v>177</v>
      </c>
      <c r="E437" s="42" t="s">
        <v>179</v>
      </c>
      <c r="F437" s="63" t="e">
        <f>F438</f>
        <v>#REF!</v>
      </c>
      <c r="G437" s="63" t="e">
        <f aca="true" t="shared" si="172" ref="G437:L437">G438</f>
        <v>#REF!</v>
      </c>
      <c r="H437" s="63" t="e">
        <f t="shared" si="172"/>
        <v>#REF!</v>
      </c>
      <c r="I437" s="63" t="e">
        <f t="shared" si="172"/>
        <v>#REF!</v>
      </c>
      <c r="J437" s="63" t="e">
        <f t="shared" si="172"/>
        <v>#REF!</v>
      </c>
      <c r="K437" s="63">
        <f t="shared" si="172"/>
        <v>13188.6</v>
      </c>
      <c r="L437" s="63">
        <f t="shared" si="172"/>
        <v>13165.7</v>
      </c>
      <c r="M437" s="7">
        <f t="shared" si="156"/>
        <v>99.82636519418286</v>
      </c>
    </row>
    <row r="438" spans="1:13" ht="31.5">
      <c r="A438" s="31" t="s">
        <v>180</v>
      </c>
      <c r="B438" s="42" t="s">
        <v>285</v>
      </c>
      <c r="C438" s="42" t="s">
        <v>285</v>
      </c>
      <c r="D438" s="42" t="s">
        <v>177</v>
      </c>
      <c r="E438" s="42" t="s">
        <v>181</v>
      </c>
      <c r="F438" s="63" t="e">
        <f>#REF!</f>
        <v>#REF!</v>
      </c>
      <c r="G438" s="63" t="e">
        <f>#REF!</f>
        <v>#REF!</v>
      </c>
      <c r="H438" s="63" t="e">
        <f>#REF!</f>
        <v>#REF!</v>
      </c>
      <c r="I438" s="63" t="e">
        <f>#REF!</f>
        <v>#REF!</v>
      </c>
      <c r="J438" s="63" t="e">
        <f>#REF!</f>
        <v>#REF!</v>
      </c>
      <c r="K438" s="63">
        <f>'Прил.№4 ведомств.'!G1066</f>
        <v>13188.6</v>
      </c>
      <c r="L438" s="63">
        <f>'Прил.№4 ведомств.'!H1066</f>
        <v>13165.7</v>
      </c>
      <c r="M438" s="7">
        <f t="shared" si="156"/>
        <v>99.82636519418286</v>
      </c>
    </row>
    <row r="439" spans="1:13" ht="31.5" hidden="1">
      <c r="A439" s="31" t="s">
        <v>182</v>
      </c>
      <c r="B439" s="42" t="s">
        <v>285</v>
      </c>
      <c r="C439" s="42" t="s">
        <v>285</v>
      </c>
      <c r="D439" s="42" t="s">
        <v>177</v>
      </c>
      <c r="E439" s="42" t="s">
        <v>183</v>
      </c>
      <c r="F439" s="63" t="e">
        <f>F440</f>
        <v>#REF!</v>
      </c>
      <c r="G439" s="63" t="e">
        <f aca="true" t="shared" si="173" ref="G439:L439">G440</f>
        <v>#REF!</v>
      </c>
      <c r="H439" s="63" t="e">
        <f t="shared" si="173"/>
        <v>#REF!</v>
      </c>
      <c r="I439" s="63" t="e">
        <f t="shared" si="173"/>
        <v>#REF!</v>
      </c>
      <c r="J439" s="63" t="e">
        <f t="shared" si="173"/>
        <v>#REF!</v>
      </c>
      <c r="K439" s="63">
        <f t="shared" si="173"/>
        <v>0</v>
      </c>
      <c r="L439" s="63">
        <f t="shared" si="173"/>
        <v>0</v>
      </c>
      <c r="M439" s="7" t="e">
        <f t="shared" si="156"/>
        <v>#DIV/0!</v>
      </c>
    </row>
    <row r="440" spans="1:13" ht="47.25" hidden="1">
      <c r="A440" s="31" t="s">
        <v>184</v>
      </c>
      <c r="B440" s="42" t="s">
        <v>285</v>
      </c>
      <c r="C440" s="42" t="s">
        <v>285</v>
      </c>
      <c r="D440" s="42" t="s">
        <v>177</v>
      </c>
      <c r="E440" s="42" t="s">
        <v>185</v>
      </c>
      <c r="F440" s="63" t="e">
        <f>#REF!</f>
        <v>#REF!</v>
      </c>
      <c r="G440" s="63" t="e">
        <f>#REF!</f>
        <v>#REF!</v>
      </c>
      <c r="H440" s="63" t="e">
        <f>#REF!</f>
        <v>#REF!</v>
      </c>
      <c r="I440" s="63" t="e">
        <f>#REF!</f>
        <v>#REF!</v>
      </c>
      <c r="J440" s="63" t="e">
        <f>#REF!</f>
        <v>#REF!</v>
      </c>
      <c r="K440" s="63">
        <f>'Прил.№4 ведомств.'!G1068</f>
        <v>0</v>
      </c>
      <c r="L440" s="63">
        <f>'Прил.№4 ведомств.'!H1068</f>
        <v>0</v>
      </c>
      <c r="M440" s="7" t="e">
        <f t="shared" si="156"/>
        <v>#DIV/0!</v>
      </c>
    </row>
    <row r="441" spans="1:13" ht="15.75">
      <c r="A441" s="31" t="s">
        <v>186</v>
      </c>
      <c r="B441" s="42" t="s">
        <v>285</v>
      </c>
      <c r="C441" s="42" t="s">
        <v>285</v>
      </c>
      <c r="D441" s="42" t="s">
        <v>177</v>
      </c>
      <c r="E441" s="42" t="s">
        <v>196</v>
      </c>
      <c r="F441" s="63" t="e">
        <f>F442</f>
        <v>#REF!</v>
      </c>
      <c r="G441" s="63" t="e">
        <f aca="true" t="shared" si="174" ref="G441:L441">G442</f>
        <v>#REF!</v>
      </c>
      <c r="H441" s="63" t="e">
        <f t="shared" si="174"/>
        <v>#REF!</v>
      </c>
      <c r="I441" s="63" t="e">
        <f t="shared" si="174"/>
        <v>#REF!</v>
      </c>
      <c r="J441" s="63" t="e">
        <f t="shared" si="174"/>
        <v>#REF!</v>
      </c>
      <c r="K441" s="63">
        <f t="shared" si="174"/>
        <v>37.199999999999996</v>
      </c>
      <c r="L441" s="63">
        <f t="shared" si="174"/>
        <v>37.1</v>
      </c>
      <c r="M441" s="7">
        <f t="shared" si="156"/>
        <v>99.73118279569894</v>
      </c>
    </row>
    <row r="442" spans="1:13" ht="15.75">
      <c r="A442" s="31" t="s">
        <v>620</v>
      </c>
      <c r="B442" s="42" t="s">
        <v>285</v>
      </c>
      <c r="C442" s="42" t="s">
        <v>285</v>
      </c>
      <c r="D442" s="42" t="s">
        <v>177</v>
      </c>
      <c r="E442" s="42" t="s">
        <v>189</v>
      </c>
      <c r="F442" s="63" t="e">
        <f>#REF!</f>
        <v>#REF!</v>
      </c>
      <c r="G442" s="63" t="e">
        <f>#REF!</f>
        <v>#REF!</v>
      </c>
      <c r="H442" s="63" t="e">
        <f>#REF!</f>
        <v>#REF!</v>
      </c>
      <c r="I442" s="63" t="e">
        <f>#REF!</f>
        <v>#REF!</v>
      </c>
      <c r="J442" s="63" t="e">
        <f>#REF!</f>
        <v>#REF!</v>
      </c>
      <c r="K442" s="63">
        <f>'Прил.№4 ведомств.'!G1070</f>
        <v>37.199999999999996</v>
      </c>
      <c r="L442" s="63">
        <f>'Прил.№4 ведомств.'!H1070</f>
        <v>37.1</v>
      </c>
      <c r="M442" s="7">
        <f t="shared" si="156"/>
        <v>99.73118279569894</v>
      </c>
    </row>
    <row r="443" spans="1:13" ht="15.75">
      <c r="A443" s="31" t="s">
        <v>192</v>
      </c>
      <c r="B443" s="42" t="s">
        <v>285</v>
      </c>
      <c r="C443" s="42" t="s">
        <v>285</v>
      </c>
      <c r="D443" s="42" t="s">
        <v>193</v>
      </c>
      <c r="E443" s="42"/>
      <c r="F443" s="7" t="e">
        <f aca="true" t="shared" si="175" ref="F443:L443">F444+F447</f>
        <v>#REF!</v>
      </c>
      <c r="G443" s="7" t="e">
        <f t="shared" si="175"/>
        <v>#REF!</v>
      </c>
      <c r="H443" s="7" t="e">
        <f t="shared" si="175"/>
        <v>#REF!</v>
      </c>
      <c r="I443" s="7" t="e">
        <f t="shared" si="175"/>
        <v>#REF!</v>
      </c>
      <c r="J443" s="7" t="e">
        <f t="shared" si="175"/>
        <v>#REF!</v>
      </c>
      <c r="K443" s="7">
        <f t="shared" si="175"/>
        <v>12054.300000000001</v>
      </c>
      <c r="L443" s="7">
        <f t="shared" si="175"/>
        <v>11890</v>
      </c>
      <c r="M443" s="7">
        <f t="shared" si="156"/>
        <v>98.63700090424163</v>
      </c>
    </row>
    <row r="444" spans="1:13" ht="31.5">
      <c r="A444" s="31" t="s">
        <v>622</v>
      </c>
      <c r="B444" s="42" t="s">
        <v>285</v>
      </c>
      <c r="C444" s="42" t="s">
        <v>285</v>
      </c>
      <c r="D444" s="42" t="s">
        <v>623</v>
      </c>
      <c r="E444" s="42"/>
      <c r="F444" s="63" t="e">
        <f>F445</f>
        <v>#REF!</v>
      </c>
      <c r="G444" s="63" t="e">
        <f aca="true" t="shared" si="176" ref="G444:L445">G445</f>
        <v>#REF!</v>
      </c>
      <c r="H444" s="63" t="e">
        <f t="shared" si="176"/>
        <v>#REF!</v>
      </c>
      <c r="I444" s="63" t="e">
        <f t="shared" si="176"/>
        <v>#REF!</v>
      </c>
      <c r="J444" s="63" t="e">
        <f t="shared" si="176"/>
        <v>#REF!</v>
      </c>
      <c r="K444" s="63">
        <f t="shared" si="176"/>
        <v>2209.6000000000004</v>
      </c>
      <c r="L444" s="63">
        <f t="shared" si="176"/>
        <v>2209.6</v>
      </c>
      <c r="M444" s="7">
        <f t="shared" si="156"/>
        <v>99.99999999999997</v>
      </c>
    </row>
    <row r="445" spans="1:13" ht="15.75">
      <c r="A445" s="31" t="s">
        <v>186</v>
      </c>
      <c r="B445" s="42" t="s">
        <v>285</v>
      </c>
      <c r="C445" s="42" t="s">
        <v>285</v>
      </c>
      <c r="D445" s="42" t="s">
        <v>623</v>
      </c>
      <c r="E445" s="42" t="s">
        <v>196</v>
      </c>
      <c r="F445" s="63" t="e">
        <f>F446</f>
        <v>#REF!</v>
      </c>
      <c r="G445" s="63" t="e">
        <f t="shared" si="176"/>
        <v>#REF!</v>
      </c>
      <c r="H445" s="63" t="e">
        <f t="shared" si="176"/>
        <v>#REF!</v>
      </c>
      <c r="I445" s="63" t="e">
        <f t="shared" si="176"/>
        <v>#REF!</v>
      </c>
      <c r="J445" s="63" t="e">
        <f t="shared" si="176"/>
        <v>#REF!</v>
      </c>
      <c r="K445" s="63">
        <f t="shared" si="176"/>
        <v>2209.6000000000004</v>
      </c>
      <c r="L445" s="63">
        <f t="shared" si="176"/>
        <v>2209.6</v>
      </c>
      <c r="M445" s="7">
        <f t="shared" si="156"/>
        <v>99.99999999999997</v>
      </c>
    </row>
    <row r="446" spans="1:13" ht="47.25">
      <c r="A446" s="26" t="s">
        <v>235</v>
      </c>
      <c r="B446" s="42" t="s">
        <v>285</v>
      </c>
      <c r="C446" s="42" t="s">
        <v>285</v>
      </c>
      <c r="D446" s="42" t="s">
        <v>623</v>
      </c>
      <c r="E446" s="42" t="s">
        <v>211</v>
      </c>
      <c r="F446" s="63" t="e">
        <f>#REF!</f>
        <v>#REF!</v>
      </c>
      <c r="G446" s="63" t="e">
        <f>#REF!</f>
        <v>#REF!</v>
      </c>
      <c r="H446" s="63" t="e">
        <f>#REF!</f>
        <v>#REF!</v>
      </c>
      <c r="I446" s="63" t="e">
        <f>#REF!</f>
        <v>#REF!</v>
      </c>
      <c r="J446" s="63" t="e">
        <f>#REF!</f>
        <v>#REF!</v>
      </c>
      <c r="K446" s="63">
        <f>'Прил.№4 ведомств.'!G1074</f>
        <v>2209.6000000000004</v>
      </c>
      <c r="L446" s="63">
        <f>'Прил.№4 ведомств.'!H1074</f>
        <v>2209.6</v>
      </c>
      <c r="M446" s="7">
        <f t="shared" si="156"/>
        <v>99.99999999999997</v>
      </c>
    </row>
    <row r="447" spans="1:13" ht="31.5">
      <c r="A447" s="26" t="s">
        <v>391</v>
      </c>
      <c r="B447" s="42" t="s">
        <v>285</v>
      </c>
      <c r="C447" s="42" t="s">
        <v>285</v>
      </c>
      <c r="D447" s="42" t="s">
        <v>392</v>
      </c>
      <c r="E447" s="42"/>
      <c r="F447" s="7" t="e">
        <f aca="true" t="shared" si="177" ref="F447:L447">F448+F450</f>
        <v>#REF!</v>
      </c>
      <c r="G447" s="7" t="e">
        <f t="shared" si="177"/>
        <v>#REF!</v>
      </c>
      <c r="H447" s="7" t="e">
        <f t="shared" si="177"/>
        <v>#REF!</v>
      </c>
      <c r="I447" s="7" t="e">
        <f t="shared" si="177"/>
        <v>#REF!</v>
      </c>
      <c r="J447" s="7" t="e">
        <f t="shared" si="177"/>
        <v>#REF!</v>
      </c>
      <c r="K447" s="7">
        <f t="shared" si="177"/>
        <v>9844.7</v>
      </c>
      <c r="L447" s="7">
        <f t="shared" si="177"/>
        <v>9680.4</v>
      </c>
      <c r="M447" s="7">
        <f t="shared" si="156"/>
        <v>98.33108169878207</v>
      </c>
    </row>
    <row r="448" spans="1:13" ht="78.75">
      <c r="A448" s="31" t="s">
        <v>178</v>
      </c>
      <c r="B448" s="42" t="s">
        <v>285</v>
      </c>
      <c r="C448" s="42" t="s">
        <v>285</v>
      </c>
      <c r="D448" s="42" t="s">
        <v>392</v>
      </c>
      <c r="E448" s="42" t="s">
        <v>179</v>
      </c>
      <c r="F448" s="63" t="e">
        <f>F449</f>
        <v>#REF!</v>
      </c>
      <c r="G448" s="63" t="e">
        <f aca="true" t="shared" si="178" ref="G448:L448">G449</f>
        <v>#REF!</v>
      </c>
      <c r="H448" s="63" t="e">
        <f t="shared" si="178"/>
        <v>#REF!</v>
      </c>
      <c r="I448" s="63" t="e">
        <f t="shared" si="178"/>
        <v>#REF!</v>
      </c>
      <c r="J448" s="63" t="e">
        <f t="shared" si="178"/>
        <v>#REF!</v>
      </c>
      <c r="K448" s="63">
        <f t="shared" si="178"/>
        <v>5764.7</v>
      </c>
      <c r="L448" s="63">
        <f t="shared" si="178"/>
        <v>5719.5</v>
      </c>
      <c r="M448" s="7">
        <f t="shared" si="156"/>
        <v>99.21591756726282</v>
      </c>
    </row>
    <row r="449" spans="1:13" ht="31.5">
      <c r="A449" s="48" t="s">
        <v>393</v>
      </c>
      <c r="B449" s="42" t="s">
        <v>285</v>
      </c>
      <c r="C449" s="42" t="s">
        <v>285</v>
      </c>
      <c r="D449" s="42" t="s">
        <v>392</v>
      </c>
      <c r="E449" s="42" t="s">
        <v>260</v>
      </c>
      <c r="F449" s="63" t="e">
        <f>#REF!</f>
        <v>#REF!</v>
      </c>
      <c r="G449" s="63" t="e">
        <f>#REF!</f>
        <v>#REF!</v>
      </c>
      <c r="H449" s="63" t="e">
        <f>#REF!</f>
        <v>#REF!</v>
      </c>
      <c r="I449" s="63" t="e">
        <f>#REF!</f>
        <v>#REF!</v>
      </c>
      <c r="J449" s="63" t="e">
        <f>#REF!</f>
        <v>#REF!</v>
      </c>
      <c r="K449" s="63">
        <f>'Прил.№4 ведомств.'!G1077</f>
        <v>5764.7</v>
      </c>
      <c r="L449" s="63">
        <f>'Прил.№4 ведомств.'!H1077</f>
        <v>5719.5</v>
      </c>
      <c r="M449" s="7">
        <f t="shared" si="156"/>
        <v>99.21591756726282</v>
      </c>
    </row>
    <row r="450" spans="1:13" ht="31.5">
      <c r="A450" s="31" t="s">
        <v>182</v>
      </c>
      <c r="B450" s="42" t="s">
        <v>285</v>
      </c>
      <c r="C450" s="42" t="s">
        <v>285</v>
      </c>
      <c r="D450" s="42" t="s">
        <v>392</v>
      </c>
      <c r="E450" s="42" t="s">
        <v>183</v>
      </c>
      <c r="F450" s="63" t="e">
        <f>F451</f>
        <v>#REF!</v>
      </c>
      <c r="G450" s="63" t="e">
        <f aca="true" t="shared" si="179" ref="G450:L450">G451</f>
        <v>#REF!</v>
      </c>
      <c r="H450" s="63" t="e">
        <f t="shared" si="179"/>
        <v>#REF!</v>
      </c>
      <c r="I450" s="63" t="e">
        <f t="shared" si="179"/>
        <v>#REF!</v>
      </c>
      <c r="J450" s="63" t="e">
        <f t="shared" si="179"/>
        <v>#REF!</v>
      </c>
      <c r="K450" s="63">
        <f t="shared" si="179"/>
        <v>4080</v>
      </c>
      <c r="L450" s="63">
        <f t="shared" si="179"/>
        <v>3960.9</v>
      </c>
      <c r="M450" s="7">
        <f t="shared" si="156"/>
        <v>97.08088235294117</v>
      </c>
    </row>
    <row r="451" spans="1:13" ht="47.25">
      <c r="A451" s="31" t="s">
        <v>184</v>
      </c>
      <c r="B451" s="42" t="s">
        <v>285</v>
      </c>
      <c r="C451" s="42" t="s">
        <v>285</v>
      </c>
      <c r="D451" s="42" t="s">
        <v>392</v>
      </c>
      <c r="E451" s="42" t="s">
        <v>185</v>
      </c>
      <c r="F451" s="63" t="e">
        <f>#REF!</f>
        <v>#REF!</v>
      </c>
      <c r="G451" s="63" t="e">
        <f>#REF!</f>
        <v>#REF!</v>
      </c>
      <c r="H451" s="63" t="e">
        <f>#REF!</f>
        <v>#REF!</v>
      </c>
      <c r="I451" s="63" t="e">
        <f>#REF!</f>
        <v>#REF!</v>
      </c>
      <c r="J451" s="63" t="e">
        <f>#REF!</f>
        <v>#REF!</v>
      </c>
      <c r="K451" s="63">
        <f>'Прил.№4 ведомств.'!G1079</f>
        <v>4080</v>
      </c>
      <c r="L451" s="63">
        <f>'Прил.№4 ведомств.'!H1079</f>
        <v>3960.9</v>
      </c>
      <c r="M451" s="7">
        <f t="shared" si="156"/>
        <v>97.08088235294117</v>
      </c>
    </row>
    <row r="452" spans="1:13" ht="15.75">
      <c r="A452" s="43" t="s">
        <v>314</v>
      </c>
      <c r="B452" s="8" t="s">
        <v>315</v>
      </c>
      <c r="C452" s="42"/>
      <c r="D452" s="42"/>
      <c r="E452" s="42"/>
      <c r="F452" s="4" t="e">
        <f aca="true" t="shared" si="180" ref="F452:K452">F453+F504+F651+F662+F581</f>
        <v>#REF!</v>
      </c>
      <c r="G452" s="4" t="e">
        <f t="shared" si="180"/>
        <v>#REF!</v>
      </c>
      <c r="H452" s="4" t="e">
        <f t="shared" si="180"/>
        <v>#REF!</v>
      </c>
      <c r="I452" s="4" t="e">
        <f t="shared" si="180"/>
        <v>#REF!</v>
      </c>
      <c r="J452" s="4" t="e">
        <f t="shared" si="180"/>
        <v>#REF!</v>
      </c>
      <c r="K452" s="4">
        <f t="shared" si="180"/>
        <v>324702</v>
      </c>
      <c r="L452" s="4">
        <f>L453+L504+L651+L662+L581</f>
        <v>322656.2</v>
      </c>
      <c r="M452" s="4">
        <f t="shared" si="156"/>
        <v>99.36994536528879</v>
      </c>
    </row>
    <row r="453" spans="1:13" ht="15.75">
      <c r="A453" s="43" t="s">
        <v>456</v>
      </c>
      <c r="B453" s="8" t="s">
        <v>315</v>
      </c>
      <c r="C453" s="8" t="s">
        <v>169</v>
      </c>
      <c r="D453" s="8"/>
      <c r="E453" s="8"/>
      <c r="F453" s="4" t="e">
        <f aca="true" t="shared" si="181" ref="F453:K453">F454+F484</f>
        <v>#REF!</v>
      </c>
      <c r="G453" s="4" t="e">
        <f t="shared" si="181"/>
        <v>#REF!</v>
      </c>
      <c r="H453" s="4" t="e">
        <f t="shared" si="181"/>
        <v>#REF!</v>
      </c>
      <c r="I453" s="4" t="e">
        <f t="shared" si="181"/>
        <v>#REF!</v>
      </c>
      <c r="J453" s="4" t="e">
        <f t="shared" si="181"/>
        <v>#REF!</v>
      </c>
      <c r="K453" s="4">
        <f t="shared" si="181"/>
        <v>96331.9</v>
      </c>
      <c r="L453" s="4">
        <f>L454+L484</f>
        <v>95786.1</v>
      </c>
      <c r="M453" s="4">
        <f t="shared" si="156"/>
        <v>99.43341717541128</v>
      </c>
    </row>
    <row r="454" spans="1:13" ht="47.25">
      <c r="A454" s="31" t="s">
        <v>478</v>
      </c>
      <c r="B454" s="42" t="s">
        <v>315</v>
      </c>
      <c r="C454" s="42" t="s">
        <v>169</v>
      </c>
      <c r="D454" s="42" t="s">
        <v>458</v>
      </c>
      <c r="E454" s="42"/>
      <c r="F454" s="7" t="e">
        <f aca="true" t="shared" si="182" ref="F454:L454">F455+F459</f>
        <v>#REF!</v>
      </c>
      <c r="G454" s="7" t="e">
        <f t="shared" si="182"/>
        <v>#REF!</v>
      </c>
      <c r="H454" s="7" t="e">
        <f t="shared" si="182"/>
        <v>#REF!</v>
      </c>
      <c r="I454" s="7" t="e">
        <f t="shared" si="182"/>
        <v>#REF!</v>
      </c>
      <c r="J454" s="7" t="e">
        <f t="shared" si="182"/>
        <v>#REF!</v>
      </c>
      <c r="K454" s="7">
        <f t="shared" si="182"/>
        <v>24335.199999999997</v>
      </c>
      <c r="L454" s="7">
        <f t="shared" si="182"/>
        <v>24206.3</v>
      </c>
      <c r="M454" s="7">
        <f t="shared" si="156"/>
        <v>99.47031460600284</v>
      </c>
    </row>
    <row r="455" spans="1:13" ht="31.5">
      <c r="A455" s="31" t="s">
        <v>459</v>
      </c>
      <c r="B455" s="42" t="s">
        <v>315</v>
      </c>
      <c r="C455" s="42" t="s">
        <v>169</v>
      </c>
      <c r="D455" s="42" t="s">
        <v>460</v>
      </c>
      <c r="E455" s="42"/>
      <c r="F455" s="7" t="e">
        <f>F456</f>
        <v>#REF!</v>
      </c>
      <c r="G455" s="7" t="e">
        <f aca="true" t="shared" si="183" ref="G455:L455">G456</f>
        <v>#REF!</v>
      </c>
      <c r="H455" s="7" t="e">
        <f t="shared" si="183"/>
        <v>#REF!</v>
      </c>
      <c r="I455" s="7" t="e">
        <f t="shared" si="183"/>
        <v>#REF!</v>
      </c>
      <c r="J455" s="7" t="e">
        <f t="shared" si="183"/>
        <v>#REF!</v>
      </c>
      <c r="K455" s="7">
        <f t="shared" si="183"/>
        <v>16938.6</v>
      </c>
      <c r="L455" s="7">
        <f t="shared" si="183"/>
        <v>16938.6</v>
      </c>
      <c r="M455" s="7">
        <f t="shared" si="156"/>
        <v>100</v>
      </c>
    </row>
    <row r="456" spans="1:13" ht="47.25">
      <c r="A456" s="31" t="s">
        <v>461</v>
      </c>
      <c r="B456" s="42" t="s">
        <v>315</v>
      </c>
      <c r="C456" s="42" t="s">
        <v>169</v>
      </c>
      <c r="D456" s="42" t="s">
        <v>462</v>
      </c>
      <c r="E456" s="42"/>
      <c r="F456" s="7" t="e">
        <f>SUM(F457:F457)</f>
        <v>#REF!</v>
      </c>
      <c r="G456" s="7" t="e">
        <f aca="true" t="shared" si="184" ref="G456:L456">SUM(G457:G457)</f>
        <v>#REF!</v>
      </c>
      <c r="H456" s="7" t="e">
        <f t="shared" si="184"/>
        <v>#REF!</v>
      </c>
      <c r="I456" s="7" t="e">
        <f t="shared" si="184"/>
        <v>#REF!</v>
      </c>
      <c r="J456" s="7" t="e">
        <f t="shared" si="184"/>
        <v>#REF!</v>
      </c>
      <c r="K456" s="7">
        <f t="shared" si="184"/>
        <v>16938.6</v>
      </c>
      <c r="L456" s="7">
        <f t="shared" si="184"/>
        <v>16938.6</v>
      </c>
      <c r="M456" s="7">
        <f t="shared" si="156"/>
        <v>100</v>
      </c>
    </row>
    <row r="457" spans="1:13" ht="47.25">
      <c r="A457" s="31" t="s">
        <v>323</v>
      </c>
      <c r="B457" s="42" t="s">
        <v>315</v>
      </c>
      <c r="C457" s="42" t="s">
        <v>169</v>
      </c>
      <c r="D457" s="42" t="s">
        <v>462</v>
      </c>
      <c r="E457" s="42" t="s">
        <v>324</v>
      </c>
      <c r="F457" s="7" t="e">
        <f>F458</f>
        <v>#REF!</v>
      </c>
      <c r="G457" s="7" t="e">
        <f aca="true" t="shared" si="185" ref="G457:L457">G458</f>
        <v>#REF!</v>
      </c>
      <c r="H457" s="7" t="e">
        <f t="shared" si="185"/>
        <v>#REF!</v>
      </c>
      <c r="I457" s="7" t="e">
        <f t="shared" si="185"/>
        <v>#REF!</v>
      </c>
      <c r="J457" s="7" t="e">
        <f t="shared" si="185"/>
        <v>#REF!</v>
      </c>
      <c r="K457" s="7">
        <f t="shared" si="185"/>
        <v>16938.6</v>
      </c>
      <c r="L457" s="7">
        <f t="shared" si="185"/>
        <v>16938.6</v>
      </c>
      <c r="M457" s="7">
        <f t="shared" si="156"/>
        <v>100</v>
      </c>
    </row>
    <row r="458" spans="1:13" ht="15.75">
      <c r="A458" s="31" t="s">
        <v>325</v>
      </c>
      <c r="B458" s="42" t="s">
        <v>315</v>
      </c>
      <c r="C458" s="42" t="s">
        <v>169</v>
      </c>
      <c r="D458" s="42" t="s">
        <v>462</v>
      </c>
      <c r="E458" s="42" t="s">
        <v>326</v>
      </c>
      <c r="F458" s="63" t="e">
        <f>#REF!</f>
        <v>#REF!</v>
      </c>
      <c r="G458" s="63" t="e">
        <f>#REF!</f>
        <v>#REF!</v>
      </c>
      <c r="H458" s="63" t="e">
        <f>#REF!</f>
        <v>#REF!</v>
      </c>
      <c r="I458" s="63" t="e">
        <f>#REF!</f>
        <v>#REF!</v>
      </c>
      <c r="J458" s="63" t="e">
        <f>#REF!</f>
        <v>#REF!</v>
      </c>
      <c r="K458" s="63">
        <f>'Прил.№4 ведомств.'!G603</f>
        <v>16938.6</v>
      </c>
      <c r="L458" s="63">
        <f>'Прил.№4 ведомств.'!H603</f>
        <v>16938.6</v>
      </c>
      <c r="M458" s="7">
        <f t="shared" si="156"/>
        <v>100</v>
      </c>
    </row>
    <row r="459" spans="1:13" ht="31.5">
      <c r="A459" s="31" t="s">
        <v>463</v>
      </c>
      <c r="B459" s="42" t="s">
        <v>315</v>
      </c>
      <c r="C459" s="42" t="s">
        <v>169</v>
      </c>
      <c r="D459" s="42" t="s">
        <v>464</v>
      </c>
      <c r="E459" s="42"/>
      <c r="F459" s="7" t="e">
        <f>F460+F463+F466+F472+F469+F475+F478</f>
        <v>#REF!</v>
      </c>
      <c r="G459" s="7" t="e">
        <f>G460+G463+G466+G472+G469+G475+G478</f>
        <v>#REF!</v>
      </c>
      <c r="H459" s="7" t="e">
        <f>H460+H463+H466+H472+H469+H475+H478</f>
        <v>#REF!</v>
      </c>
      <c r="I459" s="7" t="e">
        <f>I460+I463+I466+I472+I469+I475+I478</f>
        <v>#REF!</v>
      </c>
      <c r="J459" s="7" t="e">
        <f>J460+J463+J466+J472+J469+J475+J478</f>
        <v>#REF!</v>
      </c>
      <c r="K459" s="7">
        <f>K460+K463+K466+K472+K469+K475+K478+K481</f>
        <v>7396.599999999999</v>
      </c>
      <c r="L459" s="7">
        <f>L460+L463+L466+L472+L469+L475+L478+L481</f>
        <v>7267.7</v>
      </c>
      <c r="M459" s="7">
        <f t="shared" si="156"/>
        <v>98.25730741151341</v>
      </c>
    </row>
    <row r="460" spans="1:13" ht="47.25" customHeight="1" hidden="1">
      <c r="A460" s="31" t="s">
        <v>657</v>
      </c>
      <c r="B460" s="42" t="s">
        <v>315</v>
      </c>
      <c r="C460" s="42" t="s">
        <v>169</v>
      </c>
      <c r="D460" s="42" t="s">
        <v>658</v>
      </c>
      <c r="E460" s="42"/>
      <c r="F460" s="7">
        <f>F461</f>
        <v>0</v>
      </c>
      <c r="G460" s="7">
        <f aca="true" t="shared" si="186" ref="G460:L461">G461</f>
        <v>0</v>
      </c>
      <c r="H460" s="7">
        <f t="shared" si="186"/>
        <v>0</v>
      </c>
      <c r="I460" s="7">
        <f t="shared" si="186"/>
        <v>0</v>
      </c>
      <c r="J460" s="7">
        <f t="shared" si="186"/>
        <v>0</v>
      </c>
      <c r="K460" s="7">
        <f t="shared" si="186"/>
        <v>0</v>
      </c>
      <c r="L460" s="7">
        <f t="shared" si="186"/>
        <v>0</v>
      </c>
      <c r="M460" s="7" t="e">
        <f aca="true" t="shared" si="187" ref="M460:M523">L460/K460*100</f>
        <v>#DIV/0!</v>
      </c>
    </row>
    <row r="461" spans="1:13" ht="47.25" customHeight="1" hidden="1">
      <c r="A461" s="31" t="s">
        <v>323</v>
      </c>
      <c r="B461" s="42" t="s">
        <v>315</v>
      </c>
      <c r="C461" s="42" t="s">
        <v>169</v>
      </c>
      <c r="D461" s="42" t="s">
        <v>658</v>
      </c>
      <c r="E461" s="42" t="s">
        <v>324</v>
      </c>
      <c r="F461" s="7">
        <f>F462</f>
        <v>0</v>
      </c>
      <c r="G461" s="7">
        <f t="shared" si="186"/>
        <v>0</v>
      </c>
      <c r="H461" s="7">
        <f t="shared" si="186"/>
        <v>0</v>
      </c>
      <c r="I461" s="7">
        <f t="shared" si="186"/>
        <v>0</v>
      </c>
      <c r="J461" s="7">
        <f t="shared" si="186"/>
        <v>0</v>
      </c>
      <c r="K461" s="7">
        <f t="shared" si="186"/>
        <v>0</v>
      </c>
      <c r="L461" s="7">
        <f t="shared" si="186"/>
        <v>0</v>
      </c>
      <c r="M461" s="7" t="e">
        <f t="shared" si="187"/>
        <v>#DIV/0!</v>
      </c>
    </row>
    <row r="462" spans="1:13" ht="15.75" customHeight="1" hidden="1">
      <c r="A462" s="31" t="s">
        <v>325</v>
      </c>
      <c r="B462" s="42" t="s">
        <v>315</v>
      </c>
      <c r="C462" s="42" t="s">
        <v>169</v>
      </c>
      <c r="D462" s="42" t="s">
        <v>658</v>
      </c>
      <c r="E462" s="42" t="s">
        <v>326</v>
      </c>
      <c r="F462" s="7"/>
      <c r="G462" s="7"/>
      <c r="H462" s="7"/>
      <c r="I462" s="7"/>
      <c r="J462" s="7"/>
      <c r="K462" s="7"/>
      <c r="L462" s="7"/>
      <c r="M462" s="7" t="e">
        <f t="shared" si="187"/>
        <v>#DIV/0!</v>
      </c>
    </row>
    <row r="463" spans="1:13" ht="31.5" customHeight="1">
      <c r="A463" s="31" t="s">
        <v>329</v>
      </c>
      <c r="B463" s="42" t="s">
        <v>315</v>
      </c>
      <c r="C463" s="42" t="s">
        <v>169</v>
      </c>
      <c r="D463" s="42" t="s">
        <v>465</v>
      </c>
      <c r="E463" s="42"/>
      <c r="F463" s="7" t="e">
        <f>F464</f>
        <v>#REF!</v>
      </c>
      <c r="G463" s="7" t="e">
        <f aca="true" t="shared" si="188" ref="G463:L464">G464</f>
        <v>#REF!</v>
      </c>
      <c r="H463" s="7" t="e">
        <f t="shared" si="188"/>
        <v>#REF!</v>
      </c>
      <c r="I463" s="7" t="e">
        <f t="shared" si="188"/>
        <v>#REF!</v>
      </c>
      <c r="J463" s="7" t="e">
        <f t="shared" si="188"/>
        <v>#REF!</v>
      </c>
      <c r="K463" s="7">
        <f t="shared" si="188"/>
        <v>100</v>
      </c>
      <c r="L463" s="7">
        <f t="shared" si="188"/>
        <v>100</v>
      </c>
      <c r="M463" s="7">
        <f t="shared" si="187"/>
        <v>100</v>
      </c>
    </row>
    <row r="464" spans="1:13" ht="47.25" customHeight="1">
      <c r="A464" s="31" t="s">
        <v>323</v>
      </c>
      <c r="B464" s="42" t="s">
        <v>315</v>
      </c>
      <c r="C464" s="42" t="s">
        <v>169</v>
      </c>
      <c r="D464" s="42" t="s">
        <v>465</v>
      </c>
      <c r="E464" s="42" t="s">
        <v>324</v>
      </c>
      <c r="F464" s="7" t="e">
        <f>F465</f>
        <v>#REF!</v>
      </c>
      <c r="G464" s="7" t="e">
        <f t="shared" si="188"/>
        <v>#REF!</v>
      </c>
      <c r="H464" s="7" t="e">
        <f t="shared" si="188"/>
        <v>#REF!</v>
      </c>
      <c r="I464" s="7" t="e">
        <f t="shared" si="188"/>
        <v>#REF!</v>
      </c>
      <c r="J464" s="7" t="e">
        <f t="shared" si="188"/>
        <v>#REF!</v>
      </c>
      <c r="K464" s="7">
        <f t="shared" si="188"/>
        <v>100</v>
      </c>
      <c r="L464" s="7">
        <f t="shared" si="188"/>
        <v>100</v>
      </c>
      <c r="M464" s="7">
        <f t="shared" si="187"/>
        <v>100</v>
      </c>
    </row>
    <row r="465" spans="1:13" ht="15.75" customHeight="1">
      <c r="A465" s="31" t="s">
        <v>325</v>
      </c>
      <c r="B465" s="42" t="s">
        <v>315</v>
      </c>
      <c r="C465" s="42" t="s">
        <v>169</v>
      </c>
      <c r="D465" s="42" t="s">
        <v>465</v>
      </c>
      <c r="E465" s="42" t="s">
        <v>326</v>
      </c>
      <c r="F465" s="7" t="e">
        <f>#REF!</f>
        <v>#REF!</v>
      </c>
      <c r="G465" s="7" t="e">
        <f>#REF!</f>
        <v>#REF!</v>
      </c>
      <c r="H465" s="7" t="e">
        <f>#REF!</f>
        <v>#REF!</v>
      </c>
      <c r="I465" s="7" t="e">
        <f>#REF!</f>
        <v>#REF!</v>
      </c>
      <c r="J465" s="7" t="e">
        <f>#REF!</f>
        <v>#REF!</v>
      </c>
      <c r="K465" s="7">
        <f>'Прил.№4 ведомств.'!G607</f>
        <v>100</v>
      </c>
      <c r="L465" s="7">
        <f>'Прил.№4 ведомств.'!H607</f>
        <v>100</v>
      </c>
      <c r="M465" s="7">
        <f t="shared" si="187"/>
        <v>100</v>
      </c>
    </row>
    <row r="466" spans="1:13" ht="31.5">
      <c r="A466" s="31" t="s">
        <v>331</v>
      </c>
      <c r="B466" s="42" t="s">
        <v>315</v>
      </c>
      <c r="C466" s="42" t="s">
        <v>169</v>
      </c>
      <c r="D466" s="42" t="s">
        <v>466</v>
      </c>
      <c r="E466" s="42"/>
      <c r="F466" s="7" t="e">
        <f>F467</f>
        <v>#REF!</v>
      </c>
      <c r="G466" s="7" t="e">
        <f aca="true" t="shared" si="189" ref="G466:L467">G467</f>
        <v>#REF!</v>
      </c>
      <c r="H466" s="7" t="e">
        <f t="shared" si="189"/>
        <v>#REF!</v>
      </c>
      <c r="I466" s="7" t="e">
        <f t="shared" si="189"/>
        <v>#REF!</v>
      </c>
      <c r="J466" s="7" t="e">
        <f t="shared" si="189"/>
        <v>#REF!</v>
      </c>
      <c r="K466" s="7">
        <f t="shared" si="189"/>
        <v>100</v>
      </c>
      <c r="L466" s="7">
        <f t="shared" si="189"/>
        <v>100</v>
      </c>
      <c r="M466" s="7">
        <f t="shared" si="187"/>
        <v>100</v>
      </c>
    </row>
    <row r="467" spans="1:13" ht="47.25">
      <c r="A467" s="31" t="s">
        <v>323</v>
      </c>
      <c r="B467" s="42" t="s">
        <v>315</v>
      </c>
      <c r="C467" s="42" t="s">
        <v>169</v>
      </c>
      <c r="D467" s="42" t="s">
        <v>466</v>
      </c>
      <c r="E467" s="42" t="s">
        <v>324</v>
      </c>
      <c r="F467" s="7" t="e">
        <f>F468</f>
        <v>#REF!</v>
      </c>
      <c r="G467" s="7" t="e">
        <f t="shared" si="189"/>
        <v>#REF!</v>
      </c>
      <c r="H467" s="7" t="e">
        <f t="shared" si="189"/>
        <v>#REF!</v>
      </c>
      <c r="I467" s="7" t="e">
        <f t="shared" si="189"/>
        <v>#REF!</v>
      </c>
      <c r="J467" s="7" t="e">
        <f t="shared" si="189"/>
        <v>#REF!</v>
      </c>
      <c r="K467" s="7">
        <f t="shared" si="189"/>
        <v>100</v>
      </c>
      <c r="L467" s="7">
        <f t="shared" si="189"/>
        <v>100</v>
      </c>
      <c r="M467" s="7">
        <f t="shared" si="187"/>
        <v>100</v>
      </c>
    </row>
    <row r="468" spans="1:13" ht="15.75">
      <c r="A468" s="31" t="s">
        <v>325</v>
      </c>
      <c r="B468" s="42" t="s">
        <v>315</v>
      </c>
      <c r="C468" s="42" t="s">
        <v>169</v>
      </c>
      <c r="D468" s="42" t="s">
        <v>466</v>
      </c>
      <c r="E468" s="42" t="s">
        <v>326</v>
      </c>
      <c r="F468" s="7" t="e">
        <f>#REF!</f>
        <v>#REF!</v>
      </c>
      <c r="G468" s="7" t="e">
        <f>#REF!</f>
        <v>#REF!</v>
      </c>
      <c r="H468" s="7" t="e">
        <f>#REF!</f>
        <v>#REF!</v>
      </c>
      <c r="I468" s="7" t="e">
        <f>#REF!</f>
        <v>#REF!</v>
      </c>
      <c r="J468" s="7" t="e">
        <f>#REF!</f>
        <v>#REF!</v>
      </c>
      <c r="K468" s="7">
        <f>'Прил.№4 ведомств.'!G610</f>
        <v>100</v>
      </c>
      <c r="L468" s="7">
        <f>'Прил.№4 ведомств.'!H610</f>
        <v>100</v>
      </c>
      <c r="M468" s="7">
        <f t="shared" si="187"/>
        <v>100</v>
      </c>
    </row>
    <row r="469" spans="1:13" ht="47.25">
      <c r="A469" s="31" t="s">
        <v>467</v>
      </c>
      <c r="B469" s="42" t="s">
        <v>315</v>
      </c>
      <c r="C469" s="42" t="s">
        <v>169</v>
      </c>
      <c r="D469" s="42" t="s">
        <v>468</v>
      </c>
      <c r="E469" s="42"/>
      <c r="F469" s="7" t="e">
        <f>F470</f>
        <v>#REF!</v>
      </c>
      <c r="G469" s="7" t="e">
        <f aca="true" t="shared" si="190" ref="G469:L470">G470</f>
        <v>#REF!</v>
      </c>
      <c r="H469" s="7" t="e">
        <f t="shared" si="190"/>
        <v>#REF!</v>
      </c>
      <c r="I469" s="7" t="e">
        <f t="shared" si="190"/>
        <v>#REF!</v>
      </c>
      <c r="J469" s="7" t="e">
        <f t="shared" si="190"/>
        <v>#REF!</v>
      </c>
      <c r="K469" s="7">
        <f t="shared" si="190"/>
        <v>3615.2</v>
      </c>
      <c r="L469" s="7">
        <f t="shared" si="190"/>
        <v>3500</v>
      </c>
      <c r="M469" s="7">
        <f t="shared" si="187"/>
        <v>96.81345430404957</v>
      </c>
    </row>
    <row r="470" spans="1:13" ht="47.25">
      <c r="A470" s="31" t="s">
        <v>323</v>
      </c>
      <c r="B470" s="42" t="s">
        <v>315</v>
      </c>
      <c r="C470" s="42" t="s">
        <v>169</v>
      </c>
      <c r="D470" s="42" t="s">
        <v>468</v>
      </c>
      <c r="E470" s="42" t="s">
        <v>324</v>
      </c>
      <c r="F470" s="7" t="e">
        <f>F471</f>
        <v>#REF!</v>
      </c>
      <c r="G470" s="7" t="e">
        <f t="shared" si="190"/>
        <v>#REF!</v>
      </c>
      <c r="H470" s="7" t="e">
        <f t="shared" si="190"/>
        <v>#REF!</v>
      </c>
      <c r="I470" s="7" t="e">
        <f t="shared" si="190"/>
        <v>#REF!</v>
      </c>
      <c r="J470" s="7" t="e">
        <f t="shared" si="190"/>
        <v>#REF!</v>
      </c>
      <c r="K470" s="7">
        <f t="shared" si="190"/>
        <v>3615.2</v>
      </c>
      <c r="L470" s="7">
        <f t="shared" si="190"/>
        <v>3500</v>
      </c>
      <c r="M470" s="7">
        <f t="shared" si="187"/>
        <v>96.81345430404957</v>
      </c>
    </row>
    <row r="471" spans="1:13" ht="15.75">
      <c r="A471" s="31" t="s">
        <v>325</v>
      </c>
      <c r="B471" s="42" t="s">
        <v>315</v>
      </c>
      <c r="C471" s="42" t="s">
        <v>169</v>
      </c>
      <c r="D471" s="42" t="s">
        <v>468</v>
      </c>
      <c r="E471" s="42" t="s">
        <v>326</v>
      </c>
      <c r="F471" s="7" t="e">
        <f>#REF!</f>
        <v>#REF!</v>
      </c>
      <c r="G471" s="7" t="e">
        <f>#REF!</f>
        <v>#REF!</v>
      </c>
      <c r="H471" s="7" t="e">
        <f>#REF!</f>
        <v>#REF!</v>
      </c>
      <c r="I471" s="7" t="e">
        <f>#REF!</f>
        <v>#REF!</v>
      </c>
      <c r="J471" s="7" t="e">
        <f>#REF!</f>
        <v>#REF!</v>
      </c>
      <c r="K471" s="7">
        <f>'Прил.№4 ведомств.'!G613</f>
        <v>3615.2</v>
      </c>
      <c r="L471" s="7">
        <f>'Прил.№4 ведомств.'!H613</f>
        <v>3500</v>
      </c>
      <c r="M471" s="7">
        <f t="shared" si="187"/>
        <v>96.81345430404957</v>
      </c>
    </row>
    <row r="472" spans="1:13" ht="31.5" customHeight="1">
      <c r="A472" s="31" t="s">
        <v>335</v>
      </c>
      <c r="B472" s="42" t="s">
        <v>315</v>
      </c>
      <c r="C472" s="42" t="s">
        <v>169</v>
      </c>
      <c r="D472" s="42" t="s">
        <v>469</v>
      </c>
      <c r="E472" s="42"/>
      <c r="F472" s="7" t="e">
        <f>F473</f>
        <v>#REF!</v>
      </c>
      <c r="G472" s="7" t="e">
        <f aca="true" t="shared" si="191" ref="G472:L473">G473</f>
        <v>#REF!</v>
      </c>
      <c r="H472" s="7" t="e">
        <f t="shared" si="191"/>
        <v>#REF!</v>
      </c>
      <c r="I472" s="7" t="e">
        <f t="shared" si="191"/>
        <v>#REF!</v>
      </c>
      <c r="J472" s="7" t="e">
        <f t="shared" si="191"/>
        <v>#REF!</v>
      </c>
      <c r="K472" s="7">
        <f t="shared" si="191"/>
        <v>97.2</v>
      </c>
      <c r="L472" s="7">
        <f t="shared" si="191"/>
        <v>97.1</v>
      </c>
      <c r="M472" s="7">
        <f t="shared" si="187"/>
        <v>99.89711934156378</v>
      </c>
    </row>
    <row r="473" spans="1:13" ht="47.25" customHeight="1">
      <c r="A473" s="31" t="s">
        <v>323</v>
      </c>
      <c r="B473" s="42" t="s">
        <v>315</v>
      </c>
      <c r="C473" s="42" t="s">
        <v>169</v>
      </c>
      <c r="D473" s="42" t="s">
        <v>469</v>
      </c>
      <c r="E473" s="42" t="s">
        <v>324</v>
      </c>
      <c r="F473" s="7" t="e">
        <f>F474</f>
        <v>#REF!</v>
      </c>
      <c r="G473" s="7" t="e">
        <f t="shared" si="191"/>
        <v>#REF!</v>
      </c>
      <c r="H473" s="7" t="e">
        <f t="shared" si="191"/>
        <v>#REF!</v>
      </c>
      <c r="I473" s="7" t="e">
        <f t="shared" si="191"/>
        <v>#REF!</v>
      </c>
      <c r="J473" s="7" t="e">
        <f t="shared" si="191"/>
        <v>#REF!</v>
      </c>
      <c r="K473" s="7">
        <f t="shared" si="191"/>
        <v>97.2</v>
      </c>
      <c r="L473" s="7">
        <f t="shared" si="191"/>
        <v>97.1</v>
      </c>
      <c r="M473" s="7">
        <f t="shared" si="187"/>
        <v>99.89711934156378</v>
      </c>
    </row>
    <row r="474" spans="1:13" ht="15.75" customHeight="1">
      <c r="A474" s="31" t="s">
        <v>325</v>
      </c>
      <c r="B474" s="42" t="s">
        <v>315</v>
      </c>
      <c r="C474" s="42" t="s">
        <v>169</v>
      </c>
      <c r="D474" s="42" t="s">
        <v>469</v>
      </c>
      <c r="E474" s="42" t="s">
        <v>326</v>
      </c>
      <c r="F474" s="7" t="e">
        <f>#REF!</f>
        <v>#REF!</v>
      </c>
      <c r="G474" s="7" t="e">
        <f>#REF!</f>
        <v>#REF!</v>
      </c>
      <c r="H474" s="7" t="e">
        <f>#REF!</f>
        <v>#REF!</v>
      </c>
      <c r="I474" s="7" t="e">
        <f>#REF!</f>
        <v>#REF!</v>
      </c>
      <c r="J474" s="7" t="e">
        <f>#REF!</f>
        <v>#REF!</v>
      </c>
      <c r="K474" s="7">
        <f>'Прил.№4 ведомств.'!G616</f>
        <v>97.2</v>
      </c>
      <c r="L474" s="7">
        <f>'Прил.№4 ведомств.'!H616</f>
        <v>97.1</v>
      </c>
      <c r="M474" s="7">
        <f t="shared" si="187"/>
        <v>99.89711934156378</v>
      </c>
    </row>
    <row r="475" spans="1:13" ht="42" customHeight="1">
      <c r="A475" s="70" t="s">
        <v>857</v>
      </c>
      <c r="B475" s="21" t="s">
        <v>315</v>
      </c>
      <c r="C475" s="21" t="s">
        <v>169</v>
      </c>
      <c r="D475" s="21" t="s">
        <v>860</v>
      </c>
      <c r="E475" s="21"/>
      <c r="F475" s="7" t="e">
        <f>F476</f>
        <v>#REF!</v>
      </c>
      <c r="G475" s="7" t="e">
        <f aca="true" t="shared" si="192" ref="G475:L476">G476</f>
        <v>#REF!</v>
      </c>
      <c r="H475" s="7" t="e">
        <f t="shared" si="192"/>
        <v>#REF!</v>
      </c>
      <c r="I475" s="7" t="e">
        <f t="shared" si="192"/>
        <v>#REF!</v>
      </c>
      <c r="J475" s="7" t="e">
        <f t="shared" si="192"/>
        <v>#REF!</v>
      </c>
      <c r="K475" s="7">
        <f t="shared" si="192"/>
        <v>2587</v>
      </c>
      <c r="L475" s="7">
        <f t="shared" si="192"/>
        <v>2573.4</v>
      </c>
      <c r="M475" s="7">
        <f t="shared" si="187"/>
        <v>99.47429454967144</v>
      </c>
    </row>
    <row r="476" spans="1:13" ht="46.5" customHeight="1">
      <c r="A476" s="31" t="s">
        <v>323</v>
      </c>
      <c r="B476" s="21" t="s">
        <v>315</v>
      </c>
      <c r="C476" s="21" t="s">
        <v>169</v>
      </c>
      <c r="D476" s="21" t="s">
        <v>860</v>
      </c>
      <c r="E476" s="21" t="s">
        <v>324</v>
      </c>
      <c r="F476" s="7" t="e">
        <f>F477</f>
        <v>#REF!</v>
      </c>
      <c r="G476" s="7" t="e">
        <f t="shared" si="192"/>
        <v>#REF!</v>
      </c>
      <c r="H476" s="7" t="e">
        <f t="shared" si="192"/>
        <v>#REF!</v>
      </c>
      <c r="I476" s="7" t="e">
        <f t="shared" si="192"/>
        <v>#REF!</v>
      </c>
      <c r="J476" s="7" t="e">
        <f t="shared" si="192"/>
        <v>#REF!</v>
      </c>
      <c r="K476" s="7">
        <f t="shared" si="192"/>
        <v>2587</v>
      </c>
      <c r="L476" s="7">
        <f t="shared" si="192"/>
        <v>2573.4</v>
      </c>
      <c r="M476" s="7">
        <f t="shared" si="187"/>
        <v>99.47429454967144</v>
      </c>
    </row>
    <row r="477" spans="1:13" ht="15.75" customHeight="1">
      <c r="A477" s="246" t="s">
        <v>325</v>
      </c>
      <c r="B477" s="21" t="s">
        <v>315</v>
      </c>
      <c r="C477" s="21" t="s">
        <v>169</v>
      </c>
      <c r="D477" s="21" t="s">
        <v>860</v>
      </c>
      <c r="E477" s="21" t="s">
        <v>326</v>
      </c>
      <c r="F477" s="7" t="e">
        <f>#REF!</f>
        <v>#REF!</v>
      </c>
      <c r="G477" s="7" t="e">
        <f>#REF!</f>
        <v>#REF!</v>
      </c>
      <c r="H477" s="7" t="e">
        <f>#REF!</f>
        <v>#REF!</v>
      </c>
      <c r="I477" s="7" t="e">
        <f>#REF!</f>
        <v>#REF!</v>
      </c>
      <c r="J477" s="7" t="e">
        <f>#REF!</f>
        <v>#REF!</v>
      </c>
      <c r="K477" s="7">
        <f>'Прил.№4 ведомств.'!G619</f>
        <v>2587</v>
      </c>
      <c r="L477" s="7">
        <f>'Прил.№4 ведомств.'!H619</f>
        <v>2573.4</v>
      </c>
      <c r="M477" s="7">
        <f t="shared" si="187"/>
        <v>99.47429454967144</v>
      </c>
    </row>
    <row r="478" spans="1:13" ht="48.75" customHeight="1">
      <c r="A478" s="70" t="s">
        <v>866</v>
      </c>
      <c r="B478" s="21" t="s">
        <v>315</v>
      </c>
      <c r="C478" s="21" t="s">
        <v>169</v>
      </c>
      <c r="D478" s="21" t="s">
        <v>861</v>
      </c>
      <c r="E478" s="21"/>
      <c r="F478" s="7" t="e">
        <f>F479</f>
        <v>#REF!</v>
      </c>
      <c r="G478" s="7" t="e">
        <f aca="true" t="shared" si="193" ref="G478:L479">G479</f>
        <v>#REF!</v>
      </c>
      <c r="H478" s="7" t="e">
        <f t="shared" si="193"/>
        <v>#REF!</v>
      </c>
      <c r="I478" s="7" t="e">
        <f t="shared" si="193"/>
        <v>#REF!</v>
      </c>
      <c r="J478" s="7" t="e">
        <f t="shared" si="193"/>
        <v>#REF!</v>
      </c>
      <c r="K478" s="7">
        <f t="shared" si="193"/>
        <v>772.8</v>
      </c>
      <c r="L478" s="7">
        <f t="shared" si="193"/>
        <v>772.8</v>
      </c>
      <c r="M478" s="7">
        <f t="shared" si="187"/>
        <v>100</v>
      </c>
    </row>
    <row r="479" spans="1:13" ht="49.5" customHeight="1">
      <c r="A479" s="31" t="s">
        <v>323</v>
      </c>
      <c r="B479" s="21" t="s">
        <v>315</v>
      </c>
      <c r="C479" s="21" t="s">
        <v>169</v>
      </c>
      <c r="D479" s="21" t="s">
        <v>861</v>
      </c>
      <c r="E479" s="21" t="s">
        <v>324</v>
      </c>
      <c r="F479" s="7" t="e">
        <f>F480</f>
        <v>#REF!</v>
      </c>
      <c r="G479" s="7" t="e">
        <f t="shared" si="193"/>
        <v>#REF!</v>
      </c>
      <c r="H479" s="7" t="e">
        <f t="shared" si="193"/>
        <v>#REF!</v>
      </c>
      <c r="I479" s="7" t="e">
        <f t="shared" si="193"/>
        <v>#REF!</v>
      </c>
      <c r="J479" s="7" t="e">
        <f t="shared" si="193"/>
        <v>#REF!</v>
      </c>
      <c r="K479" s="7">
        <f t="shared" si="193"/>
        <v>772.8</v>
      </c>
      <c r="L479" s="7">
        <f t="shared" si="193"/>
        <v>772.8</v>
      </c>
      <c r="M479" s="7">
        <f t="shared" si="187"/>
        <v>100</v>
      </c>
    </row>
    <row r="480" spans="1:13" ht="15.75" customHeight="1">
      <c r="A480" s="246" t="s">
        <v>325</v>
      </c>
      <c r="B480" s="21" t="s">
        <v>315</v>
      </c>
      <c r="C480" s="21" t="s">
        <v>169</v>
      </c>
      <c r="D480" s="21" t="s">
        <v>861</v>
      </c>
      <c r="E480" s="21" t="s">
        <v>326</v>
      </c>
      <c r="F480" s="7" t="e">
        <f>#REF!</f>
        <v>#REF!</v>
      </c>
      <c r="G480" s="7" t="e">
        <f>#REF!</f>
        <v>#REF!</v>
      </c>
      <c r="H480" s="7" t="e">
        <f>#REF!</f>
        <v>#REF!</v>
      </c>
      <c r="I480" s="7" t="e">
        <f>#REF!</f>
        <v>#REF!</v>
      </c>
      <c r="J480" s="7" t="e">
        <f>#REF!</f>
        <v>#REF!</v>
      </c>
      <c r="K480" s="7">
        <f>'Прил.№4 ведомств.'!G622</f>
        <v>772.8</v>
      </c>
      <c r="L480" s="7">
        <f>'Прил.№4 ведомств.'!H622</f>
        <v>772.8</v>
      </c>
      <c r="M480" s="7">
        <f t="shared" si="187"/>
        <v>100</v>
      </c>
    </row>
    <row r="481" spans="1:13" ht="141.75">
      <c r="A481" s="26" t="s">
        <v>475</v>
      </c>
      <c r="B481" s="42" t="s">
        <v>315</v>
      </c>
      <c r="C481" s="42" t="s">
        <v>169</v>
      </c>
      <c r="D481" s="21" t="s">
        <v>1020</v>
      </c>
      <c r="E481" s="21"/>
      <c r="F481" s="7"/>
      <c r="G481" s="7"/>
      <c r="H481" s="7"/>
      <c r="I481" s="7"/>
      <c r="J481" s="7"/>
      <c r="K481" s="7">
        <f>K482</f>
        <v>124.4</v>
      </c>
      <c r="L481" s="7">
        <f>L482</f>
        <v>124.4</v>
      </c>
      <c r="M481" s="7">
        <f t="shared" si="187"/>
        <v>100</v>
      </c>
    </row>
    <row r="482" spans="1:13" ht="47.25">
      <c r="A482" s="31" t="s">
        <v>323</v>
      </c>
      <c r="B482" s="42" t="s">
        <v>315</v>
      </c>
      <c r="C482" s="42" t="s">
        <v>169</v>
      </c>
      <c r="D482" s="21" t="s">
        <v>1020</v>
      </c>
      <c r="E482" s="21" t="s">
        <v>324</v>
      </c>
      <c r="F482" s="7"/>
      <c r="G482" s="7"/>
      <c r="H482" s="7"/>
      <c r="I482" s="7"/>
      <c r="J482" s="7"/>
      <c r="K482" s="7">
        <f>K483</f>
        <v>124.4</v>
      </c>
      <c r="L482" s="7">
        <f>L483</f>
        <v>124.4</v>
      </c>
      <c r="M482" s="7">
        <f t="shared" si="187"/>
        <v>100</v>
      </c>
    </row>
    <row r="483" spans="1:13" ht="15.75">
      <c r="A483" s="246" t="s">
        <v>325</v>
      </c>
      <c r="B483" s="42" t="s">
        <v>315</v>
      </c>
      <c r="C483" s="42" t="s">
        <v>169</v>
      </c>
      <c r="D483" s="21" t="s">
        <v>1020</v>
      </c>
      <c r="E483" s="21" t="s">
        <v>326</v>
      </c>
      <c r="F483" s="7"/>
      <c r="G483" s="7"/>
      <c r="H483" s="7"/>
      <c r="I483" s="7"/>
      <c r="J483" s="7"/>
      <c r="K483" s="7">
        <f>'Прил.№4 ведомств.'!G625</f>
        <v>124.4</v>
      </c>
      <c r="L483" s="7">
        <f>'Прил.№4 ведомств.'!H625</f>
        <v>124.4</v>
      </c>
      <c r="M483" s="7">
        <f t="shared" si="187"/>
        <v>100</v>
      </c>
    </row>
    <row r="484" spans="1:13" ht="15.75">
      <c r="A484" s="31" t="s">
        <v>172</v>
      </c>
      <c r="B484" s="42" t="s">
        <v>315</v>
      </c>
      <c r="C484" s="42" t="s">
        <v>169</v>
      </c>
      <c r="D484" s="42" t="s">
        <v>173</v>
      </c>
      <c r="E484" s="42"/>
      <c r="F484" s="7" t="e">
        <f>F485</f>
        <v>#REF!</v>
      </c>
      <c r="G484" s="7" t="e">
        <f aca="true" t="shared" si="194" ref="G484:L484">G485</f>
        <v>#REF!</v>
      </c>
      <c r="H484" s="7" t="e">
        <f t="shared" si="194"/>
        <v>#REF!</v>
      </c>
      <c r="I484" s="7" t="e">
        <f t="shared" si="194"/>
        <v>#REF!</v>
      </c>
      <c r="J484" s="7" t="e">
        <f t="shared" si="194"/>
        <v>#REF!</v>
      </c>
      <c r="K484" s="7">
        <f t="shared" si="194"/>
        <v>71996.7</v>
      </c>
      <c r="L484" s="7">
        <f t="shared" si="194"/>
        <v>71579.8</v>
      </c>
      <c r="M484" s="7">
        <f t="shared" si="187"/>
        <v>99.42094568223267</v>
      </c>
    </row>
    <row r="485" spans="1:13" ht="31.5">
      <c r="A485" s="31" t="s">
        <v>236</v>
      </c>
      <c r="B485" s="42" t="s">
        <v>315</v>
      </c>
      <c r="C485" s="42" t="s">
        <v>169</v>
      </c>
      <c r="D485" s="42" t="s">
        <v>237</v>
      </c>
      <c r="E485" s="42"/>
      <c r="F485" s="7" t="e">
        <f>F489+F492+F495+F498+F501</f>
        <v>#REF!</v>
      </c>
      <c r="G485" s="7" t="e">
        <f>G489+G492+G495+G498+G501</f>
        <v>#REF!</v>
      </c>
      <c r="H485" s="7" t="e">
        <f>H489+H492+H495+H498+H501</f>
        <v>#REF!</v>
      </c>
      <c r="I485" s="7" t="e">
        <f>I489+I492+I495+I498+I501</f>
        <v>#REF!</v>
      </c>
      <c r="J485" s="7" t="e">
        <f>J489+J492+J495+J498+J501</f>
        <v>#REF!</v>
      </c>
      <c r="K485" s="7">
        <f>K489+K492+K495+K498+K501+K486</f>
        <v>71996.7</v>
      </c>
      <c r="L485" s="7">
        <f>L489+L492+L495+L498+L501+L486</f>
        <v>71579.8</v>
      </c>
      <c r="M485" s="7">
        <f t="shared" si="187"/>
        <v>99.42094568223267</v>
      </c>
    </row>
    <row r="486" spans="1:13" ht="141.75">
      <c r="A486" s="26" t="s">
        <v>475</v>
      </c>
      <c r="B486" s="42" t="s">
        <v>315</v>
      </c>
      <c r="C486" s="42" t="s">
        <v>169</v>
      </c>
      <c r="D486" s="42" t="s">
        <v>1005</v>
      </c>
      <c r="E486" s="42"/>
      <c r="F486" s="7"/>
      <c r="G486" s="7"/>
      <c r="H486" s="7"/>
      <c r="I486" s="7"/>
      <c r="J486" s="7"/>
      <c r="K486" s="7">
        <f>K487</f>
        <v>124.4</v>
      </c>
      <c r="L486" s="7">
        <f>L487</f>
        <v>0</v>
      </c>
      <c r="M486" s="7">
        <f t="shared" si="187"/>
        <v>0</v>
      </c>
    </row>
    <row r="487" spans="1:13" ht="47.25">
      <c r="A487" s="26" t="s">
        <v>323</v>
      </c>
      <c r="B487" s="42" t="s">
        <v>315</v>
      </c>
      <c r="C487" s="42" t="s">
        <v>169</v>
      </c>
      <c r="D487" s="42" t="s">
        <v>1005</v>
      </c>
      <c r="E487" s="42" t="s">
        <v>324</v>
      </c>
      <c r="F487" s="7"/>
      <c r="G487" s="7"/>
      <c r="H487" s="7"/>
      <c r="I487" s="7"/>
      <c r="J487" s="7"/>
      <c r="K487" s="7">
        <f>K488</f>
        <v>124.4</v>
      </c>
      <c r="L487" s="7">
        <f>L488</f>
        <v>0</v>
      </c>
      <c r="M487" s="7">
        <f t="shared" si="187"/>
        <v>0</v>
      </c>
    </row>
    <row r="488" spans="1:13" ht="15.75">
      <c r="A488" s="26" t="s">
        <v>325</v>
      </c>
      <c r="B488" s="42" t="s">
        <v>315</v>
      </c>
      <c r="C488" s="42" t="s">
        <v>169</v>
      </c>
      <c r="D488" s="42" t="s">
        <v>1005</v>
      </c>
      <c r="E488" s="42" t="s">
        <v>326</v>
      </c>
      <c r="F488" s="7"/>
      <c r="G488" s="7"/>
      <c r="H488" s="7"/>
      <c r="I488" s="7"/>
      <c r="J488" s="7"/>
      <c r="K488" s="7">
        <f>'Прил.№4 ведомств.'!G630</f>
        <v>124.4</v>
      </c>
      <c r="L488" s="7">
        <f>'Прил.№4 ведомств.'!H630</f>
        <v>0</v>
      </c>
      <c r="M488" s="7">
        <f t="shared" si="187"/>
        <v>0</v>
      </c>
    </row>
    <row r="489" spans="1:13" ht="63">
      <c r="A489" s="47" t="s">
        <v>340</v>
      </c>
      <c r="B489" s="42" t="s">
        <v>315</v>
      </c>
      <c r="C489" s="42" t="s">
        <v>169</v>
      </c>
      <c r="D489" s="42" t="s">
        <v>341</v>
      </c>
      <c r="E489" s="42"/>
      <c r="F489" s="7" t="e">
        <f>F490</f>
        <v>#REF!</v>
      </c>
      <c r="G489" s="7" t="e">
        <f aca="true" t="shared" si="195" ref="G489:L490">G490</f>
        <v>#REF!</v>
      </c>
      <c r="H489" s="7" t="e">
        <f t="shared" si="195"/>
        <v>#REF!</v>
      </c>
      <c r="I489" s="7" t="e">
        <f t="shared" si="195"/>
        <v>#REF!</v>
      </c>
      <c r="J489" s="7" t="e">
        <f t="shared" si="195"/>
        <v>#REF!</v>
      </c>
      <c r="K489" s="7">
        <f t="shared" si="195"/>
        <v>305.9</v>
      </c>
      <c r="L489" s="7">
        <f t="shared" si="195"/>
        <v>287.1</v>
      </c>
      <c r="M489" s="7">
        <f t="shared" si="187"/>
        <v>93.8542007191893</v>
      </c>
    </row>
    <row r="490" spans="1:13" ht="47.25">
      <c r="A490" s="31" t="s">
        <v>323</v>
      </c>
      <c r="B490" s="42" t="s">
        <v>315</v>
      </c>
      <c r="C490" s="42" t="s">
        <v>169</v>
      </c>
      <c r="D490" s="42" t="s">
        <v>341</v>
      </c>
      <c r="E490" s="42" t="s">
        <v>324</v>
      </c>
      <c r="F490" s="7" t="e">
        <f>F491</f>
        <v>#REF!</v>
      </c>
      <c r="G490" s="7" t="e">
        <f t="shared" si="195"/>
        <v>#REF!</v>
      </c>
      <c r="H490" s="7" t="e">
        <f t="shared" si="195"/>
        <v>#REF!</v>
      </c>
      <c r="I490" s="7" t="e">
        <f t="shared" si="195"/>
        <v>#REF!</v>
      </c>
      <c r="J490" s="7" t="e">
        <f t="shared" si="195"/>
        <v>#REF!</v>
      </c>
      <c r="K490" s="7">
        <f t="shared" si="195"/>
        <v>305.9</v>
      </c>
      <c r="L490" s="7">
        <f t="shared" si="195"/>
        <v>287.1</v>
      </c>
      <c r="M490" s="7">
        <f t="shared" si="187"/>
        <v>93.8542007191893</v>
      </c>
    </row>
    <row r="491" spans="1:13" ht="15.75">
      <c r="A491" s="31" t="s">
        <v>325</v>
      </c>
      <c r="B491" s="42" t="s">
        <v>315</v>
      </c>
      <c r="C491" s="42" t="s">
        <v>169</v>
      </c>
      <c r="D491" s="42" t="s">
        <v>341</v>
      </c>
      <c r="E491" s="42" t="s">
        <v>326</v>
      </c>
      <c r="F491" s="7" t="e">
        <f>#REF!</f>
        <v>#REF!</v>
      </c>
      <c r="G491" s="7" t="e">
        <f>#REF!</f>
        <v>#REF!</v>
      </c>
      <c r="H491" s="7" t="e">
        <f>#REF!</f>
        <v>#REF!</v>
      </c>
      <c r="I491" s="7" t="e">
        <f>#REF!</f>
        <v>#REF!</v>
      </c>
      <c r="J491" s="7" t="e">
        <f>#REF!</f>
        <v>#REF!</v>
      </c>
      <c r="K491" s="7">
        <f>'Прил.№4 ведомств.'!G636</f>
        <v>305.9</v>
      </c>
      <c r="L491" s="7">
        <f>'Прил.№4 ведомств.'!H636</f>
        <v>287.1</v>
      </c>
      <c r="M491" s="7">
        <f t="shared" si="187"/>
        <v>93.8542007191893</v>
      </c>
    </row>
    <row r="492" spans="1:13" ht="63">
      <c r="A492" s="47" t="s">
        <v>472</v>
      </c>
      <c r="B492" s="42" t="s">
        <v>315</v>
      </c>
      <c r="C492" s="42" t="s">
        <v>169</v>
      </c>
      <c r="D492" s="42" t="s">
        <v>343</v>
      </c>
      <c r="E492" s="42"/>
      <c r="F492" s="7" t="e">
        <f>F493</f>
        <v>#REF!</v>
      </c>
      <c r="G492" s="7" t="e">
        <f aca="true" t="shared" si="196" ref="G492:L493">G493</f>
        <v>#REF!</v>
      </c>
      <c r="H492" s="7" t="e">
        <f t="shared" si="196"/>
        <v>#REF!</v>
      </c>
      <c r="I492" s="7" t="e">
        <f t="shared" si="196"/>
        <v>#REF!</v>
      </c>
      <c r="J492" s="7" t="e">
        <f t="shared" si="196"/>
        <v>#REF!</v>
      </c>
      <c r="K492" s="7">
        <f t="shared" si="196"/>
        <v>1299.1</v>
      </c>
      <c r="L492" s="7">
        <f t="shared" si="196"/>
        <v>1236.7</v>
      </c>
      <c r="M492" s="7">
        <f t="shared" si="187"/>
        <v>95.1966746208914</v>
      </c>
    </row>
    <row r="493" spans="1:13" ht="47.25">
      <c r="A493" s="31" t="s">
        <v>323</v>
      </c>
      <c r="B493" s="42" t="s">
        <v>315</v>
      </c>
      <c r="C493" s="42" t="s">
        <v>169</v>
      </c>
      <c r="D493" s="42" t="s">
        <v>343</v>
      </c>
      <c r="E493" s="42" t="s">
        <v>324</v>
      </c>
      <c r="F493" s="7" t="e">
        <f>F494</f>
        <v>#REF!</v>
      </c>
      <c r="G493" s="7" t="e">
        <f t="shared" si="196"/>
        <v>#REF!</v>
      </c>
      <c r="H493" s="7" t="e">
        <f t="shared" si="196"/>
        <v>#REF!</v>
      </c>
      <c r="I493" s="7" t="e">
        <f t="shared" si="196"/>
        <v>#REF!</v>
      </c>
      <c r="J493" s="7" t="e">
        <f t="shared" si="196"/>
        <v>#REF!</v>
      </c>
      <c r="K493" s="7">
        <f t="shared" si="196"/>
        <v>1299.1</v>
      </c>
      <c r="L493" s="7">
        <f t="shared" si="196"/>
        <v>1236.7</v>
      </c>
      <c r="M493" s="7">
        <f t="shared" si="187"/>
        <v>95.1966746208914</v>
      </c>
    </row>
    <row r="494" spans="1:13" ht="15.75">
      <c r="A494" s="31" t="s">
        <v>325</v>
      </c>
      <c r="B494" s="42" t="s">
        <v>315</v>
      </c>
      <c r="C494" s="42" t="s">
        <v>169</v>
      </c>
      <c r="D494" s="42" t="s">
        <v>343</v>
      </c>
      <c r="E494" s="42" t="s">
        <v>326</v>
      </c>
      <c r="F494" s="7" t="e">
        <f>#REF!</f>
        <v>#REF!</v>
      </c>
      <c r="G494" s="7" t="e">
        <f>#REF!</f>
        <v>#REF!</v>
      </c>
      <c r="H494" s="7" t="e">
        <f>#REF!</f>
        <v>#REF!</v>
      </c>
      <c r="I494" s="7" t="e">
        <f>#REF!</f>
        <v>#REF!</v>
      </c>
      <c r="J494" s="7" t="e">
        <f>#REF!</f>
        <v>#REF!</v>
      </c>
      <c r="K494" s="7">
        <f>'Прил.№4 ведомств.'!G639</f>
        <v>1299.1</v>
      </c>
      <c r="L494" s="7">
        <f>'Прил.№4 ведомств.'!H639</f>
        <v>1236.7</v>
      </c>
      <c r="M494" s="7">
        <f t="shared" si="187"/>
        <v>95.1966746208914</v>
      </c>
    </row>
    <row r="495" spans="1:13" ht="94.5">
      <c r="A495" s="33" t="s">
        <v>473</v>
      </c>
      <c r="B495" s="42" t="s">
        <v>315</v>
      </c>
      <c r="C495" s="42" t="s">
        <v>169</v>
      </c>
      <c r="D495" s="42" t="s">
        <v>474</v>
      </c>
      <c r="E495" s="42"/>
      <c r="F495" s="7" t="e">
        <f>F496</f>
        <v>#REF!</v>
      </c>
      <c r="G495" s="7" t="e">
        <f aca="true" t="shared" si="197" ref="G495:L496">G496</f>
        <v>#REF!</v>
      </c>
      <c r="H495" s="7" t="e">
        <f t="shared" si="197"/>
        <v>#REF!</v>
      </c>
      <c r="I495" s="7" t="e">
        <f t="shared" si="197"/>
        <v>#REF!</v>
      </c>
      <c r="J495" s="7" t="e">
        <f t="shared" si="197"/>
        <v>#REF!</v>
      </c>
      <c r="K495" s="7">
        <f t="shared" si="197"/>
        <v>67437.3</v>
      </c>
      <c r="L495" s="7">
        <f t="shared" si="197"/>
        <v>67226</v>
      </c>
      <c r="M495" s="7">
        <f t="shared" si="187"/>
        <v>99.68667191598715</v>
      </c>
    </row>
    <row r="496" spans="1:13" ht="47.25">
      <c r="A496" s="31" t="s">
        <v>323</v>
      </c>
      <c r="B496" s="42" t="s">
        <v>315</v>
      </c>
      <c r="C496" s="42" t="s">
        <v>169</v>
      </c>
      <c r="D496" s="42" t="s">
        <v>474</v>
      </c>
      <c r="E496" s="42" t="s">
        <v>324</v>
      </c>
      <c r="F496" s="7" t="e">
        <f>F497</f>
        <v>#REF!</v>
      </c>
      <c r="G496" s="7" t="e">
        <f t="shared" si="197"/>
        <v>#REF!</v>
      </c>
      <c r="H496" s="7" t="e">
        <f t="shared" si="197"/>
        <v>#REF!</v>
      </c>
      <c r="I496" s="7" t="e">
        <f t="shared" si="197"/>
        <v>#REF!</v>
      </c>
      <c r="J496" s="7" t="e">
        <f t="shared" si="197"/>
        <v>#REF!</v>
      </c>
      <c r="K496" s="7">
        <f t="shared" si="197"/>
        <v>67437.3</v>
      </c>
      <c r="L496" s="7">
        <f t="shared" si="197"/>
        <v>67226</v>
      </c>
      <c r="M496" s="7">
        <f t="shared" si="187"/>
        <v>99.68667191598715</v>
      </c>
    </row>
    <row r="497" spans="1:13" ht="15.75">
      <c r="A497" s="31" t="s">
        <v>325</v>
      </c>
      <c r="B497" s="42" t="s">
        <v>315</v>
      </c>
      <c r="C497" s="42" t="s">
        <v>169</v>
      </c>
      <c r="D497" s="42" t="s">
        <v>474</v>
      </c>
      <c r="E497" s="42" t="s">
        <v>326</v>
      </c>
      <c r="F497" s="7" t="e">
        <f>#REF!</f>
        <v>#REF!</v>
      </c>
      <c r="G497" s="7" t="e">
        <f>#REF!</f>
        <v>#REF!</v>
      </c>
      <c r="H497" s="7" t="e">
        <f>#REF!</f>
        <v>#REF!</v>
      </c>
      <c r="I497" s="7" t="e">
        <f>#REF!</f>
        <v>#REF!</v>
      </c>
      <c r="J497" s="7" t="e">
        <f>#REF!</f>
        <v>#REF!</v>
      </c>
      <c r="K497" s="7">
        <f>'Прил.№4 ведомств.'!G642</f>
        <v>67437.3</v>
      </c>
      <c r="L497" s="7">
        <f>'Прил.№4 ведомств.'!H642</f>
        <v>67226</v>
      </c>
      <c r="M497" s="7">
        <f t="shared" si="187"/>
        <v>99.68667191598715</v>
      </c>
    </row>
    <row r="498" spans="1:13" ht="94.5">
      <c r="A498" s="47" t="s">
        <v>344</v>
      </c>
      <c r="B498" s="42" t="s">
        <v>315</v>
      </c>
      <c r="C498" s="42" t="s">
        <v>169</v>
      </c>
      <c r="D498" s="21" t="s">
        <v>345</v>
      </c>
      <c r="E498" s="42"/>
      <c r="F498" s="7" t="e">
        <f>F499</f>
        <v>#REF!</v>
      </c>
      <c r="G498" s="7" t="e">
        <f aca="true" t="shared" si="198" ref="G498:L499">G499</f>
        <v>#REF!</v>
      </c>
      <c r="H498" s="7" t="e">
        <f t="shared" si="198"/>
        <v>#REF!</v>
      </c>
      <c r="I498" s="7" t="e">
        <f t="shared" si="198"/>
        <v>#REF!</v>
      </c>
      <c r="J498" s="7" t="e">
        <f t="shared" si="198"/>
        <v>#REF!</v>
      </c>
      <c r="K498" s="7">
        <f t="shared" si="198"/>
        <v>2830</v>
      </c>
      <c r="L498" s="7">
        <f t="shared" si="198"/>
        <v>2830</v>
      </c>
      <c r="M498" s="7">
        <f t="shared" si="187"/>
        <v>100</v>
      </c>
    </row>
    <row r="499" spans="1:13" ht="47.25">
      <c r="A499" s="31" t="s">
        <v>323</v>
      </c>
      <c r="B499" s="42" t="s">
        <v>315</v>
      </c>
      <c r="C499" s="42" t="s">
        <v>169</v>
      </c>
      <c r="D499" s="21" t="s">
        <v>345</v>
      </c>
      <c r="E499" s="42" t="s">
        <v>324</v>
      </c>
      <c r="F499" s="7" t="e">
        <f>F500</f>
        <v>#REF!</v>
      </c>
      <c r="G499" s="7" t="e">
        <f t="shared" si="198"/>
        <v>#REF!</v>
      </c>
      <c r="H499" s="7" t="e">
        <f t="shared" si="198"/>
        <v>#REF!</v>
      </c>
      <c r="I499" s="7" t="e">
        <f t="shared" si="198"/>
        <v>#REF!</v>
      </c>
      <c r="J499" s="7" t="e">
        <f t="shared" si="198"/>
        <v>#REF!</v>
      </c>
      <c r="K499" s="7">
        <f t="shared" si="198"/>
        <v>2830</v>
      </c>
      <c r="L499" s="7">
        <f t="shared" si="198"/>
        <v>2830</v>
      </c>
      <c r="M499" s="7">
        <f t="shared" si="187"/>
        <v>100</v>
      </c>
    </row>
    <row r="500" spans="1:13" ht="15.75">
      <c r="A500" s="31" t="s">
        <v>325</v>
      </c>
      <c r="B500" s="42" t="s">
        <v>315</v>
      </c>
      <c r="C500" s="42" t="s">
        <v>169</v>
      </c>
      <c r="D500" s="21" t="s">
        <v>345</v>
      </c>
      <c r="E500" s="42" t="s">
        <v>326</v>
      </c>
      <c r="F500" s="7" t="e">
        <f>#REF!</f>
        <v>#REF!</v>
      </c>
      <c r="G500" s="7" t="e">
        <f>#REF!</f>
        <v>#REF!</v>
      </c>
      <c r="H500" s="7" t="e">
        <f>#REF!</f>
        <v>#REF!</v>
      </c>
      <c r="I500" s="7" t="e">
        <f>#REF!</f>
        <v>#REF!</v>
      </c>
      <c r="J500" s="7" t="e">
        <f>#REF!</f>
        <v>#REF!</v>
      </c>
      <c r="K500" s="7">
        <f>'Прил.№4 ведомств.'!G645</f>
        <v>2830</v>
      </c>
      <c r="L500" s="7">
        <f>'Прил.№4 ведомств.'!H645</f>
        <v>2830</v>
      </c>
      <c r="M500" s="7">
        <f t="shared" si="187"/>
        <v>100</v>
      </c>
    </row>
    <row r="501" spans="1:13" ht="141.75" customHeight="1" hidden="1">
      <c r="A501" s="26" t="s">
        <v>475</v>
      </c>
      <c r="B501" s="42" t="s">
        <v>315</v>
      </c>
      <c r="C501" s="42" t="s">
        <v>169</v>
      </c>
      <c r="D501" s="21" t="s">
        <v>476</v>
      </c>
      <c r="E501" s="42"/>
      <c r="F501" s="7">
        <f>F502</f>
        <v>0</v>
      </c>
      <c r="G501" s="7">
        <f aca="true" t="shared" si="199" ref="G501:L502">G502</f>
        <v>0</v>
      </c>
      <c r="H501" s="7">
        <f t="shared" si="199"/>
        <v>0</v>
      </c>
      <c r="I501" s="7">
        <f t="shared" si="199"/>
        <v>0</v>
      </c>
      <c r="J501" s="7">
        <f t="shared" si="199"/>
        <v>0</v>
      </c>
      <c r="K501" s="7">
        <f t="shared" si="199"/>
        <v>0</v>
      </c>
      <c r="L501" s="7">
        <f t="shared" si="199"/>
        <v>0</v>
      </c>
      <c r="M501" s="4" t="e">
        <f t="shared" si="187"/>
        <v>#DIV/0!</v>
      </c>
    </row>
    <row r="502" spans="1:13" ht="47.25" customHeight="1" hidden="1">
      <c r="A502" s="26" t="s">
        <v>323</v>
      </c>
      <c r="B502" s="42" t="s">
        <v>315</v>
      </c>
      <c r="C502" s="42" t="s">
        <v>169</v>
      </c>
      <c r="D502" s="21" t="s">
        <v>476</v>
      </c>
      <c r="E502" s="42" t="s">
        <v>324</v>
      </c>
      <c r="F502" s="7">
        <f>F503</f>
        <v>0</v>
      </c>
      <c r="G502" s="7">
        <f t="shared" si="199"/>
        <v>0</v>
      </c>
      <c r="H502" s="7">
        <f t="shared" si="199"/>
        <v>0</v>
      </c>
      <c r="I502" s="7">
        <f t="shared" si="199"/>
        <v>0</v>
      </c>
      <c r="J502" s="7">
        <f t="shared" si="199"/>
        <v>0</v>
      </c>
      <c r="K502" s="7">
        <f t="shared" si="199"/>
        <v>0</v>
      </c>
      <c r="L502" s="7">
        <f t="shared" si="199"/>
        <v>0</v>
      </c>
      <c r="M502" s="4" t="e">
        <f t="shared" si="187"/>
        <v>#DIV/0!</v>
      </c>
    </row>
    <row r="503" spans="1:13" ht="15.75" customHeight="1" hidden="1">
      <c r="A503" s="26" t="s">
        <v>325</v>
      </c>
      <c r="B503" s="42" t="s">
        <v>315</v>
      </c>
      <c r="C503" s="42" t="s">
        <v>169</v>
      </c>
      <c r="D503" s="21" t="s">
        <v>476</v>
      </c>
      <c r="E503" s="42" t="s">
        <v>326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4" t="e">
        <f t="shared" si="187"/>
        <v>#DIV/0!</v>
      </c>
    </row>
    <row r="504" spans="1:13" ht="15.75">
      <c r="A504" s="43" t="s">
        <v>477</v>
      </c>
      <c r="B504" s="8" t="s">
        <v>315</v>
      </c>
      <c r="C504" s="8" t="s">
        <v>264</v>
      </c>
      <c r="D504" s="8"/>
      <c r="E504" s="8"/>
      <c r="F504" s="4" t="e">
        <f aca="true" t="shared" si="200" ref="F504:K504">F505+F549</f>
        <v>#REF!</v>
      </c>
      <c r="G504" s="4" t="e">
        <f t="shared" si="200"/>
        <v>#REF!</v>
      </c>
      <c r="H504" s="4" t="e">
        <f t="shared" si="200"/>
        <v>#REF!</v>
      </c>
      <c r="I504" s="4" t="e">
        <f t="shared" si="200"/>
        <v>#REF!</v>
      </c>
      <c r="J504" s="4" t="e">
        <f t="shared" si="200"/>
        <v>#REF!</v>
      </c>
      <c r="K504" s="4">
        <f t="shared" si="200"/>
        <v>142709.3</v>
      </c>
      <c r="L504" s="4">
        <f>L505+L549</f>
        <v>142028.5</v>
      </c>
      <c r="M504" s="4">
        <f t="shared" si="187"/>
        <v>99.5229462971229</v>
      </c>
    </row>
    <row r="505" spans="1:13" ht="47.25">
      <c r="A505" s="31" t="s">
        <v>478</v>
      </c>
      <c r="B505" s="42" t="s">
        <v>315</v>
      </c>
      <c r="C505" s="42" t="s">
        <v>264</v>
      </c>
      <c r="D505" s="42" t="s">
        <v>458</v>
      </c>
      <c r="E505" s="42"/>
      <c r="F505" s="7" t="e">
        <f aca="true" t="shared" si="201" ref="F505:L505">F506+F510</f>
        <v>#REF!</v>
      </c>
      <c r="G505" s="7" t="e">
        <f t="shared" si="201"/>
        <v>#REF!</v>
      </c>
      <c r="H505" s="7" t="e">
        <f t="shared" si="201"/>
        <v>#REF!</v>
      </c>
      <c r="I505" s="7" t="e">
        <f t="shared" si="201"/>
        <v>#REF!</v>
      </c>
      <c r="J505" s="7" t="e">
        <f t="shared" si="201"/>
        <v>#REF!</v>
      </c>
      <c r="K505" s="7">
        <f t="shared" si="201"/>
        <v>40675.2</v>
      </c>
      <c r="L505" s="7">
        <f t="shared" si="201"/>
        <v>40436.7</v>
      </c>
      <c r="M505" s="7">
        <f t="shared" si="187"/>
        <v>99.4136476280387</v>
      </c>
    </row>
    <row r="506" spans="1:13" ht="31.5">
      <c r="A506" s="31" t="s">
        <v>459</v>
      </c>
      <c r="B506" s="42" t="s">
        <v>315</v>
      </c>
      <c r="C506" s="42" t="s">
        <v>264</v>
      </c>
      <c r="D506" s="42" t="s">
        <v>460</v>
      </c>
      <c r="E506" s="42"/>
      <c r="F506" s="7" t="e">
        <f>F507</f>
        <v>#REF!</v>
      </c>
      <c r="G506" s="7" t="e">
        <f aca="true" t="shared" si="202" ref="G506:L508">G507</f>
        <v>#REF!</v>
      </c>
      <c r="H506" s="7" t="e">
        <f t="shared" si="202"/>
        <v>#REF!</v>
      </c>
      <c r="I506" s="7" t="e">
        <f t="shared" si="202"/>
        <v>#REF!</v>
      </c>
      <c r="J506" s="7" t="e">
        <f t="shared" si="202"/>
        <v>#REF!</v>
      </c>
      <c r="K506" s="7">
        <f t="shared" si="202"/>
        <v>33571.899999999994</v>
      </c>
      <c r="L506" s="7">
        <f t="shared" si="202"/>
        <v>33430</v>
      </c>
      <c r="M506" s="7">
        <f t="shared" si="187"/>
        <v>99.57732508437117</v>
      </c>
    </row>
    <row r="507" spans="1:13" ht="47.25">
      <c r="A507" s="31" t="s">
        <v>479</v>
      </c>
      <c r="B507" s="42" t="s">
        <v>315</v>
      </c>
      <c r="C507" s="42" t="s">
        <v>264</v>
      </c>
      <c r="D507" s="42" t="s">
        <v>480</v>
      </c>
      <c r="E507" s="42"/>
      <c r="F507" s="7" t="e">
        <f>F508</f>
        <v>#REF!</v>
      </c>
      <c r="G507" s="7" t="e">
        <f t="shared" si="202"/>
        <v>#REF!</v>
      </c>
      <c r="H507" s="7" t="e">
        <f t="shared" si="202"/>
        <v>#REF!</v>
      </c>
      <c r="I507" s="7" t="e">
        <f t="shared" si="202"/>
        <v>#REF!</v>
      </c>
      <c r="J507" s="7" t="e">
        <f t="shared" si="202"/>
        <v>#REF!</v>
      </c>
      <c r="K507" s="7">
        <f t="shared" si="202"/>
        <v>33571.899999999994</v>
      </c>
      <c r="L507" s="7">
        <f t="shared" si="202"/>
        <v>33430</v>
      </c>
      <c r="M507" s="7">
        <f t="shared" si="187"/>
        <v>99.57732508437117</v>
      </c>
    </row>
    <row r="508" spans="1:13" ht="47.25">
      <c r="A508" s="31" t="s">
        <v>323</v>
      </c>
      <c r="B508" s="42" t="s">
        <v>315</v>
      </c>
      <c r="C508" s="42" t="s">
        <v>264</v>
      </c>
      <c r="D508" s="42" t="s">
        <v>480</v>
      </c>
      <c r="E508" s="42" t="s">
        <v>324</v>
      </c>
      <c r="F508" s="63" t="e">
        <f>F509</f>
        <v>#REF!</v>
      </c>
      <c r="G508" s="63" t="e">
        <f t="shared" si="202"/>
        <v>#REF!</v>
      </c>
      <c r="H508" s="63" t="e">
        <f t="shared" si="202"/>
        <v>#REF!</v>
      </c>
      <c r="I508" s="63" t="e">
        <f t="shared" si="202"/>
        <v>#REF!</v>
      </c>
      <c r="J508" s="63" t="e">
        <f t="shared" si="202"/>
        <v>#REF!</v>
      </c>
      <c r="K508" s="63">
        <f t="shared" si="202"/>
        <v>33571.899999999994</v>
      </c>
      <c r="L508" s="63">
        <f t="shared" si="202"/>
        <v>33430</v>
      </c>
      <c r="M508" s="7">
        <f t="shared" si="187"/>
        <v>99.57732508437117</v>
      </c>
    </row>
    <row r="509" spans="1:13" ht="15.75">
      <c r="A509" s="31" t="s">
        <v>325</v>
      </c>
      <c r="B509" s="42" t="s">
        <v>315</v>
      </c>
      <c r="C509" s="42" t="s">
        <v>264</v>
      </c>
      <c r="D509" s="42" t="s">
        <v>480</v>
      </c>
      <c r="E509" s="42" t="s">
        <v>326</v>
      </c>
      <c r="F509" s="63" t="e">
        <f>#REF!</f>
        <v>#REF!</v>
      </c>
      <c r="G509" s="63" t="e">
        <f>#REF!</f>
        <v>#REF!</v>
      </c>
      <c r="H509" s="63" t="e">
        <f>#REF!</f>
        <v>#REF!</v>
      </c>
      <c r="I509" s="63" t="e">
        <f>#REF!</f>
        <v>#REF!</v>
      </c>
      <c r="J509" s="63" t="e">
        <f>#REF!</f>
        <v>#REF!</v>
      </c>
      <c r="K509" s="63">
        <f>'Прил.№4 ведомств.'!G654</f>
        <v>33571.899999999994</v>
      </c>
      <c r="L509" s="63">
        <f>'Прил.№4 ведомств.'!H654</f>
        <v>33430</v>
      </c>
      <c r="M509" s="7">
        <f t="shared" si="187"/>
        <v>99.57732508437117</v>
      </c>
    </row>
    <row r="510" spans="1:13" ht="31.5">
      <c r="A510" s="31" t="s">
        <v>482</v>
      </c>
      <c r="B510" s="42" t="s">
        <v>315</v>
      </c>
      <c r="C510" s="42" t="s">
        <v>264</v>
      </c>
      <c r="D510" s="42" t="s">
        <v>483</v>
      </c>
      <c r="E510" s="42"/>
      <c r="F510" s="7" t="e">
        <f>F511+F525+F540+F546+F515+F518+F543+F528+F522+F534+F537</f>
        <v>#REF!</v>
      </c>
      <c r="G510" s="7" t="e">
        <f>G511+G525+G540+G546+G515+G518+G543+G528+G522+G534+G537</f>
        <v>#REF!</v>
      </c>
      <c r="H510" s="7" t="e">
        <f>H511+H525+H540+H546+H515+H518+H543+H528+H522+H534+H537</f>
        <v>#REF!</v>
      </c>
      <c r="I510" s="7" t="e">
        <f>I511+I525+I540+I546+I515+I518+I543+I528+I522+I534+I537</f>
        <v>#REF!</v>
      </c>
      <c r="J510" s="7" t="e">
        <f>J511+J525+J540+J546+J515+J518+J543+J528+J522+J534+J537</f>
        <v>#REF!</v>
      </c>
      <c r="K510" s="7">
        <f>K511+K525+K540+K546+K515+K518+K543+K528+K522+K534+K537+K531</f>
        <v>7103.300000000001</v>
      </c>
      <c r="L510" s="7">
        <f>L511+L525+L540+L546+L515+L518+L543+L528+L522+L534+L537+L531</f>
        <v>7006.7</v>
      </c>
      <c r="M510" s="7">
        <f t="shared" si="187"/>
        <v>98.64006870046315</v>
      </c>
    </row>
    <row r="511" spans="1:13" ht="47.25" customHeight="1" hidden="1">
      <c r="A511" s="31" t="s">
        <v>657</v>
      </c>
      <c r="B511" s="42" t="s">
        <v>315</v>
      </c>
      <c r="C511" s="42" t="s">
        <v>264</v>
      </c>
      <c r="D511" s="42" t="s">
        <v>663</v>
      </c>
      <c r="E511" s="42"/>
      <c r="F511" s="7">
        <f>F512</f>
        <v>0</v>
      </c>
      <c r="G511" s="7">
        <f aca="true" t="shared" si="203" ref="G511:L513">G512</f>
        <v>0</v>
      </c>
      <c r="H511" s="7">
        <f t="shared" si="203"/>
        <v>0</v>
      </c>
      <c r="I511" s="7">
        <f t="shared" si="203"/>
        <v>0</v>
      </c>
      <c r="J511" s="7">
        <f t="shared" si="203"/>
        <v>0</v>
      </c>
      <c r="K511" s="7">
        <f t="shared" si="203"/>
        <v>0</v>
      </c>
      <c r="L511" s="7">
        <f t="shared" si="203"/>
        <v>0</v>
      </c>
      <c r="M511" s="7" t="e">
        <f t="shared" si="187"/>
        <v>#DIV/0!</v>
      </c>
    </row>
    <row r="512" spans="1:13" ht="47.25" customHeight="1" hidden="1">
      <c r="A512" s="31" t="s">
        <v>323</v>
      </c>
      <c r="B512" s="42" t="s">
        <v>315</v>
      </c>
      <c r="C512" s="42" t="s">
        <v>264</v>
      </c>
      <c r="D512" s="42" t="s">
        <v>663</v>
      </c>
      <c r="E512" s="42" t="s">
        <v>324</v>
      </c>
      <c r="F512" s="7">
        <f>F513</f>
        <v>0</v>
      </c>
      <c r="G512" s="7">
        <f t="shared" si="203"/>
        <v>0</v>
      </c>
      <c r="H512" s="7">
        <f t="shared" si="203"/>
        <v>0</v>
      </c>
      <c r="I512" s="7">
        <f t="shared" si="203"/>
        <v>0</v>
      </c>
      <c r="J512" s="7">
        <f t="shared" si="203"/>
        <v>0</v>
      </c>
      <c r="K512" s="7">
        <f t="shared" si="203"/>
        <v>0</v>
      </c>
      <c r="L512" s="7">
        <f t="shared" si="203"/>
        <v>0</v>
      </c>
      <c r="M512" s="7" t="e">
        <f t="shared" si="187"/>
        <v>#DIV/0!</v>
      </c>
    </row>
    <row r="513" spans="1:13" ht="15.75" customHeight="1" hidden="1">
      <c r="A513" s="31" t="s">
        <v>325</v>
      </c>
      <c r="B513" s="42" t="s">
        <v>315</v>
      </c>
      <c r="C513" s="42" t="s">
        <v>264</v>
      </c>
      <c r="D513" s="42" t="s">
        <v>663</v>
      </c>
      <c r="E513" s="42" t="s">
        <v>326</v>
      </c>
      <c r="F513" s="7">
        <f>F514</f>
        <v>0</v>
      </c>
      <c r="G513" s="7">
        <f t="shared" si="203"/>
        <v>0</v>
      </c>
      <c r="H513" s="7">
        <f t="shared" si="203"/>
        <v>0</v>
      </c>
      <c r="I513" s="7">
        <f t="shared" si="203"/>
        <v>0</v>
      </c>
      <c r="J513" s="7">
        <f t="shared" si="203"/>
        <v>0</v>
      </c>
      <c r="K513" s="7">
        <f t="shared" si="203"/>
        <v>0</v>
      </c>
      <c r="L513" s="7">
        <f t="shared" si="203"/>
        <v>0</v>
      </c>
      <c r="M513" s="7" t="e">
        <f t="shared" si="187"/>
        <v>#DIV/0!</v>
      </c>
    </row>
    <row r="514" spans="1:13" ht="15.75" customHeight="1" hidden="1">
      <c r="A514" s="31" t="s">
        <v>660</v>
      </c>
      <c r="B514" s="42" t="s">
        <v>315</v>
      </c>
      <c r="C514" s="42" t="s">
        <v>264</v>
      </c>
      <c r="D514" s="42" t="s">
        <v>663</v>
      </c>
      <c r="E514" s="42" t="s">
        <v>661</v>
      </c>
      <c r="F514" s="7"/>
      <c r="G514" s="7"/>
      <c r="H514" s="7"/>
      <c r="I514" s="7"/>
      <c r="J514" s="7"/>
      <c r="K514" s="7"/>
      <c r="L514" s="7"/>
      <c r="M514" s="7" t="e">
        <f t="shared" si="187"/>
        <v>#DIV/0!</v>
      </c>
    </row>
    <row r="515" spans="1:13" ht="47.25" customHeight="1" hidden="1">
      <c r="A515" s="31" t="s">
        <v>484</v>
      </c>
      <c r="B515" s="42" t="s">
        <v>315</v>
      </c>
      <c r="C515" s="42" t="s">
        <v>264</v>
      </c>
      <c r="D515" s="42" t="s">
        <v>485</v>
      </c>
      <c r="E515" s="42"/>
      <c r="F515" s="7">
        <f>F516</f>
        <v>0</v>
      </c>
      <c r="G515" s="7">
        <f aca="true" t="shared" si="204" ref="G515:L516">G516</f>
        <v>0</v>
      </c>
      <c r="H515" s="7">
        <f t="shared" si="204"/>
        <v>0</v>
      </c>
      <c r="I515" s="7">
        <f t="shared" si="204"/>
        <v>0</v>
      </c>
      <c r="J515" s="7">
        <f t="shared" si="204"/>
        <v>0</v>
      </c>
      <c r="K515" s="7">
        <f t="shared" si="204"/>
        <v>0</v>
      </c>
      <c r="L515" s="7">
        <f t="shared" si="204"/>
        <v>0</v>
      </c>
      <c r="M515" s="7" t="e">
        <f t="shared" si="187"/>
        <v>#DIV/0!</v>
      </c>
    </row>
    <row r="516" spans="1:13" ht="47.25" customHeight="1" hidden="1">
      <c r="A516" s="31" t="s">
        <v>323</v>
      </c>
      <c r="B516" s="42" t="s">
        <v>315</v>
      </c>
      <c r="C516" s="42" t="s">
        <v>264</v>
      </c>
      <c r="D516" s="42" t="s">
        <v>485</v>
      </c>
      <c r="E516" s="42" t="s">
        <v>324</v>
      </c>
      <c r="F516" s="7">
        <f>F517</f>
        <v>0</v>
      </c>
      <c r="G516" s="7">
        <f t="shared" si="204"/>
        <v>0</v>
      </c>
      <c r="H516" s="7">
        <f t="shared" si="204"/>
        <v>0</v>
      </c>
      <c r="I516" s="7">
        <f t="shared" si="204"/>
        <v>0</v>
      </c>
      <c r="J516" s="7">
        <f t="shared" si="204"/>
        <v>0</v>
      </c>
      <c r="K516" s="7">
        <f t="shared" si="204"/>
        <v>0</v>
      </c>
      <c r="L516" s="7">
        <f t="shared" si="204"/>
        <v>0</v>
      </c>
      <c r="M516" s="7" t="e">
        <f t="shared" si="187"/>
        <v>#DIV/0!</v>
      </c>
    </row>
    <row r="517" spans="1:13" ht="15.75" customHeight="1" hidden="1">
      <c r="A517" s="31" t="s">
        <v>325</v>
      </c>
      <c r="B517" s="42" t="s">
        <v>315</v>
      </c>
      <c r="C517" s="42" t="s">
        <v>264</v>
      </c>
      <c r="D517" s="42" t="s">
        <v>485</v>
      </c>
      <c r="E517" s="42" t="s">
        <v>326</v>
      </c>
      <c r="F517" s="7"/>
      <c r="G517" s="7"/>
      <c r="H517" s="7"/>
      <c r="I517" s="7"/>
      <c r="J517" s="7"/>
      <c r="K517" s="7"/>
      <c r="L517" s="7"/>
      <c r="M517" s="7" t="e">
        <f t="shared" si="187"/>
        <v>#DIV/0!</v>
      </c>
    </row>
    <row r="518" spans="1:13" ht="31.5" customHeight="1" hidden="1">
      <c r="A518" s="31" t="s">
        <v>331</v>
      </c>
      <c r="B518" s="42" t="s">
        <v>315</v>
      </c>
      <c r="C518" s="42" t="s">
        <v>264</v>
      </c>
      <c r="D518" s="42" t="s">
        <v>664</v>
      </c>
      <c r="E518" s="42"/>
      <c r="F518" s="7">
        <f>F519</f>
        <v>0</v>
      </c>
      <c r="G518" s="7">
        <f aca="true" t="shared" si="205" ref="G518:L520">G519</f>
        <v>0</v>
      </c>
      <c r="H518" s="7">
        <f t="shared" si="205"/>
        <v>0</v>
      </c>
      <c r="I518" s="7">
        <f t="shared" si="205"/>
        <v>0</v>
      </c>
      <c r="J518" s="7">
        <f t="shared" si="205"/>
        <v>0</v>
      </c>
      <c r="K518" s="7">
        <f t="shared" si="205"/>
        <v>0</v>
      </c>
      <c r="L518" s="7">
        <f t="shared" si="205"/>
        <v>0</v>
      </c>
      <c r="M518" s="7" t="e">
        <f t="shared" si="187"/>
        <v>#DIV/0!</v>
      </c>
    </row>
    <row r="519" spans="1:13" ht="47.25" customHeight="1" hidden="1">
      <c r="A519" s="31" t="s">
        <v>323</v>
      </c>
      <c r="B519" s="42" t="s">
        <v>315</v>
      </c>
      <c r="C519" s="42" t="s">
        <v>264</v>
      </c>
      <c r="D519" s="42" t="s">
        <v>664</v>
      </c>
      <c r="E519" s="42" t="s">
        <v>324</v>
      </c>
      <c r="F519" s="7">
        <f>F520</f>
        <v>0</v>
      </c>
      <c r="G519" s="7">
        <f t="shared" si="205"/>
        <v>0</v>
      </c>
      <c r="H519" s="7">
        <f t="shared" si="205"/>
        <v>0</v>
      </c>
      <c r="I519" s="7">
        <f t="shared" si="205"/>
        <v>0</v>
      </c>
      <c r="J519" s="7">
        <f t="shared" si="205"/>
        <v>0</v>
      </c>
      <c r="K519" s="7">
        <f t="shared" si="205"/>
        <v>0</v>
      </c>
      <c r="L519" s="7">
        <f t="shared" si="205"/>
        <v>0</v>
      </c>
      <c r="M519" s="7" t="e">
        <f t="shared" si="187"/>
        <v>#DIV/0!</v>
      </c>
    </row>
    <row r="520" spans="1:13" ht="15.75" customHeight="1" hidden="1">
      <c r="A520" s="31" t="s">
        <v>325</v>
      </c>
      <c r="B520" s="42" t="s">
        <v>315</v>
      </c>
      <c r="C520" s="42" t="s">
        <v>264</v>
      </c>
      <c r="D520" s="42" t="s">
        <v>664</v>
      </c>
      <c r="E520" s="42" t="s">
        <v>326</v>
      </c>
      <c r="F520" s="7">
        <f>F521</f>
        <v>0</v>
      </c>
      <c r="G520" s="7">
        <f t="shared" si="205"/>
        <v>0</v>
      </c>
      <c r="H520" s="7">
        <f t="shared" si="205"/>
        <v>0</v>
      </c>
      <c r="I520" s="7">
        <f t="shared" si="205"/>
        <v>0</v>
      </c>
      <c r="J520" s="7">
        <f t="shared" si="205"/>
        <v>0</v>
      </c>
      <c r="K520" s="7">
        <f t="shared" si="205"/>
        <v>0</v>
      </c>
      <c r="L520" s="7">
        <f t="shared" si="205"/>
        <v>0</v>
      </c>
      <c r="M520" s="7" t="e">
        <f t="shared" si="187"/>
        <v>#DIV/0!</v>
      </c>
    </row>
    <row r="521" spans="1:13" ht="15.75" customHeight="1" hidden="1">
      <c r="A521" s="31" t="s">
        <v>660</v>
      </c>
      <c r="B521" s="42" t="s">
        <v>315</v>
      </c>
      <c r="C521" s="42" t="s">
        <v>264</v>
      </c>
      <c r="D521" s="42" t="s">
        <v>664</v>
      </c>
      <c r="E521" s="42" t="s">
        <v>661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 t="e">
        <f t="shared" si="187"/>
        <v>#DIV/0!</v>
      </c>
    </row>
    <row r="522" spans="1:13" ht="31.5" customHeight="1" hidden="1">
      <c r="A522" s="26" t="s">
        <v>486</v>
      </c>
      <c r="B522" s="42" t="s">
        <v>315</v>
      </c>
      <c r="C522" s="42" t="s">
        <v>264</v>
      </c>
      <c r="D522" s="42" t="s">
        <v>487</v>
      </c>
      <c r="E522" s="42"/>
      <c r="F522" s="7">
        <f>F523</f>
        <v>0</v>
      </c>
      <c r="G522" s="7">
        <f aca="true" t="shared" si="206" ref="G522:L523">G523</f>
        <v>0</v>
      </c>
      <c r="H522" s="7">
        <f t="shared" si="206"/>
        <v>0</v>
      </c>
      <c r="I522" s="7">
        <f t="shared" si="206"/>
        <v>0</v>
      </c>
      <c r="J522" s="7">
        <f t="shared" si="206"/>
        <v>0</v>
      </c>
      <c r="K522" s="7">
        <f t="shared" si="206"/>
        <v>0</v>
      </c>
      <c r="L522" s="7">
        <f t="shared" si="206"/>
        <v>0</v>
      </c>
      <c r="M522" s="7" t="e">
        <f t="shared" si="187"/>
        <v>#DIV/0!</v>
      </c>
    </row>
    <row r="523" spans="1:13" ht="47.25" customHeight="1" hidden="1">
      <c r="A523" s="26" t="s">
        <v>323</v>
      </c>
      <c r="B523" s="42" t="s">
        <v>315</v>
      </c>
      <c r="C523" s="42" t="s">
        <v>264</v>
      </c>
      <c r="D523" s="42" t="s">
        <v>487</v>
      </c>
      <c r="E523" s="42" t="s">
        <v>324</v>
      </c>
      <c r="F523" s="7">
        <f>F524</f>
        <v>0</v>
      </c>
      <c r="G523" s="7">
        <f t="shared" si="206"/>
        <v>0</v>
      </c>
      <c r="H523" s="7">
        <f t="shared" si="206"/>
        <v>0</v>
      </c>
      <c r="I523" s="7">
        <f t="shared" si="206"/>
        <v>0</v>
      </c>
      <c r="J523" s="7">
        <f t="shared" si="206"/>
        <v>0</v>
      </c>
      <c r="K523" s="7">
        <f t="shared" si="206"/>
        <v>0</v>
      </c>
      <c r="L523" s="7">
        <f t="shared" si="206"/>
        <v>0</v>
      </c>
      <c r="M523" s="7" t="e">
        <f t="shared" si="187"/>
        <v>#DIV/0!</v>
      </c>
    </row>
    <row r="524" spans="1:13" ht="15.75" customHeight="1" hidden="1">
      <c r="A524" s="26" t="s">
        <v>325</v>
      </c>
      <c r="B524" s="42" t="s">
        <v>315</v>
      </c>
      <c r="C524" s="42" t="s">
        <v>264</v>
      </c>
      <c r="D524" s="42" t="s">
        <v>487</v>
      </c>
      <c r="E524" s="42" t="s">
        <v>326</v>
      </c>
      <c r="F524" s="7"/>
      <c r="G524" s="7"/>
      <c r="H524" s="7"/>
      <c r="I524" s="7"/>
      <c r="J524" s="7"/>
      <c r="K524" s="7"/>
      <c r="L524" s="7"/>
      <c r="M524" s="7" t="e">
        <f aca="true" t="shared" si="207" ref="M524:M587">L524/K524*100</f>
        <v>#DIV/0!</v>
      </c>
    </row>
    <row r="525" spans="1:13" ht="47.25">
      <c r="A525" s="31" t="s">
        <v>665</v>
      </c>
      <c r="B525" s="42" t="s">
        <v>315</v>
      </c>
      <c r="C525" s="42" t="s">
        <v>264</v>
      </c>
      <c r="D525" s="42" t="s">
        <v>489</v>
      </c>
      <c r="E525" s="42"/>
      <c r="F525" s="7" t="e">
        <f>F526</f>
        <v>#REF!</v>
      </c>
      <c r="G525" s="7" t="e">
        <f aca="true" t="shared" si="208" ref="G525:L526">G526</f>
        <v>#REF!</v>
      </c>
      <c r="H525" s="7" t="e">
        <f t="shared" si="208"/>
        <v>#REF!</v>
      </c>
      <c r="I525" s="7" t="e">
        <f t="shared" si="208"/>
        <v>#REF!</v>
      </c>
      <c r="J525" s="7" t="e">
        <f t="shared" si="208"/>
        <v>#REF!</v>
      </c>
      <c r="K525" s="7">
        <f t="shared" si="208"/>
        <v>2967.9</v>
      </c>
      <c r="L525" s="7">
        <f t="shared" si="208"/>
        <v>2967.9</v>
      </c>
      <c r="M525" s="7">
        <f t="shared" si="207"/>
        <v>100</v>
      </c>
    </row>
    <row r="526" spans="1:13" ht="47.25">
      <c r="A526" s="31" t="s">
        <v>323</v>
      </c>
      <c r="B526" s="42" t="s">
        <v>315</v>
      </c>
      <c r="C526" s="42" t="s">
        <v>264</v>
      </c>
      <c r="D526" s="42" t="s">
        <v>489</v>
      </c>
      <c r="E526" s="42" t="s">
        <v>324</v>
      </c>
      <c r="F526" s="7" t="e">
        <f>F527</f>
        <v>#REF!</v>
      </c>
      <c r="G526" s="7" t="e">
        <f t="shared" si="208"/>
        <v>#REF!</v>
      </c>
      <c r="H526" s="7" t="e">
        <f t="shared" si="208"/>
        <v>#REF!</v>
      </c>
      <c r="I526" s="7" t="e">
        <f t="shared" si="208"/>
        <v>#REF!</v>
      </c>
      <c r="J526" s="7" t="e">
        <f t="shared" si="208"/>
        <v>#REF!</v>
      </c>
      <c r="K526" s="7">
        <f t="shared" si="208"/>
        <v>2967.9</v>
      </c>
      <c r="L526" s="7">
        <f t="shared" si="208"/>
        <v>2967.9</v>
      </c>
      <c r="M526" s="7">
        <f t="shared" si="207"/>
        <v>100</v>
      </c>
    </row>
    <row r="527" spans="1:13" ht="15.75">
      <c r="A527" s="31" t="s">
        <v>325</v>
      </c>
      <c r="B527" s="42" t="s">
        <v>315</v>
      </c>
      <c r="C527" s="42" t="s">
        <v>264</v>
      </c>
      <c r="D527" s="42" t="s">
        <v>489</v>
      </c>
      <c r="E527" s="42" t="s">
        <v>326</v>
      </c>
      <c r="F527" s="7" t="e">
        <f>#REF!</f>
        <v>#REF!</v>
      </c>
      <c r="G527" s="7" t="e">
        <f>#REF!</f>
        <v>#REF!</v>
      </c>
      <c r="H527" s="7" t="e">
        <f>#REF!</f>
        <v>#REF!</v>
      </c>
      <c r="I527" s="7" t="e">
        <f>#REF!</f>
        <v>#REF!</v>
      </c>
      <c r="J527" s="7" t="e">
        <f>#REF!</f>
        <v>#REF!</v>
      </c>
      <c r="K527" s="7">
        <f>'Прил.№4 ведомств.'!G664</f>
        <v>2967.9</v>
      </c>
      <c r="L527" s="7">
        <f>'Прил.№4 ведомств.'!H664</f>
        <v>2967.9</v>
      </c>
      <c r="M527" s="7">
        <f t="shared" si="207"/>
        <v>100</v>
      </c>
    </row>
    <row r="528" spans="1:13" ht="63">
      <c r="A528" s="26" t="s">
        <v>490</v>
      </c>
      <c r="B528" s="42" t="s">
        <v>315</v>
      </c>
      <c r="C528" s="42" t="s">
        <v>264</v>
      </c>
      <c r="D528" s="21" t="s">
        <v>491</v>
      </c>
      <c r="E528" s="42"/>
      <c r="F528" s="7" t="e">
        <f>F529</f>
        <v>#REF!</v>
      </c>
      <c r="G528" s="7" t="e">
        <f aca="true" t="shared" si="209" ref="G528:L529">G529</f>
        <v>#REF!</v>
      </c>
      <c r="H528" s="7" t="e">
        <f t="shared" si="209"/>
        <v>#REF!</v>
      </c>
      <c r="I528" s="7" t="e">
        <f t="shared" si="209"/>
        <v>#REF!</v>
      </c>
      <c r="J528" s="7" t="e">
        <f t="shared" si="209"/>
        <v>#REF!</v>
      </c>
      <c r="K528" s="7">
        <f t="shared" si="209"/>
        <v>362.3</v>
      </c>
      <c r="L528" s="7">
        <f t="shared" si="209"/>
        <v>351.9</v>
      </c>
      <c r="M528" s="7">
        <f t="shared" si="207"/>
        <v>97.12945073143803</v>
      </c>
    </row>
    <row r="529" spans="1:13" ht="47.25">
      <c r="A529" s="26" t="s">
        <v>323</v>
      </c>
      <c r="B529" s="42" t="s">
        <v>315</v>
      </c>
      <c r="C529" s="42" t="s">
        <v>264</v>
      </c>
      <c r="D529" s="21" t="s">
        <v>491</v>
      </c>
      <c r="E529" s="42" t="s">
        <v>324</v>
      </c>
      <c r="F529" s="7" t="e">
        <f>F530</f>
        <v>#REF!</v>
      </c>
      <c r="G529" s="7" t="e">
        <f t="shared" si="209"/>
        <v>#REF!</v>
      </c>
      <c r="H529" s="7" t="e">
        <f t="shared" si="209"/>
        <v>#REF!</v>
      </c>
      <c r="I529" s="7" t="e">
        <f t="shared" si="209"/>
        <v>#REF!</v>
      </c>
      <c r="J529" s="7" t="e">
        <f t="shared" si="209"/>
        <v>#REF!</v>
      </c>
      <c r="K529" s="7">
        <f t="shared" si="209"/>
        <v>362.3</v>
      </c>
      <c r="L529" s="7">
        <f t="shared" si="209"/>
        <v>351.9</v>
      </c>
      <c r="M529" s="7">
        <f t="shared" si="207"/>
        <v>97.12945073143803</v>
      </c>
    </row>
    <row r="530" spans="1:13" ht="15.75">
      <c r="A530" s="26" t="s">
        <v>325</v>
      </c>
      <c r="B530" s="42" t="s">
        <v>315</v>
      </c>
      <c r="C530" s="42" t="s">
        <v>264</v>
      </c>
      <c r="D530" s="21" t="s">
        <v>491</v>
      </c>
      <c r="E530" s="42" t="s">
        <v>326</v>
      </c>
      <c r="F530" s="7" t="e">
        <f>#REF!</f>
        <v>#REF!</v>
      </c>
      <c r="G530" s="7" t="e">
        <f>#REF!</f>
        <v>#REF!</v>
      </c>
      <c r="H530" s="7" t="e">
        <f>#REF!</f>
        <v>#REF!</v>
      </c>
      <c r="I530" s="7" t="e">
        <f>#REF!</f>
        <v>#REF!</v>
      </c>
      <c r="J530" s="7" t="e">
        <f>#REF!</f>
        <v>#REF!</v>
      </c>
      <c r="K530" s="7">
        <f>'Прил.№4 ведомств.'!G667</f>
        <v>362.3</v>
      </c>
      <c r="L530" s="7">
        <f>'Прил.№4 ведомств.'!H667</f>
        <v>351.9</v>
      </c>
      <c r="M530" s="7">
        <f t="shared" si="207"/>
        <v>97.12945073143803</v>
      </c>
    </row>
    <row r="531" spans="1:13" ht="47.25">
      <c r="A531" s="26" t="s">
        <v>492</v>
      </c>
      <c r="B531" s="42" t="s">
        <v>315</v>
      </c>
      <c r="C531" s="42" t="s">
        <v>264</v>
      </c>
      <c r="D531" s="21" t="s">
        <v>493</v>
      </c>
      <c r="E531" s="42"/>
      <c r="F531" s="7"/>
      <c r="G531" s="7"/>
      <c r="H531" s="7"/>
      <c r="I531" s="7"/>
      <c r="J531" s="7"/>
      <c r="K531" s="7">
        <f>K532</f>
        <v>107</v>
      </c>
      <c r="L531" s="7">
        <f>L532</f>
        <v>107</v>
      </c>
      <c r="M531" s="7">
        <f t="shared" si="207"/>
        <v>100</v>
      </c>
    </row>
    <row r="532" spans="1:13" ht="47.25">
      <c r="A532" s="26" t="s">
        <v>323</v>
      </c>
      <c r="B532" s="42" t="s">
        <v>315</v>
      </c>
      <c r="C532" s="42" t="s">
        <v>264</v>
      </c>
      <c r="D532" s="21" t="s">
        <v>493</v>
      </c>
      <c r="E532" s="42" t="s">
        <v>324</v>
      </c>
      <c r="F532" s="7"/>
      <c r="G532" s="7"/>
      <c r="H532" s="7"/>
      <c r="I532" s="7"/>
      <c r="J532" s="7"/>
      <c r="K532" s="7">
        <f>K533</f>
        <v>107</v>
      </c>
      <c r="L532" s="7">
        <f>L533</f>
        <v>107</v>
      </c>
      <c r="M532" s="7">
        <f t="shared" si="207"/>
        <v>100</v>
      </c>
    </row>
    <row r="533" spans="1:13" ht="15.75">
      <c r="A533" s="26" t="s">
        <v>325</v>
      </c>
      <c r="B533" s="42" t="s">
        <v>315</v>
      </c>
      <c r="C533" s="42" t="s">
        <v>264</v>
      </c>
      <c r="D533" s="21" t="s">
        <v>493</v>
      </c>
      <c r="E533" s="42" t="s">
        <v>326</v>
      </c>
      <c r="F533" s="7"/>
      <c r="G533" s="7"/>
      <c r="H533" s="7"/>
      <c r="I533" s="7"/>
      <c r="J533" s="7"/>
      <c r="K533" s="7">
        <f>'Прил.№4 ведомств.'!G670</f>
        <v>107</v>
      </c>
      <c r="L533" s="7">
        <f>'Прил.№4 ведомств.'!H670</f>
        <v>107</v>
      </c>
      <c r="M533" s="7">
        <f t="shared" si="207"/>
        <v>100</v>
      </c>
    </row>
    <row r="534" spans="1:13" ht="31.5">
      <c r="A534" s="26" t="s">
        <v>329</v>
      </c>
      <c r="B534" s="42" t="s">
        <v>315</v>
      </c>
      <c r="C534" s="42" t="s">
        <v>264</v>
      </c>
      <c r="D534" s="21" t="s">
        <v>494</v>
      </c>
      <c r="E534" s="42"/>
      <c r="F534" s="7" t="e">
        <f>F535</f>
        <v>#REF!</v>
      </c>
      <c r="G534" s="7" t="e">
        <f aca="true" t="shared" si="210" ref="G534:L535">G535</f>
        <v>#REF!</v>
      </c>
      <c r="H534" s="7" t="e">
        <f t="shared" si="210"/>
        <v>#REF!</v>
      </c>
      <c r="I534" s="7" t="e">
        <f t="shared" si="210"/>
        <v>#REF!</v>
      </c>
      <c r="J534" s="7" t="e">
        <f t="shared" si="210"/>
        <v>#REF!</v>
      </c>
      <c r="K534" s="7">
        <f t="shared" si="210"/>
        <v>300</v>
      </c>
      <c r="L534" s="7">
        <f t="shared" si="210"/>
        <v>300</v>
      </c>
      <c r="M534" s="7">
        <f t="shared" si="207"/>
        <v>100</v>
      </c>
    </row>
    <row r="535" spans="1:13" ht="47.25">
      <c r="A535" s="26" t="s">
        <v>323</v>
      </c>
      <c r="B535" s="42" t="s">
        <v>315</v>
      </c>
      <c r="C535" s="42" t="s">
        <v>264</v>
      </c>
      <c r="D535" s="21" t="s">
        <v>494</v>
      </c>
      <c r="E535" s="42" t="s">
        <v>324</v>
      </c>
      <c r="F535" s="7" t="e">
        <f>F536</f>
        <v>#REF!</v>
      </c>
      <c r="G535" s="7" t="e">
        <f t="shared" si="210"/>
        <v>#REF!</v>
      </c>
      <c r="H535" s="7" t="e">
        <f t="shared" si="210"/>
        <v>#REF!</v>
      </c>
      <c r="I535" s="7" t="e">
        <f t="shared" si="210"/>
        <v>#REF!</v>
      </c>
      <c r="J535" s="7" t="e">
        <f t="shared" si="210"/>
        <v>#REF!</v>
      </c>
      <c r="K535" s="7">
        <f t="shared" si="210"/>
        <v>300</v>
      </c>
      <c r="L535" s="7">
        <f t="shared" si="210"/>
        <v>300</v>
      </c>
      <c r="M535" s="7">
        <f t="shared" si="207"/>
        <v>100</v>
      </c>
    </row>
    <row r="536" spans="1:13" ht="15.75">
      <c r="A536" s="26" t="s">
        <v>325</v>
      </c>
      <c r="B536" s="42" t="s">
        <v>315</v>
      </c>
      <c r="C536" s="42" t="s">
        <v>264</v>
      </c>
      <c r="D536" s="21" t="s">
        <v>494</v>
      </c>
      <c r="E536" s="42" t="s">
        <v>326</v>
      </c>
      <c r="F536" s="7" t="e">
        <f>#REF!</f>
        <v>#REF!</v>
      </c>
      <c r="G536" s="7" t="e">
        <f>#REF!</f>
        <v>#REF!</v>
      </c>
      <c r="H536" s="7" t="e">
        <f>#REF!</f>
        <v>#REF!</v>
      </c>
      <c r="I536" s="7" t="e">
        <f>#REF!</f>
        <v>#REF!</v>
      </c>
      <c r="J536" s="7" t="e">
        <f>#REF!</f>
        <v>#REF!</v>
      </c>
      <c r="K536" s="7">
        <f>'Прил.№4 ведомств.'!G673</f>
        <v>300</v>
      </c>
      <c r="L536" s="7">
        <f>'Прил.№4 ведомств.'!H673</f>
        <v>300</v>
      </c>
      <c r="M536" s="7">
        <f t="shared" si="207"/>
        <v>100</v>
      </c>
    </row>
    <row r="537" spans="1:13" ht="31.5">
      <c r="A537" s="26" t="s">
        <v>331</v>
      </c>
      <c r="B537" s="21" t="s">
        <v>315</v>
      </c>
      <c r="C537" s="21" t="s">
        <v>264</v>
      </c>
      <c r="D537" s="21" t="s">
        <v>495</v>
      </c>
      <c r="E537" s="21"/>
      <c r="F537" s="7" t="e">
        <f>F538</f>
        <v>#REF!</v>
      </c>
      <c r="G537" s="7" t="e">
        <f aca="true" t="shared" si="211" ref="G537:L538">G538</f>
        <v>#REF!</v>
      </c>
      <c r="H537" s="7" t="e">
        <f t="shared" si="211"/>
        <v>#REF!</v>
      </c>
      <c r="I537" s="7" t="e">
        <f t="shared" si="211"/>
        <v>#REF!</v>
      </c>
      <c r="J537" s="7" t="e">
        <f t="shared" si="211"/>
        <v>#REF!</v>
      </c>
      <c r="K537" s="7">
        <f t="shared" si="211"/>
        <v>136</v>
      </c>
      <c r="L537" s="7">
        <f t="shared" si="211"/>
        <v>136</v>
      </c>
      <c r="M537" s="7">
        <f t="shared" si="207"/>
        <v>100</v>
      </c>
    </row>
    <row r="538" spans="1:13" ht="47.25">
      <c r="A538" s="26" t="s">
        <v>323</v>
      </c>
      <c r="B538" s="21" t="s">
        <v>315</v>
      </c>
      <c r="C538" s="21" t="s">
        <v>264</v>
      </c>
      <c r="D538" s="21" t="s">
        <v>495</v>
      </c>
      <c r="E538" s="21" t="s">
        <v>324</v>
      </c>
      <c r="F538" s="7" t="e">
        <f>F539</f>
        <v>#REF!</v>
      </c>
      <c r="G538" s="7" t="e">
        <f t="shared" si="211"/>
        <v>#REF!</v>
      </c>
      <c r="H538" s="7" t="e">
        <f t="shared" si="211"/>
        <v>#REF!</v>
      </c>
      <c r="I538" s="7" t="e">
        <f t="shared" si="211"/>
        <v>#REF!</v>
      </c>
      <c r="J538" s="7" t="e">
        <f t="shared" si="211"/>
        <v>#REF!</v>
      </c>
      <c r="K538" s="7">
        <f t="shared" si="211"/>
        <v>136</v>
      </c>
      <c r="L538" s="7">
        <f t="shared" si="211"/>
        <v>136</v>
      </c>
      <c r="M538" s="7">
        <f t="shared" si="207"/>
        <v>100</v>
      </c>
    </row>
    <row r="539" spans="1:13" ht="15.75">
      <c r="A539" s="26" t="s">
        <v>325</v>
      </c>
      <c r="B539" s="21" t="s">
        <v>315</v>
      </c>
      <c r="C539" s="21" t="s">
        <v>264</v>
      </c>
      <c r="D539" s="21" t="s">
        <v>495</v>
      </c>
      <c r="E539" s="21" t="s">
        <v>326</v>
      </c>
      <c r="F539" s="7" t="e">
        <f>#REF!</f>
        <v>#REF!</v>
      </c>
      <c r="G539" s="7" t="e">
        <f>#REF!</f>
        <v>#REF!</v>
      </c>
      <c r="H539" s="7" t="e">
        <f>#REF!</f>
        <v>#REF!</v>
      </c>
      <c r="I539" s="7" t="e">
        <f>#REF!</f>
        <v>#REF!</v>
      </c>
      <c r="J539" s="7" t="e">
        <f>#REF!</f>
        <v>#REF!</v>
      </c>
      <c r="K539" s="7">
        <f>'Прил.№4 ведомств.'!G676</f>
        <v>136</v>
      </c>
      <c r="L539" s="7">
        <f>'Прил.№4 ведомств.'!H676</f>
        <v>136</v>
      </c>
      <c r="M539" s="7">
        <f t="shared" si="207"/>
        <v>100</v>
      </c>
    </row>
    <row r="540" spans="1:13" ht="31.5">
      <c r="A540" s="31" t="s">
        <v>333</v>
      </c>
      <c r="B540" s="42" t="s">
        <v>315</v>
      </c>
      <c r="C540" s="42" t="s">
        <v>264</v>
      </c>
      <c r="D540" s="42" t="s">
        <v>496</v>
      </c>
      <c r="E540" s="42"/>
      <c r="F540" s="7" t="e">
        <f>F541</f>
        <v>#REF!</v>
      </c>
      <c r="G540" s="7" t="e">
        <f aca="true" t="shared" si="212" ref="G540:L541">G541</f>
        <v>#REF!</v>
      </c>
      <c r="H540" s="7" t="e">
        <f t="shared" si="212"/>
        <v>#REF!</v>
      </c>
      <c r="I540" s="7" t="e">
        <f t="shared" si="212"/>
        <v>#REF!</v>
      </c>
      <c r="J540" s="7" t="e">
        <f t="shared" si="212"/>
        <v>#REF!</v>
      </c>
      <c r="K540" s="7">
        <f t="shared" si="212"/>
        <v>224.2</v>
      </c>
      <c r="L540" s="7">
        <f t="shared" si="212"/>
        <v>154.7</v>
      </c>
      <c r="M540" s="7">
        <f t="shared" si="207"/>
        <v>69.00089206066012</v>
      </c>
    </row>
    <row r="541" spans="1:13" ht="47.25">
      <c r="A541" s="31" t="s">
        <v>323</v>
      </c>
      <c r="B541" s="42" t="s">
        <v>315</v>
      </c>
      <c r="C541" s="42" t="s">
        <v>264</v>
      </c>
      <c r="D541" s="42" t="s">
        <v>496</v>
      </c>
      <c r="E541" s="42" t="s">
        <v>324</v>
      </c>
      <c r="F541" s="7" t="e">
        <f>F542</f>
        <v>#REF!</v>
      </c>
      <c r="G541" s="7" t="e">
        <f t="shared" si="212"/>
        <v>#REF!</v>
      </c>
      <c r="H541" s="7" t="e">
        <f t="shared" si="212"/>
        <v>#REF!</v>
      </c>
      <c r="I541" s="7" t="e">
        <f t="shared" si="212"/>
        <v>#REF!</v>
      </c>
      <c r="J541" s="7" t="e">
        <f t="shared" si="212"/>
        <v>#REF!</v>
      </c>
      <c r="K541" s="7">
        <f t="shared" si="212"/>
        <v>224.2</v>
      </c>
      <c r="L541" s="7">
        <f t="shared" si="212"/>
        <v>154.7</v>
      </c>
      <c r="M541" s="7">
        <f t="shared" si="207"/>
        <v>69.00089206066012</v>
      </c>
    </row>
    <row r="542" spans="1:13" ht="15.75">
      <c r="A542" s="31" t="s">
        <v>325</v>
      </c>
      <c r="B542" s="42" t="s">
        <v>315</v>
      </c>
      <c r="C542" s="42" t="s">
        <v>264</v>
      </c>
      <c r="D542" s="42" t="s">
        <v>496</v>
      </c>
      <c r="E542" s="42" t="s">
        <v>326</v>
      </c>
      <c r="F542" s="7" t="e">
        <f>#REF!</f>
        <v>#REF!</v>
      </c>
      <c r="G542" s="7" t="e">
        <f>#REF!</f>
        <v>#REF!</v>
      </c>
      <c r="H542" s="7" t="e">
        <f>#REF!</f>
        <v>#REF!</v>
      </c>
      <c r="I542" s="7" t="e">
        <f>#REF!</f>
        <v>#REF!</v>
      </c>
      <c r="J542" s="7" t="e">
        <f>#REF!</f>
        <v>#REF!</v>
      </c>
      <c r="K542" s="7">
        <f>'Прил.№4 ведомств.'!G679</f>
        <v>224.2</v>
      </c>
      <c r="L542" s="7">
        <f>'Прил.№4 ведомств.'!H679</f>
        <v>154.7</v>
      </c>
      <c r="M542" s="7">
        <f t="shared" si="207"/>
        <v>69.00089206066012</v>
      </c>
    </row>
    <row r="543" spans="1:13" ht="31.5">
      <c r="A543" s="31" t="s">
        <v>335</v>
      </c>
      <c r="B543" s="42" t="s">
        <v>315</v>
      </c>
      <c r="C543" s="42" t="s">
        <v>264</v>
      </c>
      <c r="D543" s="42" t="s">
        <v>497</v>
      </c>
      <c r="E543" s="42"/>
      <c r="F543" s="7" t="e">
        <f>F544</f>
        <v>#REF!</v>
      </c>
      <c r="G543" s="7" t="e">
        <f aca="true" t="shared" si="213" ref="G543:L544">G544</f>
        <v>#REF!</v>
      </c>
      <c r="H543" s="7" t="e">
        <f t="shared" si="213"/>
        <v>#REF!</v>
      </c>
      <c r="I543" s="7" t="e">
        <f t="shared" si="213"/>
        <v>#REF!</v>
      </c>
      <c r="J543" s="7" t="e">
        <f t="shared" si="213"/>
        <v>#REF!</v>
      </c>
      <c r="K543" s="7">
        <f t="shared" si="213"/>
        <v>244.3</v>
      </c>
      <c r="L543" s="7">
        <f t="shared" si="213"/>
        <v>244.2</v>
      </c>
      <c r="M543" s="7">
        <f t="shared" si="207"/>
        <v>99.95906672124435</v>
      </c>
    </row>
    <row r="544" spans="1:13" ht="47.25">
      <c r="A544" s="31" t="s">
        <v>323</v>
      </c>
      <c r="B544" s="42" t="s">
        <v>315</v>
      </c>
      <c r="C544" s="42" t="s">
        <v>264</v>
      </c>
      <c r="D544" s="42" t="s">
        <v>497</v>
      </c>
      <c r="E544" s="42" t="s">
        <v>324</v>
      </c>
      <c r="F544" s="7" t="e">
        <f>F545</f>
        <v>#REF!</v>
      </c>
      <c r="G544" s="7" t="e">
        <f t="shared" si="213"/>
        <v>#REF!</v>
      </c>
      <c r="H544" s="7" t="e">
        <f t="shared" si="213"/>
        <v>#REF!</v>
      </c>
      <c r="I544" s="7" t="e">
        <f t="shared" si="213"/>
        <v>#REF!</v>
      </c>
      <c r="J544" s="7" t="e">
        <f t="shared" si="213"/>
        <v>#REF!</v>
      </c>
      <c r="K544" s="7">
        <f t="shared" si="213"/>
        <v>244.3</v>
      </c>
      <c r="L544" s="7">
        <f t="shared" si="213"/>
        <v>244.2</v>
      </c>
      <c r="M544" s="7">
        <f t="shared" si="207"/>
        <v>99.95906672124435</v>
      </c>
    </row>
    <row r="545" spans="1:13" ht="15.75">
      <c r="A545" s="31" t="s">
        <v>325</v>
      </c>
      <c r="B545" s="42" t="s">
        <v>315</v>
      </c>
      <c r="C545" s="42" t="s">
        <v>264</v>
      </c>
      <c r="D545" s="42" t="s">
        <v>497</v>
      </c>
      <c r="E545" s="42" t="s">
        <v>326</v>
      </c>
      <c r="F545" s="7" t="e">
        <f>#REF!</f>
        <v>#REF!</v>
      </c>
      <c r="G545" s="7" t="e">
        <f>#REF!</f>
        <v>#REF!</v>
      </c>
      <c r="H545" s="7" t="e">
        <f>#REF!</f>
        <v>#REF!</v>
      </c>
      <c r="I545" s="7" t="e">
        <f>#REF!</f>
        <v>#REF!</v>
      </c>
      <c r="J545" s="7" t="e">
        <f>#REF!</f>
        <v>#REF!</v>
      </c>
      <c r="K545" s="7">
        <f>'Прил.№4 ведомств.'!G682</f>
        <v>244.3</v>
      </c>
      <c r="L545" s="7">
        <f>'Прил.№4 ведомств.'!H682</f>
        <v>244.2</v>
      </c>
      <c r="M545" s="7">
        <f t="shared" si="207"/>
        <v>99.95906672124435</v>
      </c>
    </row>
    <row r="546" spans="1:13" ht="31.5" customHeight="1">
      <c r="A546" s="210" t="s">
        <v>857</v>
      </c>
      <c r="B546" s="21" t="s">
        <v>315</v>
      </c>
      <c r="C546" s="21" t="s">
        <v>264</v>
      </c>
      <c r="D546" s="21" t="s">
        <v>859</v>
      </c>
      <c r="E546" s="21"/>
      <c r="F546" s="7" t="e">
        <f>F547</f>
        <v>#REF!</v>
      </c>
      <c r="G546" s="249" t="e">
        <f aca="true" t="shared" si="214" ref="G546:L547">G547</f>
        <v>#REF!</v>
      </c>
      <c r="H546" s="7" t="e">
        <f t="shared" si="214"/>
        <v>#REF!</v>
      </c>
      <c r="I546" s="7" t="e">
        <f t="shared" si="214"/>
        <v>#REF!</v>
      </c>
      <c r="J546" s="7" t="e">
        <f t="shared" si="214"/>
        <v>#REF!</v>
      </c>
      <c r="K546" s="7">
        <f t="shared" si="214"/>
        <v>2761.6000000000004</v>
      </c>
      <c r="L546" s="7">
        <f t="shared" si="214"/>
        <v>2745</v>
      </c>
      <c r="M546" s="7">
        <f t="shared" si="207"/>
        <v>99.398899188876</v>
      </c>
    </row>
    <row r="547" spans="1:13" ht="21.75" customHeight="1">
      <c r="A547" s="31" t="s">
        <v>660</v>
      </c>
      <c r="B547" s="21" t="s">
        <v>315</v>
      </c>
      <c r="C547" s="21" t="s">
        <v>264</v>
      </c>
      <c r="D547" s="21" t="s">
        <v>859</v>
      </c>
      <c r="E547" s="21" t="s">
        <v>324</v>
      </c>
      <c r="F547" s="7" t="e">
        <f>F548</f>
        <v>#REF!</v>
      </c>
      <c r="G547" s="7" t="e">
        <f t="shared" si="214"/>
        <v>#REF!</v>
      </c>
      <c r="H547" s="7" t="e">
        <f t="shared" si="214"/>
        <v>#REF!</v>
      </c>
      <c r="I547" s="7" t="e">
        <f t="shared" si="214"/>
        <v>#REF!</v>
      </c>
      <c r="J547" s="7" t="e">
        <f t="shared" si="214"/>
        <v>#REF!</v>
      </c>
      <c r="K547" s="7">
        <f t="shared" si="214"/>
        <v>2761.6000000000004</v>
      </c>
      <c r="L547" s="7">
        <f t="shared" si="214"/>
        <v>2745</v>
      </c>
      <c r="M547" s="7">
        <f t="shared" si="207"/>
        <v>99.398899188876</v>
      </c>
    </row>
    <row r="548" spans="1:13" ht="15.75" customHeight="1">
      <c r="A548" s="31" t="s">
        <v>325</v>
      </c>
      <c r="B548" s="21" t="s">
        <v>315</v>
      </c>
      <c r="C548" s="21" t="s">
        <v>264</v>
      </c>
      <c r="D548" s="21" t="s">
        <v>859</v>
      </c>
      <c r="E548" s="21" t="s">
        <v>326</v>
      </c>
      <c r="F548" s="7" t="e">
        <f>#REF!</f>
        <v>#REF!</v>
      </c>
      <c r="G548" s="7" t="e">
        <f>#REF!</f>
        <v>#REF!</v>
      </c>
      <c r="H548" s="7" t="e">
        <f>#REF!</f>
        <v>#REF!</v>
      </c>
      <c r="I548" s="7" t="e">
        <f>#REF!</f>
        <v>#REF!</v>
      </c>
      <c r="J548" s="7" t="e">
        <f>#REF!</f>
        <v>#REF!</v>
      </c>
      <c r="K548" s="7">
        <f>'Прил.№4 ведомств.'!G685</f>
        <v>2761.6000000000004</v>
      </c>
      <c r="L548" s="7">
        <f>'Прил.№4 ведомств.'!H685</f>
        <v>2745</v>
      </c>
      <c r="M548" s="7">
        <f t="shared" si="207"/>
        <v>99.398899188876</v>
      </c>
    </row>
    <row r="549" spans="1:13" ht="15.75">
      <c r="A549" s="31" t="s">
        <v>172</v>
      </c>
      <c r="B549" s="42" t="s">
        <v>315</v>
      </c>
      <c r="C549" s="42" t="s">
        <v>264</v>
      </c>
      <c r="D549" s="42" t="s">
        <v>173</v>
      </c>
      <c r="E549" s="42"/>
      <c r="F549" s="7" t="e">
        <f>F550</f>
        <v>#REF!</v>
      </c>
      <c r="G549" s="7" t="e">
        <f aca="true" t="shared" si="215" ref="G549:L549">G550</f>
        <v>#REF!</v>
      </c>
      <c r="H549" s="7" t="e">
        <f t="shared" si="215"/>
        <v>#REF!</v>
      </c>
      <c r="I549" s="7" t="e">
        <f t="shared" si="215"/>
        <v>#REF!</v>
      </c>
      <c r="J549" s="7" t="e">
        <f t="shared" si="215"/>
        <v>#REF!</v>
      </c>
      <c r="K549" s="7">
        <f t="shared" si="215"/>
        <v>102034.1</v>
      </c>
      <c r="L549" s="7">
        <f t="shared" si="215"/>
        <v>101591.8</v>
      </c>
      <c r="M549" s="7">
        <f t="shared" si="207"/>
        <v>99.56651746817975</v>
      </c>
    </row>
    <row r="550" spans="1:13" ht="31.5">
      <c r="A550" s="31" t="s">
        <v>236</v>
      </c>
      <c r="B550" s="42" t="s">
        <v>315</v>
      </c>
      <c r="C550" s="42" t="s">
        <v>264</v>
      </c>
      <c r="D550" s="42" t="s">
        <v>237</v>
      </c>
      <c r="E550" s="42"/>
      <c r="F550" s="7" t="e">
        <f aca="true" t="shared" si="216" ref="F550:L550">F551+F554+F557+F560+F566+F569+F572+F575+F578+F563</f>
        <v>#REF!</v>
      </c>
      <c r="G550" s="7" t="e">
        <f t="shared" si="216"/>
        <v>#REF!</v>
      </c>
      <c r="H550" s="7" t="e">
        <f t="shared" si="216"/>
        <v>#REF!</v>
      </c>
      <c r="I550" s="7" t="e">
        <f t="shared" si="216"/>
        <v>#REF!</v>
      </c>
      <c r="J550" s="7" t="e">
        <f t="shared" si="216"/>
        <v>#REF!</v>
      </c>
      <c r="K550" s="7">
        <f t="shared" si="216"/>
        <v>102034.1</v>
      </c>
      <c r="L550" s="7">
        <f t="shared" si="216"/>
        <v>101591.8</v>
      </c>
      <c r="M550" s="7">
        <f t="shared" si="207"/>
        <v>99.56651746817975</v>
      </c>
    </row>
    <row r="551" spans="1:13" ht="47.25" customHeight="1" hidden="1">
      <c r="A551" s="26" t="s">
        <v>502</v>
      </c>
      <c r="B551" s="21" t="s">
        <v>315</v>
      </c>
      <c r="C551" s="21" t="s">
        <v>264</v>
      </c>
      <c r="D551" s="21" t="s">
        <v>503</v>
      </c>
      <c r="E551" s="21"/>
      <c r="F551" s="7">
        <f>F552</f>
        <v>0</v>
      </c>
      <c r="G551" s="7">
        <f aca="true" t="shared" si="217" ref="G551:L552">G552</f>
        <v>0</v>
      </c>
      <c r="H551" s="7">
        <f t="shared" si="217"/>
        <v>0</v>
      </c>
      <c r="I551" s="7">
        <f t="shared" si="217"/>
        <v>0</v>
      </c>
      <c r="J551" s="7">
        <f t="shared" si="217"/>
        <v>0</v>
      </c>
      <c r="K551" s="7">
        <f t="shared" si="217"/>
        <v>0</v>
      </c>
      <c r="L551" s="7">
        <f t="shared" si="217"/>
        <v>0</v>
      </c>
      <c r="M551" s="7" t="e">
        <f t="shared" si="207"/>
        <v>#DIV/0!</v>
      </c>
    </row>
    <row r="552" spans="1:13" ht="47.25" customHeight="1" hidden="1">
      <c r="A552" s="26" t="s">
        <v>323</v>
      </c>
      <c r="B552" s="21" t="s">
        <v>315</v>
      </c>
      <c r="C552" s="21" t="s">
        <v>264</v>
      </c>
      <c r="D552" s="21" t="s">
        <v>503</v>
      </c>
      <c r="E552" s="21" t="s">
        <v>324</v>
      </c>
      <c r="F552" s="7">
        <f>F553</f>
        <v>0</v>
      </c>
      <c r="G552" s="7">
        <f t="shared" si="217"/>
        <v>0</v>
      </c>
      <c r="H552" s="7">
        <f t="shared" si="217"/>
        <v>0</v>
      </c>
      <c r="I552" s="7">
        <f t="shared" si="217"/>
        <v>0</v>
      </c>
      <c r="J552" s="7">
        <f t="shared" si="217"/>
        <v>0</v>
      </c>
      <c r="K552" s="7">
        <f t="shared" si="217"/>
        <v>0</v>
      </c>
      <c r="L552" s="7">
        <f t="shared" si="217"/>
        <v>0</v>
      </c>
      <c r="M552" s="7" t="e">
        <f t="shared" si="207"/>
        <v>#DIV/0!</v>
      </c>
    </row>
    <row r="553" spans="1:13" ht="15.75" customHeight="1" hidden="1">
      <c r="A553" s="26" t="s">
        <v>325</v>
      </c>
      <c r="B553" s="21" t="s">
        <v>315</v>
      </c>
      <c r="C553" s="21" t="s">
        <v>264</v>
      </c>
      <c r="D553" s="21" t="s">
        <v>503</v>
      </c>
      <c r="E553" s="21" t="s">
        <v>326</v>
      </c>
      <c r="F553" s="7"/>
      <c r="G553" s="7"/>
      <c r="H553" s="7"/>
      <c r="I553" s="7"/>
      <c r="J553" s="7"/>
      <c r="K553" s="7"/>
      <c r="L553" s="7"/>
      <c r="M553" s="7" t="e">
        <f t="shared" si="207"/>
        <v>#DIV/0!</v>
      </c>
    </row>
    <row r="554" spans="1:13" ht="15.75" customHeight="1" hidden="1">
      <c r="A554" s="26" t="s">
        <v>504</v>
      </c>
      <c r="B554" s="21" t="s">
        <v>315</v>
      </c>
      <c r="C554" s="21" t="s">
        <v>264</v>
      </c>
      <c r="D554" s="21" t="s">
        <v>505</v>
      </c>
      <c r="E554" s="21"/>
      <c r="F554" s="7">
        <f>F555</f>
        <v>0</v>
      </c>
      <c r="G554" s="7">
        <f aca="true" t="shared" si="218" ref="G554:L555">G555</f>
        <v>0</v>
      </c>
      <c r="H554" s="7">
        <f t="shared" si="218"/>
        <v>0</v>
      </c>
      <c r="I554" s="7">
        <f t="shared" si="218"/>
        <v>0</v>
      </c>
      <c r="J554" s="7">
        <f t="shared" si="218"/>
        <v>0</v>
      </c>
      <c r="K554" s="7">
        <f t="shared" si="218"/>
        <v>0</v>
      </c>
      <c r="L554" s="7">
        <f t="shared" si="218"/>
        <v>0</v>
      </c>
      <c r="M554" s="7" t="e">
        <f t="shared" si="207"/>
        <v>#DIV/0!</v>
      </c>
    </row>
    <row r="555" spans="1:13" ht="47.25" customHeight="1" hidden="1">
      <c r="A555" s="26" t="s">
        <v>323</v>
      </c>
      <c r="B555" s="21" t="s">
        <v>315</v>
      </c>
      <c r="C555" s="21" t="s">
        <v>264</v>
      </c>
      <c r="D555" s="21" t="s">
        <v>505</v>
      </c>
      <c r="E555" s="21" t="s">
        <v>324</v>
      </c>
      <c r="F555" s="7">
        <f>F556</f>
        <v>0</v>
      </c>
      <c r="G555" s="7">
        <f t="shared" si="218"/>
        <v>0</v>
      </c>
      <c r="H555" s="7">
        <f t="shared" si="218"/>
        <v>0</v>
      </c>
      <c r="I555" s="7">
        <f t="shared" si="218"/>
        <v>0</v>
      </c>
      <c r="J555" s="7">
        <f t="shared" si="218"/>
        <v>0</v>
      </c>
      <c r="K555" s="7">
        <f t="shared" si="218"/>
        <v>0</v>
      </c>
      <c r="L555" s="7">
        <f t="shared" si="218"/>
        <v>0</v>
      </c>
      <c r="M555" s="7" t="e">
        <f t="shared" si="207"/>
        <v>#DIV/0!</v>
      </c>
    </row>
    <row r="556" spans="1:13" ht="15.75" customHeight="1" hidden="1">
      <c r="A556" s="26" t="s">
        <v>325</v>
      </c>
      <c r="B556" s="21" t="s">
        <v>315</v>
      </c>
      <c r="C556" s="21" t="s">
        <v>264</v>
      </c>
      <c r="D556" s="21" t="s">
        <v>505</v>
      </c>
      <c r="E556" s="21" t="s">
        <v>326</v>
      </c>
      <c r="F556" s="7"/>
      <c r="G556" s="7"/>
      <c r="H556" s="7"/>
      <c r="I556" s="7"/>
      <c r="J556" s="7"/>
      <c r="K556" s="7"/>
      <c r="L556" s="7"/>
      <c r="M556" s="7" t="e">
        <f t="shared" si="207"/>
        <v>#DIV/0!</v>
      </c>
    </row>
    <row r="557" spans="1:13" ht="31.5" customHeight="1" hidden="1">
      <c r="A557" s="31" t="s">
        <v>672</v>
      </c>
      <c r="B557" s="42" t="s">
        <v>315</v>
      </c>
      <c r="C557" s="42" t="s">
        <v>264</v>
      </c>
      <c r="D557" s="42" t="s">
        <v>507</v>
      </c>
      <c r="E557" s="42"/>
      <c r="F557" s="7">
        <f>F558</f>
        <v>0</v>
      </c>
      <c r="G557" s="7">
        <f aca="true" t="shared" si="219" ref="G557:L558">G558</f>
        <v>0</v>
      </c>
      <c r="H557" s="7">
        <f t="shared" si="219"/>
        <v>0</v>
      </c>
      <c r="I557" s="7">
        <f t="shared" si="219"/>
        <v>0</v>
      </c>
      <c r="J557" s="7">
        <f t="shared" si="219"/>
        <v>0</v>
      </c>
      <c r="K557" s="7">
        <f t="shared" si="219"/>
        <v>0</v>
      </c>
      <c r="L557" s="7">
        <f t="shared" si="219"/>
        <v>0</v>
      </c>
      <c r="M557" s="7" t="e">
        <f t="shared" si="207"/>
        <v>#DIV/0!</v>
      </c>
    </row>
    <row r="558" spans="1:13" ht="47.25" customHeight="1" hidden="1">
      <c r="A558" s="31" t="s">
        <v>323</v>
      </c>
      <c r="B558" s="42" t="s">
        <v>315</v>
      </c>
      <c r="C558" s="42" t="s">
        <v>264</v>
      </c>
      <c r="D558" s="42" t="s">
        <v>507</v>
      </c>
      <c r="E558" s="42" t="s">
        <v>324</v>
      </c>
      <c r="F558" s="7">
        <f>F559</f>
        <v>0</v>
      </c>
      <c r="G558" s="7">
        <f t="shared" si="219"/>
        <v>0</v>
      </c>
      <c r="H558" s="7">
        <f t="shared" si="219"/>
        <v>0</v>
      </c>
      <c r="I558" s="7">
        <f t="shared" si="219"/>
        <v>0</v>
      </c>
      <c r="J558" s="7">
        <f t="shared" si="219"/>
        <v>0</v>
      </c>
      <c r="K558" s="7">
        <f t="shared" si="219"/>
        <v>0</v>
      </c>
      <c r="L558" s="7">
        <f t="shared" si="219"/>
        <v>0</v>
      </c>
      <c r="M558" s="7" t="e">
        <f t="shared" si="207"/>
        <v>#DIV/0!</v>
      </c>
    </row>
    <row r="559" spans="1:13" ht="15.75" customHeight="1" hidden="1">
      <c r="A559" s="31" t="s">
        <v>325</v>
      </c>
      <c r="B559" s="42" t="s">
        <v>315</v>
      </c>
      <c r="C559" s="42" t="s">
        <v>264</v>
      </c>
      <c r="D559" s="42" t="s">
        <v>507</v>
      </c>
      <c r="E559" s="42" t="s">
        <v>326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 t="e">
        <f t="shared" si="207"/>
        <v>#DIV/0!</v>
      </c>
    </row>
    <row r="560" spans="1:13" ht="31.5">
      <c r="A560" s="31" t="s">
        <v>508</v>
      </c>
      <c r="B560" s="42" t="s">
        <v>315</v>
      </c>
      <c r="C560" s="42" t="s">
        <v>264</v>
      </c>
      <c r="D560" s="42" t="s">
        <v>509</v>
      </c>
      <c r="E560" s="42"/>
      <c r="F560" s="7" t="e">
        <f>F561</f>
        <v>#REF!</v>
      </c>
      <c r="G560" s="7" t="e">
        <f aca="true" t="shared" si="220" ref="G560:L561">G561</f>
        <v>#REF!</v>
      </c>
      <c r="H560" s="7" t="e">
        <f t="shared" si="220"/>
        <v>#REF!</v>
      </c>
      <c r="I560" s="7" t="e">
        <f t="shared" si="220"/>
        <v>#REF!</v>
      </c>
      <c r="J560" s="7" t="e">
        <f t="shared" si="220"/>
        <v>#REF!</v>
      </c>
      <c r="K560" s="7">
        <f t="shared" si="220"/>
        <v>1293.6</v>
      </c>
      <c r="L560" s="7">
        <f t="shared" si="220"/>
        <v>1293.1</v>
      </c>
      <c r="M560" s="7">
        <f t="shared" si="207"/>
        <v>99.96134817563389</v>
      </c>
    </row>
    <row r="561" spans="1:13" ht="47.25">
      <c r="A561" s="31" t="s">
        <v>323</v>
      </c>
      <c r="B561" s="42" t="s">
        <v>315</v>
      </c>
      <c r="C561" s="42" t="s">
        <v>264</v>
      </c>
      <c r="D561" s="42" t="s">
        <v>509</v>
      </c>
      <c r="E561" s="42" t="s">
        <v>324</v>
      </c>
      <c r="F561" s="7" t="e">
        <f>F562</f>
        <v>#REF!</v>
      </c>
      <c r="G561" s="7" t="e">
        <f t="shared" si="220"/>
        <v>#REF!</v>
      </c>
      <c r="H561" s="7" t="e">
        <f t="shared" si="220"/>
        <v>#REF!</v>
      </c>
      <c r="I561" s="7" t="e">
        <f t="shared" si="220"/>
        <v>#REF!</v>
      </c>
      <c r="J561" s="7" t="e">
        <f t="shared" si="220"/>
        <v>#REF!</v>
      </c>
      <c r="K561" s="7">
        <f t="shared" si="220"/>
        <v>1293.6</v>
      </c>
      <c r="L561" s="7">
        <f t="shared" si="220"/>
        <v>1293.1</v>
      </c>
      <c r="M561" s="7">
        <f t="shared" si="207"/>
        <v>99.96134817563389</v>
      </c>
    </row>
    <row r="562" spans="1:13" ht="15.75">
      <c r="A562" s="31" t="s">
        <v>325</v>
      </c>
      <c r="B562" s="42" t="s">
        <v>315</v>
      </c>
      <c r="C562" s="42" t="s">
        <v>264</v>
      </c>
      <c r="D562" s="42" t="s">
        <v>509</v>
      </c>
      <c r="E562" s="42" t="s">
        <v>326</v>
      </c>
      <c r="F562" s="7" t="e">
        <f>#REF!</f>
        <v>#REF!</v>
      </c>
      <c r="G562" s="7" t="e">
        <f>#REF!</f>
        <v>#REF!</v>
      </c>
      <c r="H562" s="7" t="e">
        <f>#REF!</f>
        <v>#REF!</v>
      </c>
      <c r="I562" s="7" t="e">
        <f>#REF!</f>
        <v>#REF!</v>
      </c>
      <c r="J562" s="7" t="e">
        <f>#REF!</f>
        <v>#REF!</v>
      </c>
      <c r="K562" s="7">
        <f>'Прил.№4 ведомств.'!G699</f>
        <v>1293.6</v>
      </c>
      <c r="L562" s="7">
        <f>'Прил.№4 ведомств.'!H699</f>
        <v>1293.1</v>
      </c>
      <c r="M562" s="7">
        <f t="shared" si="207"/>
        <v>99.96134817563389</v>
      </c>
    </row>
    <row r="563" spans="1:13" ht="47.25">
      <c r="A563" s="26" t="s">
        <v>510</v>
      </c>
      <c r="B563" s="42" t="s">
        <v>315</v>
      </c>
      <c r="C563" s="42" t="s">
        <v>264</v>
      </c>
      <c r="D563" s="42" t="s">
        <v>511</v>
      </c>
      <c r="E563" s="42"/>
      <c r="F563" s="7" t="e">
        <f>F564</f>
        <v>#REF!</v>
      </c>
      <c r="G563" s="7" t="e">
        <f aca="true" t="shared" si="221" ref="G563:L564">G564</f>
        <v>#REF!</v>
      </c>
      <c r="H563" s="7" t="e">
        <f t="shared" si="221"/>
        <v>#REF!</v>
      </c>
      <c r="I563" s="7" t="e">
        <f t="shared" si="221"/>
        <v>#REF!</v>
      </c>
      <c r="J563" s="7" t="e">
        <f t="shared" si="221"/>
        <v>#REF!</v>
      </c>
      <c r="K563" s="7">
        <f t="shared" si="221"/>
        <v>496.7</v>
      </c>
      <c r="L563" s="7">
        <f t="shared" si="221"/>
        <v>496.7</v>
      </c>
      <c r="M563" s="7">
        <f t="shared" si="207"/>
        <v>100</v>
      </c>
    </row>
    <row r="564" spans="1:13" ht="47.25">
      <c r="A564" s="26" t="s">
        <v>323</v>
      </c>
      <c r="B564" s="42" t="s">
        <v>315</v>
      </c>
      <c r="C564" s="42" t="s">
        <v>264</v>
      </c>
      <c r="D564" s="42" t="s">
        <v>511</v>
      </c>
      <c r="E564" s="42" t="s">
        <v>324</v>
      </c>
      <c r="F564" s="7" t="e">
        <f>F565</f>
        <v>#REF!</v>
      </c>
      <c r="G564" s="7" t="e">
        <f t="shared" si="221"/>
        <v>#REF!</v>
      </c>
      <c r="H564" s="7" t="e">
        <f t="shared" si="221"/>
        <v>#REF!</v>
      </c>
      <c r="I564" s="7" t="e">
        <f t="shared" si="221"/>
        <v>#REF!</v>
      </c>
      <c r="J564" s="7" t="e">
        <f t="shared" si="221"/>
        <v>#REF!</v>
      </c>
      <c r="K564" s="7">
        <f t="shared" si="221"/>
        <v>496.7</v>
      </c>
      <c r="L564" s="7">
        <f t="shared" si="221"/>
        <v>496.7</v>
      </c>
      <c r="M564" s="7">
        <f t="shared" si="207"/>
        <v>100</v>
      </c>
    </row>
    <row r="565" spans="1:13" ht="15.75">
      <c r="A565" s="26" t="s">
        <v>325</v>
      </c>
      <c r="B565" s="42" t="s">
        <v>315</v>
      </c>
      <c r="C565" s="42" t="s">
        <v>264</v>
      </c>
      <c r="D565" s="42" t="s">
        <v>511</v>
      </c>
      <c r="E565" s="42" t="s">
        <v>326</v>
      </c>
      <c r="F565" s="7" t="e">
        <f>#REF!</f>
        <v>#REF!</v>
      </c>
      <c r="G565" s="7" t="e">
        <f>#REF!</f>
        <v>#REF!</v>
      </c>
      <c r="H565" s="7" t="e">
        <f>#REF!</f>
        <v>#REF!</v>
      </c>
      <c r="I565" s="7" t="e">
        <f>#REF!</f>
        <v>#REF!</v>
      </c>
      <c r="J565" s="7" t="e">
        <f>#REF!</f>
        <v>#REF!</v>
      </c>
      <c r="K565" s="7">
        <f>'Прил.№4 ведомств.'!G702</f>
        <v>496.7</v>
      </c>
      <c r="L565" s="7">
        <f>'Прил.№4 ведомств.'!H702</f>
        <v>496.7</v>
      </c>
      <c r="M565" s="7">
        <f t="shared" si="207"/>
        <v>100</v>
      </c>
    </row>
    <row r="566" spans="1:13" ht="78.75">
      <c r="A566" s="33" t="s">
        <v>512</v>
      </c>
      <c r="B566" s="42" t="s">
        <v>315</v>
      </c>
      <c r="C566" s="42" t="s">
        <v>264</v>
      </c>
      <c r="D566" s="42" t="s">
        <v>513</v>
      </c>
      <c r="E566" s="42"/>
      <c r="F566" s="7" t="e">
        <f>F567</f>
        <v>#REF!</v>
      </c>
      <c r="G566" s="7" t="e">
        <f aca="true" t="shared" si="222" ref="G566:L567">G567</f>
        <v>#REF!</v>
      </c>
      <c r="H566" s="7" t="e">
        <f t="shared" si="222"/>
        <v>#REF!</v>
      </c>
      <c r="I566" s="7" t="e">
        <f t="shared" si="222"/>
        <v>#REF!</v>
      </c>
      <c r="J566" s="7" t="e">
        <f t="shared" si="222"/>
        <v>#REF!</v>
      </c>
      <c r="K566" s="7">
        <f t="shared" si="222"/>
        <v>92211.5</v>
      </c>
      <c r="L566" s="7">
        <f t="shared" si="222"/>
        <v>91936.3</v>
      </c>
      <c r="M566" s="7">
        <f t="shared" si="207"/>
        <v>99.70155566279695</v>
      </c>
    </row>
    <row r="567" spans="1:13" ht="47.25">
      <c r="A567" s="31" t="s">
        <v>323</v>
      </c>
      <c r="B567" s="42" t="s">
        <v>315</v>
      </c>
      <c r="C567" s="42" t="s">
        <v>264</v>
      </c>
      <c r="D567" s="42" t="s">
        <v>513</v>
      </c>
      <c r="E567" s="42" t="s">
        <v>324</v>
      </c>
      <c r="F567" s="7" t="e">
        <f>F568</f>
        <v>#REF!</v>
      </c>
      <c r="G567" s="7" t="e">
        <f t="shared" si="222"/>
        <v>#REF!</v>
      </c>
      <c r="H567" s="7" t="e">
        <f t="shared" si="222"/>
        <v>#REF!</v>
      </c>
      <c r="I567" s="7" t="e">
        <f t="shared" si="222"/>
        <v>#REF!</v>
      </c>
      <c r="J567" s="7" t="e">
        <f t="shared" si="222"/>
        <v>#REF!</v>
      </c>
      <c r="K567" s="7">
        <f t="shared" si="222"/>
        <v>92211.5</v>
      </c>
      <c r="L567" s="7">
        <f t="shared" si="222"/>
        <v>91936.3</v>
      </c>
      <c r="M567" s="7">
        <f t="shared" si="207"/>
        <v>99.70155566279695</v>
      </c>
    </row>
    <row r="568" spans="1:13" ht="15.75">
      <c r="A568" s="31" t="s">
        <v>325</v>
      </c>
      <c r="B568" s="42" t="s">
        <v>315</v>
      </c>
      <c r="C568" s="42" t="s">
        <v>264</v>
      </c>
      <c r="D568" s="42" t="s">
        <v>513</v>
      </c>
      <c r="E568" s="42" t="s">
        <v>326</v>
      </c>
      <c r="F568" s="7" t="e">
        <f>#REF!</f>
        <v>#REF!</v>
      </c>
      <c r="G568" s="7" t="e">
        <f>#REF!</f>
        <v>#REF!</v>
      </c>
      <c r="H568" s="7" t="e">
        <f>#REF!</f>
        <v>#REF!</v>
      </c>
      <c r="I568" s="7" t="e">
        <f>#REF!</f>
        <v>#REF!</v>
      </c>
      <c r="J568" s="7" t="e">
        <f>#REF!</f>
        <v>#REF!</v>
      </c>
      <c r="K568" s="7">
        <f>'Прил.№4 ведомств.'!G705</f>
        <v>92211.5</v>
      </c>
      <c r="L568" s="7">
        <f>'Прил.№4 ведомств.'!H705</f>
        <v>91936.3</v>
      </c>
      <c r="M568" s="7">
        <f t="shared" si="207"/>
        <v>99.70155566279695</v>
      </c>
    </row>
    <row r="569" spans="1:13" ht="63">
      <c r="A569" s="47" t="s">
        <v>340</v>
      </c>
      <c r="B569" s="42" t="s">
        <v>315</v>
      </c>
      <c r="C569" s="42" t="s">
        <v>264</v>
      </c>
      <c r="D569" s="42" t="s">
        <v>341</v>
      </c>
      <c r="E569" s="42"/>
      <c r="F569" s="7" t="e">
        <f>F570</f>
        <v>#REF!</v>
      </c>
      <c r="G569" s="7" t="e">
        <f aca="true" t="shared" si="223" ref="G569:L570">G570</f>
        <v>#REF!</v>
      </c>
      <c r="H569" s="7" t="e">
        <f t="shared" si="223"/>
        <v>#REF!</v>
      </c>
      <c r="I569" s="7" t="e">
        <f t="shared" si="223"/>
        <v>#REF!</v>
      </c>
      <c r="J569" s="7" t="e">
        <f t="shared" si="223"/>
        <v>#REF!</v>
      </c>
      <c r="K569" s="7">
        <f t="shared" si="223"/>
        <v>617.5000000000001</v>
      </c>
      <c r="L569" s="7">
        <f t="shared" si="223"/>
        <v>569.2</v>
      </c>
      <c r="M569" s="7">
        <f t="shared" si="207"/>
        <v>92.17813765182186</v>
      </c>
    </row>
    <row r="570" spans="1:13" ht="47.25">
      <c r="A570" s="31" t="s">
        <v>323</v>
      </c>
      <c r="B570" s="42" t="s">
        <v>315</v>
      </c>
      <c r="C570" s="42" t="s">
        <v>264</v>
      </c>
      <c r="D570" s="42" t="s">
        <v>341</v>
      </c>
      <c r="E570" s="42" t="s">
        <v>324</v>
      </c>
      <c r="F570" s="7" t="e">
        <f>F571</f>
        <v>#REF!</v>
      </c>
      <c r="G570" s="7" t="e">
        <f t="shared" si="223"/>
        <v>#REF!</v>
      </c>
      <c r="H570" s="7" t="e">
        <f t="shared" si="223"/>
        <v>#REF!</v>
      </c>
      <c r="I570" s="7" t="e">
        <f t="shared" si="223"/>
        <v>#REF!</v>
      </c>
      <c r="J570" s="7" t="e">
        <f t="shared" si="223"/>
        <v>#REF!</v>
      </c>
      <c r="K570" s="7">
        <f t="shared" si="223"/>
        <v>617.5000000000001</v>
      </c>
      <c r="L570" s="7">
        <f t="shared" si="223"/>
        <v>569.2</v>
      </c>
      <c r="M570" s="7">
        <f t="shared" si="207"/>
        <v>92.17813765182186</v>
      </c>
    </row>
    <row r="571" spans="1:13" ht="15.75">
      <c r="A571" s="31" t="s">
        <v>325</v>
      </c>
      <c r="B571" s="42" t="s">
        <v>315</v>
      </c>
      <c r="C571" s="42" t="s">
        <v>264</v>
      </c>
      <c r="D571" s="42" t="s">
        <v>341</v>
      </c>
      <c r="E571" s="42" t="s">
        <v>326</v>
      </c>
      <c r="F571" s="7" t="e">
        <f>#REF!</f>
        <v>#REF!</v>
      </c>
      <c r="G571" s="7" t="e">
        <f>#REF!</f>
        <v>#REF!</v>
      </c>
      <c r="H571" s="7" t="e">
        <f>#REF!</f>
        <v>#REF!</v>
      </c>
      <c r="I571" s="7" t="e">
        <f>#REF!</f>
        <v>#REF!</v>
      </c>
      <c r="J571" s="7" t="e">
        <f>#REF!</f>
        <v>#REF!</v>
      </c>
      <c r="K571" s="7">
        <f>'Прил.№4 ведомств.'!G708</f>
        <v>617.5000000000001</v>
      </c>
      <c r="L571" s="7">
        <f>'Прил.№4 ведомств.'!H708</f>
        <v>569.2</v>
      </c>
      <c r="M571" s="7">
        <f t="shared" si="207"/>
        <v>92.17813765182186</v>
      </c>
    </row>
    <row r="572" spans="1:13" ht="63">
      <c r="A572" s="47" t="s">
        <v>342</v>
      </c>
      <c r="B572" s="42" t="s">
        <v>315</v>
      </c>
      <c r="C572" s="42" t="s">
        <v>264</v>
      </c>
      <c r="D572" s="42" t="s">
        <v>343</v>
      </c>
      <c r="E572" s="42"/>
      <c r="F572" s="7" t="e">
        <f>F573</f>
        <v>#REF!</v>
      </c>
      <c r="G572" s="7" t="e">
        <f aca="true" t="shared" si="224" ref="G572:L573">G573</f>
        <v>#REF!</v>
      </c>
      <c r="H572" s="7" t="e">
        <f t="shared" si="224"/>
        <v>#REF!</v>
      </c>
      <c r="I572" s="7" t="e">
        <f t="shared" si="224"/>
        <v>#REF!</v>
      </c>
      <c r="J572" s="7" t="e">
        <f t="shared" si="224"/>
        <v>#REF!</v>
      </c>
      <c r="K572" s="7">
        <f t="shared" si="224"/>
        <v>2153.8</v>
      </c>
      <c r="L572" s="7">
        <f t="shared" si="224"/>
        <v>2110.7</v>
      </c>
      <c r="M572" s="7">
        <f t="shared" si="207"/>
        <v>97.99888569040763</v>
      </c>
    </row>
    <row r="573" spans="1:13" ht="47.25">
      <c r="A573" s="31" t="s">
        <v>323</v>
      </c>
      <c r="B573" s="42" t="s">
        <v>315</v>
      </c>
      <c r="C573" s="42" t="s">
        <v>264</v>
      </c>
      <c r="D573" s="42" t="s">
        <v>343</v>
      </c>
      <c r="E573" s="42" t="s">
        <v>324</v>
      </c>
      <c r="F573" s="7" t="e">
        <f>F574</f>
        <v>#REF!</v>
      </c>
      <c r="G573" s="7" t="e">
        <f t="shared" si="224"/>
        <v>#REF!</v>
      </c>
      <c r="H573" s="7" t="e">
        <f t="shared" si="224"/>
        <v>#REF!</v>
      </c>
      <c r="I573" s="7" t="e">
        <f t="shared" si="224"/>
        <v>#REF!</v>
      </c>
      <c r="J573" s="7" t="e">
        <f t="shared" si="224"/>
        <v>#REF!</v>
      </c>
      <c r="K573" s="7">
        <f t="shared" si="224"/>
        <v>2153.8</v>
      </c>
      <c r="L573" s="7">
        <f t="shared" si="224"/>
        <v>2110.7</v>
      </c>
      <c r="M573" s="7">
        <f t="shared" si="207"/>
        <v>97.99888569040763</v>
      </c>
    </row>
    <row r="574" spans="1:13" ht="15.75">
      <c r="A574" s="31" t="s">
        <v>325</v>
      </c>
      <c r="B574" s="42" t="s">
        <v>315</v>
      </c>
      <c r="C574" s="42" t="s">
        <v>264</v>
      </c>
      <c r="D574" s="42" t="s">
        <v>343</v>
      </c>
      <c r="E574" s="42" t="s">
        <v>326</v>
      </c>
      <c r="F574" s="7" t="e">
        <f>#REF!</f>
        <v>#REF!</v>
      </c>
      <c r="G574" s="7" t="e">
        <f>#REF!</f>
        <v>#REF!</v>
      </c>
      <c r="H574" s="7" t="e">
        <f>#REF!</f>
        <v>#REF!</v>
      </c>
      <c r="I574" s="7" t="e">
        <f>#REF!</f>
        <v>#REF!</v>
      </c>
      <c r="J574" s="7" t="e">
        <f>#REF!</f>
        <v>#REF!</v>
      </c>
      <c r="K574" s="7">
        <f>'Прил.№4 ведомств.'!G711</f>
        <v>2153.8</v>
      </c>
      <c r="L574" s="7">
        <f>'Прил.№4 ведомств.'!H711</f>
        <v>2110.7</v>
      </c>
      <c r="M574" s="7">
        <f t="shared" si="207"/>
        <v>97.99888569040763</v>
      </c>
    </row>
    <row r="575" spans="1:13" ht="47.25">
      <c r="A575" s="33" t="s">
        <v>514</v>
      </c>
      <c r="B575" s="42" t="s">
        <v>315</v>
      </c>
      <c r="C575" s="42" t="s">
        <v>264</v>
      </c>
      <c r="D575" s="42" t="s">
        <v>515</v>
      </c>
      <c r="E575" s="42"/>
      <c r="F575" s="7" t="e">
        <f>F576</f>
        <v>#REF!</v>
      </c>
      <c r="G575" s="7" t="e">
        <f aca="true" t="shared" si="225" ref="G575:L576">G576</f>
        <v>#REF!</v>
      </c>
      <c r="H575" s="7" t="e">
        <f t="shared" si="225"/>
        <v>#REF!</v>
      </c>
      <c r="I575" s="7" t="e">
        <f t="shared" si="225"/>
        <v>#REF!</v>
      </c>
      <c r="J575" s="7" t="e">
        <f t="shared" si="225"/>
        <v>#REF!</v>
      </c>
      <c r="K575" s="7">
        <f t="shared" si="225"/>
        <v>966.3</v>
      </c>
      <c r="L575" s="7">
        <f t="shared" si="225"/>
        <v>891.1</v>
      </c>
      <c r="M575" s="7">
        <f t="shared" si="207"/>
        <v>92.21773776259961</v>
      </c>
    </row>
    <row r="576" spans="1:13" ht="47.25">
      <c r="A576" s="31" t="s">
        <v>323</v>
      </c>
      <c r="B576" s="42" t="s">
        <v>315</v>
      </c>
      <c r="C576" s="42" t="s">
        <v>264</v>
      </c>
      <c r="D576" s="42" t="s">
        <v>515</v>
      </c>
      <c r="E576" s="42" t="s">
        <v>324</v>
      </c>
      <c r="F576" s="7" t="e">
        <f>F577</f>
        <v>#REF!</v>
      </c>
      <c r="G576" s="7" t="e">
        <f t="shared" si="225"/>
        <v>#REF!</v>
      </c>
      <c r="H576" s="7" t="e">
        <f t="shared" si="225"/>
        <v>#REF!</v>
      </c>
      <c r="I576" s="7" t="e">
        <f t="shared" si="225"/>
        <v>#REF!</v>
      </c>
      <c r="J576" s="7" t="e">
        <f t="shared" si="225"/>
        <v>#REF!</v>
      </c>
      <c r="K576" s="7">
        <f t="shared" si="225"/>
        <v>966.3</v>
      </c>
      <c r="L576" s="7">
        <f t="shared" si="225"/>
        <v>891.1</v>
      </c>
      <c r="M576" s="7">
        <f t="shared" si="207"/>
        <v>92.21773776259961</v>
      </c>
    </row>
    <row r="577" spans="1:13" ht="15.75">
      <c r="A577" s="31" t="s">
        <v>325</v>
      </c>
      <c r="B577" s="42" t="s">
        <v>315</v>
      </c>
      <c r="C577" s="42" t="s">
        <v>264</v>
      </c>
      <c r="D577" s="42" t="s">
        <v>515</v>
      </c>
      <c r="E577" s="42" t="s">
        <v>326</v>
      </c>
      <c r="F577" s="7" t="e">
        <f>#REF!</f>
        <v>#REF!</v>
      </c>
      <c r="G577" s="7" t="e">
        <f>#REF!</f>
        <v>#REF!</v>
      </c>
      <c r="H577" s="7" t="e">
        <f>#REF!</f>
        <v>#REF!</v>
      </c>
      <c r="I577" s="7" t="e">
        <f>#REF!</f>
        <v>#REF!</v>
      </c>
      <c r="J577" s="7" t="e">
        <f>#REF!</f>
        <v>#REF!</v>
      </c>
      <c r="K577" s="7">
        <f>'Прил.№4 ведомств.'!G714</f>
        <v>966.3</v>
      </c>
      <c r="L577" s="7">
        <f>'Прил.№4 ведомств.'!H714</f>
        <v>891.1</v>
      </c>
      <c r="M577" s="7">
        <f t="shared" si="207"/>
        <v>92.21773776259961</v>
      </c>
    </row>
    <row r="578" spans="1:13" ht="94.5">
      <c r="A578" s="47" t="s">
        <v>344</v>
      </c>
      <c r="B578" s="42" t="s">
        <v>315</v>
      </c>
      <c r="C578" s="42" t="s">
        <v>264</v>
      </c>
      <c r="D578" s="21" t="s">
        <v>345</v>
      </c>
      <c r="E578" s="42"/>
      <c r="F578" s="7" t="e">
        <f>F579</f>
        <v>#REF!</v>
      </c>
      <c r="G578" s="7" t="e">
        <f aca="true" t="shared" si="226" ref="G578:L579">G579</f>
        <v>#REF!</v>
      </c>
      <c r="H578" s="7" t="e">
        <f t="shared" si="226"/>
        <v>#REF!</v>
      </c>
      <c r="I578" s="7" t="e">
        <f t="shared" si="226"/>
        <v>#REF!</v>
      </c>
      <c r="J578" s="7" t="e">
        <f t="shared" si="226"/>
        <v>#REF!</v>
      </c>
      <c r="K578" s="7">
        <f t="shared" si="226"/>
        <v>4294.7</v>
      </c>
      <c r="L578" s="7">
        <f t="shared" si="226"/>
        <v>4294.7</v>
      </c>
      <c r="M578" s="7">
        <f t="shared" si="207"/>
        <v>100</v>
      </c>
    </row>
    <row r="579" spans="1:13" ht="47.25">
      <c r="A579" s="31" t="s">
        <v>323</v>
      </c>
      <c r="B579" s="42" t="s">
        <v>315</v>
      </c>
      <c r="C579" s="42" t="s">
        <v>264</v>
      </c>
      <c r="D579" s="21" t="s">
        <v>345</v>
      </c>
      <c r="E579" s="42" t="s">
        <v>324</v>
      </c>
      <c r="F579" s="7" t="e">
        <f>F580</f>
        <v>#REF!</v>
      </c>
      <c r="G579" s="7" t="e">
        <f t="shared" si="226"/>
        <v>#REF!</v>
      </c>
      <c r="H579" s="7" t="e">
        <f t="shared" si="226"/>
        <v>#REF!</v>
      </c>
      <c r="I579" s="7" t="e">
        <f t="shared" si="226"/>
        <v>#REF!</v>
      </c>
      <c r="J579" s="7" t="e">
        <f t="shared" si="226"/>
        <v>#REF!</v>
      </c>
      <c r="K579" s="7">
        <f t="shared" si="226"/>
        <v>4294.7</v>
      </c>
      <c r="L579" s="7">
        <f t="shared" si="226"/>
        <v>4294.7</v>
      </c>
      <c r="M579" s="7">
        <f t="shared" si="207"/>
        <v>100</v>
      </c>
    </row>
    <row r="580" spans="1:13" ht="15.75">
      <c r="A580" s="31" t="s">
        <v>325</v>
      </c>
      <c r="B580" s="42" t="s">
        <v>315</v>
      </c>
      <c r="C580" s="42" t="s">
        <v>264</v>
      </c>
      <c r="D580" s="21" t="s">
        <v>345</v>
      </c>
      <c r="E580" s="42" t="s">
        <v>326</v>
      </c>
      <c r="F580" s="7" t="e">
        <f>#REF!</f>
        <v>#REF!</v>
      </c>
      <c r="G580" s="7" t="e">
        <f>#REF!</f>
        <v>#REF!</v>
      </c>
      <c r="H580" s="7" t="e">
        <f>#REF!</f>
        <v>#REF!</v>
      </c>
      <c r="I580" s="7" t="e">
        <f>#REF!</f>
        <v>#REF!</v>
      </c>
      <c r="J580" s="7" t="e">
        <f>#REF!</f>
        <v>#REF!</v>
      </c>
      <c r="K580" s="7">
        <f>'Прил.№4 ведомств.'!G717</f>
        <v>4294.7</v>
      </c>
      <c r="L580" s="7">
        <f>'Прил.№4 ведомств.'!H717</f>
        <v>4294.7</v>
      </c>
      <c r="M580" s="7">
        <f t="shared" si="207"/>
        <v>100</v>
      </c>
    </row>
    <row r="581" spans="1:13" ht="15.75">
      <c r="A581" s="43" t="s">
        <v>316</v>
      </c>
      <c r="B581" s="8" t="s">
        <v>315</v>
      </c>
      <c r="C581" s="8" t="s">
        <v>266</v>
      </c>
      <c r="D581" s="25"/>
      <c r="E581" s="8"/>
      <c r="F581" s="4" t="e">
        <f aca="true" t="shared" si="227" ref="F581:L581">F582+F594+F614+F640</f>
        <v>#REF!</v>
      </c>
      <c r="G581" s="4" t="e">
        <f t="shared" si="227"/>
        <v>#REF!</v>
      </c>
      <c r="H581" s="4" t="e">
        <f t="shared" si="227"/>
        <v>#REF!</v>
      </c>
      <c r="I581" s="4" t="e">
        <f t="shared" si="227"/>
        <v>#REF!</v>
      </c>
      <c r="J581" s="4" t="e">
        <f t="shared" si="227"/>
        <v>#REF!</v>
      </c>
      <c r="K581" s="4">
        <f t="shared" si="227"/>
        <v>60817.00000000001</v>
      </c>
      <c r="L581" s="4">
        <f t="shared" si="227"/>
        <v>60316</v>
      </c>
      <c r="M581" s="4">
        <f t="shared" si="207"/>
        <v>99.17621717611851</v>
      </c>
    </row>
    <row r="582" spans="1:17" ht="47.25">
      <c r="A582" s="26" t="s">
        <v>478</v>
      </c>
      <c r="B582" s="42" t="s">
        <v>315</v>
      </c>
      <c r="C582" s="42" t="s">
        <v>266</v>
      </c>
      <c r="D582" s="21" t="s">
        <v>458</v>
      </c>
      <c r="E582" s="42"/>
      <c r="F582" s="7" t="e">
        <f aca="true" t="shared" si="228" ref="F582:L582">F583+F587</f>
        <v>#REF!</v>
      </c>
      <c r="G582" s="7" t="e">
        <f t="shared" si="228"/>
        <v>#REF!</v>
      </c>
      <c r="H582" s="7" t="e">
        <f t="shared" si="228"/>
        <v>#REF!</v>
      </c>
      <c r="I582" s="7" t="e">
        <f t="shared" si="228"/>
        <v>#REF!</v>
      </c>
      <c r="J582" s="7" t="e">
        <f t="shared" si="228"/>
        <v>#REF!</v>
      </c>
      <c r="K582" s="7">
        <f t="shared" si="228"/>
        <v>31812.7</v>
      </c>
      <c r="L582" s="7">
        <f t="shared" si="228"/>
        <v>31812.6</v>
      </c>
      <c r="M582" s="7">
        <f t="shared" si="207"/>
        <v>99.99968566012943</v>
      </c>
      <c r="Q582" s="23"/>
    </row>
    <row r="583" spans="1:17" ht="31.5">
      <c r="A583" s="26" t="s">
        <v>459</v>
      </c>
      <c r="B583" s="42" t="s">
        <v>315</v>
      </c>
      <c r="C583" s="42" t="s">
        <v>266</v>
      </c>
      <c r="D583" s="21" t="s">
        <v>460</v>
      </c>
      <c r="E583" s="42"/>
      <c r="F583" s="7" t="e">
        <f>F584</f>
        <v>#REF!</v>
      </c>
      <c r="G583" s="7" t="e">
        <f aca="true" t="shared" si="229" ref="G583:L585">G584</f>
        <v>#REF!</v>
      </c>
      <c r="H583" s="7" t="e">
        <f t="shared" si="229"/>
        <v>#REF!</v>
      </c>
      <c r="I583" s="7" t="e">
        <f t="shared" si="229"/>
        <v>#REF!</v>
      </c>
      <c r="J583" s="7" t="e">
        <f t="shared" si="229"/>
        <v>#REF!</v>
      </c>
      <c r="K583" s="7">
        <f t="shared" si="229"/>
        <v>31066.5</v>
      </c>
      <c r="L583" s="7">
        <f t="shared" si="229"/>
        <v>31066.5</v>
      </c>
      <c r="M583" s="7">
        <f t="shared" si="207"/>
        <v>100</v>
      </c>
      <c r="Q583" s="23"/>
    </row>
    <row r="584" spans="1:13" ht="47.25">
      <c r="A584" s="26" t="s">
        <v>321</v>
      </c>
      <c r="B584" s="42" t="s">
        <v>315</v>
      </c>
      <c r="C584" s="42" t="s">
        <v>266</v>
      </c>
      <c r="D584" s="21" t="s">
        <v>481</v>
      </c>
      <c r="E584" s="42"/>
      <c r="F584" s="7" t="e">
        <f>F585</f>
        <v>#REF!</v>
      </c>
      <c r="G584" s="7" t="e">
        <f t="shared" si="229"/>
        <v>#REF!</v>
      </c>
      <c r="H584" s="7" t="e">
        <f t="shared" si="229"/>
        <v>#REF!</v>
      </c>
      <c r="I584" s="7" t="e">
        <f t="shared" si="229"/>
        <v>#REF!</v>
      </c>
      <c r="J584" s="7" t="e">
        <f t="shared" si="229"/>
        <v>#REF!</v>
      </c>
      <c r="K584" s="7">
        <f t="shared" si="229"/>
        <v>31066.5</v>
      </c>
      <c r="L584" s="7">
        <f t="shared" si="229"/>
        <v>31066.5</v>
      </c>
      <c r="M584" s="7">
        <f t="shared" si="207"/>
        <v>100</v>
      </c>
    </row>
    <row r="585" spans="1:13" ht="47.25">
      <c r="A585" s="26" t="s">
        <v>323</v>
      </c>
      <c r="B585" s="42" t="s">
        <v>315</v>
      </c>
      <c r="C585" s="42" t="s">
        <v>266</v>
      </c>
      <c r="D585" s="21" t="s">
        <v>481</v>
      </c>
      <c r="E585" s="42" t="s">
        <v>324</v>
      </c>
      <c r="F585" s="7" t="e">
        <f>F586</f>
        <v>#REF!</v>
      </c>
      <c r="G585" s="7" t="e">
        <f t="shared" si="229"/>
        <v>#REF!</v>
      </c>
      <c r="H585" s="7" t="e">
        <f t="shared" si="229"/>
        <v>#REF!</v>
      </c>
      <c r="I585" s="7" t="e">
        <f t="shared" si="229"/>
        <v>#REF!</v>
      </c>
      <c r="J585" s="7" t="e">
        <f t="shared" si="229"/>
        <v>#REF!</v>
      </c>
      <c r="K585" s="7">
        <f t="shared" si="229"/>
        <v>31066.5</v>
      </c>
      <c r="L585" s="7">
        <f t="shared" si="229"/>
        <v>31066.5</v>
      </c>
      <c r="M585" s="7">
        <f t="shared" si="207"/>
        <v>100</v>
      </c>
    </row>
    <row r="586" spans="1:13" ht="15.75">
      <c r="A586" s="26" t="s">
        <v>325</v>
      </c>
      <c r="B586" s="42" t="s">
        <v>315</v>
      </c>
      <c r="C586" s="42" t="s">
        <v>266</v>
      </c>
      <c r="D586" s="21" t="s">
        <v>481</v>
      </c>
      <c r="E586" s="42" t="s">
        <v>326</v>
      </c>
      <c r="F586" s="7" t="e">
        <f>#REF!</f>
        <v>#REF!</v>
      </c>
      <c r="G586" s="7" t="e">
        <f>#REF!</f>
        <v>#REF!</v>
      </c>
      <c r="H586" s="7" t="e">
        <f>#REF!</f>
        <v>#REF!</v>
      </c>
      <c r="I586" s="7" t="e">
        <f>#REF!</f>
        <v>#REF!</v>
      </c>
      <c r="J586" s="7" t="e">
        <f>#REF!</f>
        <v>#REF!</v>
      </c>
      <c r="K586" s="7">
        <f>'Прил.№4 ведомств.'!G723</f>
        <v>31066.5</v>
      </c>
      <c r="L586" s="7">
        <f>'Прил.№4 ведомств.'!H723</f>
        <v>31066.5</v>
      </c>
      <c r="M586" s="7">
        <f t="shared" si="207"/>
        <v>100</v>
      </c>
    </row>
    <row r="587" spans="1:13" ht="31.5">
      <c r="A587" s="33" t="s">
        <v>787</v>
      </c>
      <c r="B587" s="42" t="s">
        <v>315</v>
      </c>
      <c r="C587" s="42" t="s">
        <v>266</v>
      </c>
      <c r="D587" s="21" t="s">
        <v>499</v>
      </c>
      <c r="E587" s="42"/>
      <c r="F587" s="7" t="e">
        <f aca="true" t="shared" si="230" ref="F587:L587">F588+F591</f>
        <v>#REF!</v>
      </c>
      <c r="G587" s="7" t="e">
        <f t="shared" si="230"/>
        <v>#REF!</v>
      </c>
      <c r="H587" s="7" t="e">
        <f t="shared" si="230"/>
        <v>#REF!</v>
      </c>
      <c r="I587" s="7" t="e">
        <f t="shared" si="230"/>
        <v>#REF!</v>
      </c>
      <c r="J587" s="7" t="e">
        <f t="shared" si="230"/>
        <v>#REF!</v>
      </c>
      <c r="K587" s="7">
        <f t="shared" si="230"/>
        <v>746.2</v>
      </c>
      <c r="L587" s="7">
        <f t="shared" si="230"/>
        <v>746.1</v>
      </c>
      <c r="M587" s="7">
        <f t="shared" si="207"/>
        <v>99.98659876708656</v>
      </c>
    </row>
    <row r="588" spans="1:13" ht="31.5" hidden="1">
      <c r="A588" s="47" t="s">
        <v>788</v>
      </c>
      <c r="B588" s="42" t="s">
        <v>315</v>
      </c>
      <c r="C588" s="42" t="s">
        <v>266</v>
      </c>
      <c r="D588" s="21" t="s">
        <v>789</v>
      </c>
      <c r="E588" s="42"/>
      <c r="F588" s="7" t="e">
        <f>F589</f>
        <v>#REF!</v>
      </c>
      <c r="G588" s="7" t="e">
        <f aca="true" t="shared" si="231" ref="G588:L589">G589</f>
        <v>#REF!</v>
      </c>
      <c r="H588" s="7" t="e">
        <f t="shared" si="231"/>
        <v>#REF!</v>
      </c>
      <c r="I588" s="7" t="e">
        <f t="shared" si="231"/>
        <v>#REF!</v>
      </c>
      <c r="J588" s="7" t="e">
        <f t="shared" si="231"/>
        <v>#REF!</v>
      </c>
      <c r="K588" s="7">
        <f t="shared" si="231"/>
        <v>0</v>
      </c>
      <c r="L588" s="7">
        <f t="shared" si="231"/>
        <v>0</v>
      </c>
      <c r="M588" s="7" t="e">
        <f aca="true" t="shared" si="232" ref="M588:M651">L588/K588*100</f>
        <v>#DIV/0!</v>
      </c>
    </row>
    <row r="589" spans="1:13" ht="47.25" hidden="1">
      <c r="A589" s="33" t="s">
        <v>323</v>
      </c>
      <c r="B589" s="42" t="s">
        <v>315</v>
      </c>
      <c r="C589" s="42" t="s">
        <v>266</v>
      </c>
      <c r="D589" s="21" t="s">
        <v>789</v>
      </c>
      <c r="E589" s="42" t="s">
        <v>324</v>
      </c>
      <c r="F589" s="7" t="e">
        <f>F590</f>
        <v>#REF!</v>
      </c>
      <c r="G589" s="7" t="e">
        <f t="shared" si="231"/>
        <v>#REF!</v>
      </c>
      <c r="H589" s="7" t="e">
        <f t="shared" si="231"/>
        <v>#REF!</v>
      </c>
      <c r="I589" s="7" t="e">
        <f t="shared" si="231"/>
        <v>#REF!</v>
      </c>
      <c r="J589" s="7" t="e">
        <f t="shared" si="231"/>
        <v>#REF!</v>
      </c>
      <c r="K589" s="7">
        <f t="shared" si="231"/>
        <v>0</v>
      </c>
      <c r="L589" s="7">
        <f t="shared" si="231"/>
        <v>0</v>
      </c>
      <c r="M589" s="7" t="e">
        <f t="shared" si="232"/>
        <v>#DIV/0!</v>
      </c>
    </row>
    <row r="590" spans="1:13" ht="15.75" hidden="1">
      <c r="A590" s="33" t="s">
        <v>325</v>
      </c>
      <c r="B590" s="42" t="s">
        <v>315</v>
      </c>
      <c r="C590" s="42" t="s">
        <v>266</v>
      </c>
      <c r="D590" s="21" t="s">
        <v>789</v>
      </c>
      <c r="E590" s="42" t="s">
        <v>326</v>
      </c>
      <c r="F590" s="7" t="e">
        <f>#REF!</f>
        <v>#REF!</v>
      </c>
      <c r="G590" s="7" t="e">
        <f>#REF!</f>
        <v>#REF!</v>
      </c>
      <c r="H590" s="7" t="e">
        <f>#REF!</f>
        <v>#REF!</v>
      </c>
      <c r="I590" s="7" t="e">
        <f>#REF!</f>
        <v>#REF!</v>
      </c>
      <c r="J590" s="7" t="e">
        <f>#REF!</f>
        <v>#REF!</v>
      </c>
      <c r="K590" s="7">
        <f>'Прил.№4 ведомств.'!G726</f>
        <v>0</v>
      </c>
      <c r="L590" s="7">
        <f>'Прил.№4 ведомств.'!H726</f>
        <v>0</v>
      </c>
      <c r="M590" s="7" t="e">
        <f t="shared" si="232"/>
        <v>#DIV/0!</v>
      </c>
    </row>
    <row r="591" spans="1:13" ht="31.5">
      <c r="A591" s="47" t="s">
        <v>857</v>
      </c>
      <c r="B591" s="42" t="s">
        <v>315</v>
      </c>
      <c r="C591" s="42" t="s">
        <v>266</v>
      </c>
      <c r="D591" s="21" t="s">
        <v>858</v>
      </c>
      <c r="E591" s="42"/>
      <c r="F591" s="7" t="e">
        <f>F592</f>
        <v>#REF!</v>
      </c>
      <c r="G591" s="7" t="e">
        <f aca="true" t="shared" si="233" ref="G591:L592">G592</f>
        <v>#REF!</v>
      </c>
      <c r="H591" s="7" t="e">
        <f t="shared" si="233"/>
        <v>#REF!</v>
      </c>
      <c r="I591" s="7" t="e">
        <f t="shared" si="233"/>
        <v>#REF!</v>
      </c>
      <c r="J591" s="7" t="e">
        <f t="shared" si="233"/>
        <v>#REF!</v>
      </c>
      <c r="K591" s="7">
        <f t="shared" si="233"/>
        <v>746.2</v>
      </c>
      <c r="L591" s="7">
        <f t="shared" si="233"/>
        <v>746.1</v>
      </c>
      <c r="M591" s="7">
        <f t="shared" si="232"/>
        <v>99.98659876708656</v>
      </c>
    </row>
    <row r="592" spans="1:13" ht="47.25">
      <c r="A592" s="33" t="s">
        <v>323</v>
      </c>
      <c r="B592" s="42" t="s">
        <v>315</v>
      </c>
      <c r="C592" s="42" t="s">
        <v>266</v>
      </c>
      <c r="D592" s="21" t="s">
        <v>858</v>
      </c>
      <c r="E592" s="42" t="s">
        <v>324</v>
      </c>
      <c r="F592" s="7" t="e">
        <f>F593</f>
        <v>#REF!</v>
      </c>
      <c r="G592" s="7" t="e">
        <f t="shared" si="233"/>
        <v>#REF!</v>
      </c>
      <c r="H592" s="7" t="e">
        <f t="shared" si="233"/>
        <v>#REF!</v>
      </c>
      <c r="I592" s="7" t="e">
        <f t="shared" si="233"/>
        <v>#REF!</v>
      </c>
      <c r="J592" s="7" t="e">
        <f t="shared" si="233"/>
        <v>#REF!</v>
      </c>
      <c r="K592" s="7">
        <f t="shared" si="233"/>
        <v>746.2</v>
      </c>
      <c r="L592" s="7">
        <f t="shared" si="233"/>
        <v>746.1</v>
      </c>
      <c r="M592" s="7">
        <f t="shared" si="232"/>
        <v>99.98659876708656</v>
      </c>
    </row>
    <row r="593" spans="1:13" ht="15.75">
      <c r="A593" s="33" t="s">
        <v>325</v>
      </c>
      <c r="B593" s="42" t="s">
        <v>315</v>
      </c>
      <c r="C593" s="42" t="s">
        <v>266</v>
      </c>
      <c r="D593" s="21" t="s">
        <v>858</v>
      </c>
      <c r="E593" s="42" t="s">
        <v>326</v>
      </c>
      <c r="F593" s="7" t="e">
        <f>#REF!</f>
        <v>#REF!</v>
      </c>
      <c r="G593" s="7" t="e">
        <f>#REF!</f>
        <v>#REF!</v>
      </c>
      <c r="H593" s="7" t="e">
        <f>#REF!</f>
        <v>#REF!</v>
      </c>
      <c r="I593" s="7" t="e">
        <f>#REF!</f>
        <v>#REF!</v>
      </c>
      <c r="J593" s="7" t="e">
        <f>#REF!</f>
        <v>#REF!</v>
      </c>
      <c r="K593" s="7">
        <f>'Прил.№4 ведомств.'!G730</f>
        <v>746.2</v>
      </c>
      <c r="L593" s="7">
        <f>'Прил.№4 ведомств.'!H730</f>
        <v>746.1</v>
      </c>
      <c r="M593" s="7">
        <f t="shared" si="232"/>
        <v>99.98659876708656</v>
      </c>
    </row>
    <row r="594" spans="1:13" ht="47.25">
      <c r="A594" s="26" t="s">
        <v>533</v>
      </c>
      <c r="B594" s="42" t="s">
        <v>315</v>
      </c>
      <c r="C594" s="42" t="s">
        <v>266</v>
      </c>
      <c r="D594" s="21" t="s">
        <v>534</v>
      </c>
      <c r="E594" s="42"/>
      <c r="F594" s="7" t="e">
        <f>F595</f>
        <v>#REF!</v>
      </c>
      <c r="G594" s="7" t="e">
        <f aca="true" t="shared" si="234" ref="G594:L594">G595</f>
        <v>#REF!</v>
      </c>
      <c r="H594" s="7" t="e">
        <f t="shared" si="234"/>
        <v>#REF!</v>
      </c>
      <c r="I594" s="7" t="e">
        <f t="shared" si="234"/>
        <v>#REF!</v>
      </c>
      <c r="J594" s="7" t="e">
        <f t="shared" si="234"/>
        <v>#REF!</v>
      </c>
      <c r="K594" s="7">
        <f t="shared" si="234"/>
        <v>11772.2</v>
      </c>
      <c r="L594" s="7">
        <f t="shared" si="234"/>
        <v>11672.6</v>
      </c>
      <c r="M594" s="7">
        <f t="shared" si="232"/>
        <v>99.15393894089465</v>
      </c>
    </row>
    <row r="595" spans="1:13" ht="47.25">
      <c r="A595" s="26" t="s">
        <v>535</v>
      </c>
      <c r="B595" s="42" t="s">
        <v>315</v>
      </c>
      <c r="C595" s="42" t="s">
        <v>266</v>
      </c>
      <c r="D595" s="21" t="s">
        <v>536</v>
      </c>
      <c r="E595" s="42"/>
      <c r="F595" s="7" t="e">
        <f aca="true" t="shared" si="235" ref="F595:L595">F596+F605+F608+F611</f>
        <v>#REF!</v>
      </c>
      <c r="G595" s="7" t="e">
        <f t="shared" si="235"/>
        <v>#REF!</v>
      </c>
      <c r="H595" s="7" t="e">
        <f t="shared" si="235"/>
        <v>#REF!</v>
      </c>
      <c r="I595" s="7" t="e">
        <f t="shared" si="235"/>
        <v>#REF!</v>
      </c>
      <c r="J595" s="7" t="e">
        <f t="shared" si="235"/>
        <v>#REF!</v>
      </c>
      <c r="K595" s="7">
        <f t="shared" si="235"/>
        <v>11772.2</v>
      </c>
      <c r="L595" s="7">
        <f t="shared" si="235"/>
        <v>11672.6</v>
      </c>
      <c r="M595" s="7">
        <f t="shared" si="232"/>
        <v>99.15393894089465</v>
      </c>
    </row>
    <row r="596" spans="1:13" ht="47.25">
      <c r="A596" s="26" t="s">
        <v>321</v>
      </c>
      <c r="B596" s="42" t="s">
        <v>315</v>
      </c>
      <c r="C596" s="42" t="s">
        <v>266</v>
      </c>
      <c r="D596" s="21" t="s">
        <v>537</v>
      </c>
      <c r="E596" s="42"/>
      <c r="F596" s="7" t="e">
        <f>F597</f>
        <v>#REF!</v>
      </c>
      <c r="G596" s="7" t="e">
        <f aca="true" t="shared" si="236" ref="G596:L597">G597</f>
        <v>#REF!</v>
      </c>
      <c r="H596" s="7" t="e">
        <f t="shared" si="236"/>
        <v>#REF!</v>
      </c>
      <c r="I596" s="7" t="e">
        <f t="shared" si="236"/>
        <v>#REF!</v>
      </c>
      <c r="J596" s="7" t="e">
        <f t="shared" si="236"/>
        <v>#REF!</v>
      </c>
      <c r="K596" s="7">
        <f t="shared" si="236"/>
        <v>11421.1</v>
      </c>
      <c r="L596" s="7">
        <f t="shared" si="236"/>
        <v>11421.1</v>
      </c>
      <c r="M596" s="7">
        <f t="shared" si="232"/>
        <v>100</v>
      </c>
    </row>
    <row r="597" spans="1:13" ht="47.25">
      <c r="A597" s="26" t="s">
        <v>323</v>
      </c>
      <c r="B597" s="42" t="s">
        <v>315</v>
      </c>
      <c r="C597" s="42" t="s">
        <v>266</v>
      </c>
      <c r="D597" s="21" t="s">
        <v>537</v>
      </c>
      <c r="E597" s="42" t="s">
        <v>324</v>
      </c>
      <c r="F597" s="7" t="e">
        <f>F598</f>
        <v>#REF!</v>
      </c>
      <c r="G597" s="7" t="e">
        <f t="shared" si="236"/>
        <v>#REF!</v>
      </c>
      <c r="H597" s="7" t="e">
        <f t="shared" si="236"/>
        <v>#REF!</v>
      </c>
      <c r="I597" s="7" t="e">
        <f t="shared" si="236"/>
        <v>#REF!</v>
      </c>
      <c r="J597" s="7" t="e">
        <f t="shared" si="236"/>
        <v>#REF!</v>
      </c>
      <c r="K597" s="7">
        <f t="shared" si="236"/>
        <v>11421.1</v>
      </c>
      <c r="L597" s="7">
        <f t="shared" si="236"/>
        <v>11421.1</v>
      </c>
      <c r="M597" s="7">
        <f t="shared" si="232"/>
        <v>100</v>
      </c>
    </row>
    <row r="598" spans="1:13" ht="15.75">
      <c r="A598" s="26" t="s">
        <v>325</v>
      </c>
      <c r="B598" s="42" t="s">
        <v>315</v>
      </c>
      <c r="C598" s="42" t="s">
        <v>266</v>
      </c>
      <c r="D598" s="21" t="s">
        <v>537</v>
      </c>
      <c r="E598" s="42" t="s">
        <v>326</v>
      </c>
      <c r="F598" s="7" t="e">
        <f>#REF!</f>
        <v>#REF!</v>
      </c>
      <c r="G598" s="7" t="e">
        <f>#REF!</f>
        <v>#REF!</v>
      </c>
      <c r="H598" s="7" t="e">
        <f>#REF!</f>
        <v>#REF!</v>
      </c>
      <c r="I598" s="7" t="e">
        <f>#REF!</f>
        <v>#REF!</v>
      </c>
      <c r="J598" s="7" t="e">
        <f>#REF!</f>
        <v>#REF!</v>
      </c>
      <c r="K598" s="7">
        <f>'Прил.№4 ведомств.'!G795</f>
        <v>11421.1</v>
      </c>
      <c r="L598" s="7">
        <f>'Прил.№4 ведомств.'!H795</f>
        <v>11421.1</v>
      </c>
      <c r="M598" s="7">
        <f t="shared" si="232"/>
        <v>100</v>
      </c>
    </row>
    <row r="599" spans="1:13" ht="31.5" customHeight="1" hidden="1">
      <c r="A599" s="26" t="s">
        <v>329</v>
      </c>
      <c r="B599" s="42" t="s">
        <v>315</v>
      </c>
      <c r="C599" s="42" t="s">
        <v>266</v>
      </c>
      <c r="D599" s="21" t="s">
        <v>538</v>
      </c>
      <c r="E599" s="42"/>
      <c r="F599" s="7"/>
      <c r="G599" s="7"/>
      <c r="H599" s="7"/>
      <c r="I599" s="7"/>
      <c r="J599" s="7"/>
      <c r="K599" s="7"/>
      <c r="L599" s="7"/>
      <c r="M599" s="7" t="e">
        <f t="shared" si="232"/>
        <v>#DIV/0!</v>
      </c>
    </row>
    <row r="600" spans="1:13" ht="47.25" customHeight="1" hidden="1">
      <c r="A600" s="26" t="s">
        <v>323</v>
      </c>
      <c r="B600" s="42" t="s">
        <v>315</v>
      </c>
      <c r="C600" s="42" t="s">
        <v>266</v>
      </c>
      <c r="D600" s="21" t="s">
        <v>538</v>
      </c>
      <c r="E600" s="42"/>
      <c r="F600" s="7"/>
      <c r="G600" s="7"/>
      <c r="H600" s="7"/>
      <c r="I600" s="7"/>
      <c r="J600" s="7"/>
      <c r="K600" s="7"/>
      <c r="L600" s="7"/>
      <c r="M600" s="7" t="e">
        <f t="shared" si="232"/>
        <v>#DIV/0!</v>
      </c>
    </row>
    <row r="601" spans="1:13" ht="15.75" customHeight="1" hidden="1">
      <c r="A601" s="26" t="s">
        <v>325</v>
      </c>
      <c r="B601" s="42" t="s">
        <v>315</v>
      </c>
      <c r="C601" s="42" t="s">
        <v>266</v>
      </c>
      <c r="D601" s="21" t="s">
        <v>538</v>
      </c>
      <c r="E601" s="42"/>
      <c r="F601" s="7"/>
      <c r="G601" s="7"/>
      <c r="H601" s="7"/>
      <c r="I601" s="7"/>
      <c r="J601" s="7"/>
      <c r="K601" s="7"/>
      <c r="L601" s="7"/>
      <c r="M601" s="7" t="e">
        <f t="shared" si="232"/>
        <v>#DIV/0!</v>
      </c>
    </row>
    <row r="602" spans="1:13" ht="31.5" customHeight="1" hidden="1">
      <c r="A602" s="26" t="s">
        <v>331</v>
      </c>
      <c r="B602" s="42" t="s">
        <v>315</v>
      </c>
      <c r="C602" s="42" t="s">
        <v>266</v>
      </c>
      <c r="D602" s="21" t="s">
        <v>539</v>
      </c>
      <c r="E602" s="42"/>
      <c r="F602" s="7"/>
      <c r="G602" s="7"/>
      <c r="H602" s="7"/>
      <c r="I602" s="7"/>
      <c r="J602" s="7"/>
      <c r="K602" s="7"/>
      <c r="L602" s="7"/>
      <c r="M602" s="7" t="e">
        <f t="shared" si="232"/>
        <v>#DIV/0!</v>
      </c>
    </row>
    <row r="603" spans="1:13" ht="47.25" customHeight="1" hidden="1">
      <c r="A603" s="26" t="s">
        <v>323</v>
      </c>
      <c r="B603" s="42" t="s">
        <v>315</v>
      </c>
      <c r="C603" s="42" t="s">
        <v>266</v>
      </c>
      <c r="D603" s="21" t="s">
        <v>539</v>
      </c>
      <c r="E603" s="42"/>
      <c r="F603" s="7"/>
      <c r="G603" s="7"/>
      <c r="H603" s="7"/>
      <c r="I603" s="7"/>
      <c r="J603" s="7"/>
      <c r="K603" s="7"/>
      <c r="L603" s="7"/>
      <c r="M603" s="7" t="e">
        <f t="shared" si="232"/>
        <v>#DIV/0!</v>
      </c>
    </row>
    <row r="604" spans="1:13" ht="15.75" customHeight="1" hidden="1">
      <c r="A604" s="26" t="s">
        <v>325</v>
      </c>
      <c r="B604" s="42" t="s">
        <v>315</v>
      </c>
      <c r="C604" s="42" t="s">
        <v>266</v>
      </c>
      <c r="D604" s="21" t="s">
        <v>539</v>
      </c>
      <c r="E604" s="42"/>
      <c r="F604" s="7"/>
      <c r="G604" s="7"/>
      <c r="H604" s="7"/>
      <c r="I604" s="7"/>
      <c r="J604" s="7"/>
      <c r="K604" s="7"/>
      <c r="L604" s="7"/>
      <c r="M604" s="7" t="e">
        <f t="shared" si="232"/>
        <v>#DIV/0!</v>
      </c>
    </row>
    <row r="605" spans="1:13" ht="31.5">
      <c r="A605" s="26" t="s">
        <v>333</v>
      </c>
      <c r="B605" s="42" t="s">
        <v>315</v>
      </c>
      <c r="C605" s="42" t="s">
        <v>266</v>
      </c>
      <c r="D605" s="21" t="s">
        <v>540</v>
      </c>
      <c r="E605" s="42"/>
      <c r="F605" s="7" t="e">
        <f>F606</f>
        <v>#REF!</v>
      </c>
      <c r="G605" s="7" t="e">
        <f aca="true" t="shared" si="237" ref="G605:L606">G606</f>
        <v>#REF!</v>
      </c>
      <c r="H605" s="7" t="e">
        <f t="shared" si="237"/>
        <v>#REF!</v>
      </c>
      <c r="I605" s="7" t="e">
        <f t="shared" si="237"/>
        <v>#REF!</v>
      </c>
      <c r="J605" s="7" t="e">
        <f t="shared" si="237"/>
        <v>#REF!</v>
      </c>
      <c r="K605" s="7">
        <f t="shared" si="237"/>
        <v>36</v>
      </c>
      <c r="L605" s="7">
        <f t="shared" si="237"/>
        <v>36</v>
      </c>
      <c r="M605" s="7">
        <f t="shared" si="232"/>
        <v>100</v>
      </c>
    </row>
    <row r="606" spans="1:13" ht="47.25">
      <c r="A606" s="26" t="s">
        <v>323</v>
      </c>
      <c r="B606" s="42" t="s">
        <v>315</v>
      </c>
      <c r="C606" s="42" t="s">
        <v>266</v>
      </c>
      <c r="D606" s="21" t="s">
        <v>540</v>
      </c>
      <c r="E606" s="42" t="s">
        <v>324</v>
      </c>
      <c r="F606" s="7" t="e">
        <f>F607</f>
        <v>#REF!</v>
      </c>
      <c r="G606" s="7" t="e">
        <f t="shared" si="237"/>
        <v>#REF!</v>
      </c>
      <c r="H606" s="7" t="e">
        <f t="shared" si="237"/>
        <v>#REF!</v>
      </c>
      <c r="I606" s="7" t="e">
        <f t="shared" si="237"/>
        <v>#REF!</v>
      </c>
      <c r="J606" s="7" t="e">
        <f t="shared" si="237"/>
        <v>#REF!</v>
      </c>
      <c r="K606" s="7">
        <f t="shared" si="237"/>
        <v>36</v>
      </c>
      <c r="L606" s="7">
        <f t="shared" si="237"/>
        <v>36</v>
      </c>
      <c r="M606" s="7">
        <f t="shared" si="232"/>
        <v>100</v>
      </c>
    </row>
    <row r="607" spans="1:13" ht="15.75">
      <c r="A607" s="26" t="s">
        <v>325</v>
      </c>
      <c r="B607" s="42" t="s">
        <v>315</v>
      </c>
      <c r="C607" s="42" t="s">
        <v>266</v>
      </c>
      <c r="D607" s="21" t="s">
        <v>540</v>
      </c>
      <c r="E607" s="42" t="s">
        <v>326</v>
      </c>
      <c r="F607" s="7" t="e">
        <f>#REF!</f>
        <v>#REF!</v>
      </c>
      <c r="G607" s="7" t="e">
        <f>#REF!</f>
        <v>#REF!</v>
      </c>
      <c r="H607" s="7" t="e">
        <f>#REF!</f>
        <v>#REF!</v>
      </c>
      <c r="I607" s="7" t="e">
        <f>#REF!</f>
        <v>#REF!</v>
      </c>
      <c r="J607" s="7" t="e">
        <f>#REF!</f>
        <v>#REF!</v>
      </c>
      <c r="K607" s="7">
        <f>'Прил.№4 ведомств.'!G804</f>
        <v>36</v>
      </c>
      <c r="L607" s="7">
        <f>'Прил.№4 ведомств.'!H804</f>
        <v>36</v>
      </c>
      <c r="M607" s="7">
        <f t="shared" si="232"/>
        <v>100</v>
      </c>
    </row>
    <row r="608" spans="1:13" ht="31.5" hidden="1">
      <c r="A608" s="26" t="s">
        <v>335</v>
      </c>
      <c r="B608" s="42" t="s">
        <v>315</v>
      </c>
      <c r="C608" s="42" t="s">
        <v>266</v>
      </c>
      <c r="D608" s="21" t="s">
        <v>541</v>
      </c>
      <c r="E608" s="42"/>
      <c r="F608" s="7" t="e">
        <f>F609</f>
        <v>#REF!</v>
      </c>
      <c r="G608" s="7" t="e">
        <f aca="true" t="shared" si="238" ref="G608:L609">G609</f>
        <v>#REF!</v>
      </c>
      <c r="H608" s="7" t="e">
        <f t="shared" si="238"/>
        <v>#REF!</v>
      </c>
      <c r="I608" s="7" t="e">
        <f t="shared" si="238"/>
        <v>#REF!</v>
      </c>
      <c r="J608" s="7" t="e">
        <f t="shared" si="238"/>
        <v>#REF!</v>
      </c>
      <c r="K608" s="7">
        <f t="shared" si="238"/>
        <v>0</v>
      </c>
      <c r="L608" s="7">
        <f t="shared" si="238"/>
        <v>0</v>
      </c>
      <c r="M608" s="7" t="e">
        <f t="shared" si="232"/>
        <v>#DIV/0!</v>
      </c>
    </row>
    <row r="609" spans="1:13" ht="47.25" hidden="1">
      <c r="A609" s="26" t="s">
        <v>323</v>
      </c>
      <c r="B609" s="42" t="s">
        <v>315</v>
      </c>
      <c r="C609" s="42" t="s">
        <v>266</v>
      </c>
      <c r="D609" s="21" t="s">
        <v>541</v>
      </c>
      <c r="E609" s="42" t="s">
        <v>324</v>
      </c>
      <c r="F609" s="7" t="e">
        <f>F610</f>
        <v>#REF!</v>
      </c>
      <c r="G609" s="7" t="e">
        <f t="shared" si="238"/>
        <v>#REF!</v>
      </c>
      <c r="H609" s="7" t="e">
        <f t="shared" si="238"/>
        <v>#REF!</v>
      </c>
      <c r="I609" s="7" t="e">
        <f t="shared" si="238"/>
        <v>#REF!</v>
      </c>
      <c r="J609" s="7" t="e">
        <f t="shared" si="238"/>
        <v>#REF!</v>
      </c>
      <c r="K609" s="7">
        <f t="shared" si="238"/>
        <v>0</v>
      </c>
      <c r="L609" s="7">
        <f t="shared" si="238"/>
        <v>0</v>
      </c>
      <c r="M609" s="7" t="e">
        <f t="shared" si="232"/>
        <v>#DIV/0!</v>
      </c>
    </row>
    <row r="610" spans="1:13" ht="15.75" hidden="1">
      <c r="A610" s="26" t="s">
        <v>325</v>
      </c>
      <c r="B610" s="42" t="s">
        <v>315</v>
      </c>
      <c r="C610" s="42" t="s">
        <v>266</v>
      </c>
      <c r="D610" s="21" t="s">
        <v>541</v>
      </c>
      <c r="E610" s="42" t="s">
        <v>326</v>
      </c>
      <c r="F610" s="7" t="e">
        <f>#REF!</f>
        <v>#REF!</v>
      </c>
      <c r="G610" s="7" t="e">
        <f>#REF!</f>
        <v>#REF!</v>
      </c>
      <c r="H610" s="7" t="e">
        <f>#REF!</f>
        <v>#REF!</v>
      </c>
      <c r="I610" s="7" t="e">
        <f>#REF!</f>
        <v>#REF!</v>
      </c>
      <c r="J610" s="7" t="e">
        <f>#REF!</f>
        <v>#REF!</v>
      </c>
      <c r="K610" s="7">
        <f>'Прил.№4 ведомств.'!G807</f>
        <v>0</v>
      </c>
      <c r="L610" s="7">
        <f>'Прил.№4 ведомств.'!H807</f>
        <v>0</v>
      </c>
      <c r="M610" s="7" t="e">
        <f t="shared" si="232"/>
        <v>#DIV/0!</v>
      </c>
    </row>
    <row r="611" spans="1:13" ht="31.5">
      <c r="A611" s="47" t="s">
        <v>857</v>
      </c>
      <c r="B611" s="42" t="s">
        <v>315</v>
      </c>
      <c r="C611" s="42" t="s">
        <v>266</v>
      </c>
      <c r="D611" s="21" t="s">
        <v>864</v>
      </c>
      <c r="E611" s="42"/>
      <c r="F611" s="7" t="e">
        <f>F612</f>
        <v>#REF!</v>
      </c>
      <c r="G611" s="7" t="e">
        <f aca="true" t="shared" si="239" ref="G611:L612">G612</f>
        <v>#REF!</v>
      </c>
      <c r="H611" s="7" t="e">
        <f t="shared" si="239"/>
        <v>#REF!</v>
      </c>
      <c r="I611" s="7" t="e">
        <f t="shared" si="239"/>
        <v>#REF!</v>
      </c>
      <c r="J611" s="7" t="e">
        <f t="shared" si="239"/>
        <v>#REF!</v>
      </c>
      <c r="K611" s="7">
        <f t="shared" si="239"/>
        <v>315.1</v>
      </c>
      <c r="L611" s="7">
        <f t="shared" si="239"/>
        <v>215.5</v>
      </c>
      <c r="M611" s="7">
        <f t="shared" si="232"/>
        <v>68.3909869882577</v>
      </c>
    </row>
    <row r="612" spans="1:13" ht="47.25">
      <c r="A612" s="33" t="s">
        <v>323</v>
      </c>
      <c r="B612" s="42" t="s">
        <v>315</v>
      </c>
      <c r="C612" s="42" t="s">
        <v>266</v>
      </c>
      <c r="D612" s="21" t="s">
        <v>864</v>
      </c>
      <c r="E612" s="42" t="s">
        <v>324</v>
      </c>
      <c r="F612" s="7" t="e">
        <f>F613</f>
        <v>#REF!</v>
      </c>
      <c r="G612" s="7" t="e">
        <f t="shared" si="239"/>
        <v>#REF!</v>
      </c>
      <c r="H612" s="7" t="e">
        <f t="shared" si="239"/>
        <v>#REF!</v>
      </c>
      <c r="I612" s="7" t="e">
        <f t="shared" si="239"/>
        <v>#REF!</v>
      </c>
      <c r="J612" s="7" t="e">
        <f t="shared" si="239"/>
        <v>#REF!</v>
      </c>
      <c r="K612" s="7">
        <f t="shared" si="239"/>
        <v>315.1</v>
      </c>
      <c r="L612" s="7">
        <f t="shared" si="239"/>
        <v>215.5</v>
      </c>
      <c r="M612" s="7">
        <f t="shared" si="232"/>
        <v>68.3909869882577</v>
      </c>
    </row>
    <row r="613" spans="1:13" ht="15.75">
      <c r="A613" s="33" t="s">
        <v>325</v>
      </c>
      <c r="B613" s="42" t="s">
        <v>315</v>
      </c>
      <c r="C613" s="42" t="s">
        <v>266</v>
      </c>
      <c r="D613" s="21" t="s">
        <v>864</v>
      </c>
      <c r="E613" s="42" t="s">
        <v>326</v>
      </c>
      <c r="F613" s="7" t="e">
        <f>#REF!</f>
        <v>#REF!</v>
      </c>
      <c r="G613" s="7" t="e">
        <f>#REF!</f>
        <v>#REF!</v>
      </c>
      <c r="H613" s="7" t="e">
        <f>#REF!</f>
        <v>#REF!</v>
      </c>
      <c r="I613" s="7" t="e">
        <f>#REF!</f>
        <v>#REF!</v>
      </c>
      <c r="J613" s="7" t="e">
        <f>#REF!</f>
        <v>#REF!</v>
      </c>
      <c r="K613" s="7">
        <f>'Прил.№4 ведомств.'!G810</f>
        <v>315.1</v>
      </c>
      <c r="L613" s="7">
        <f>'Прил.№4 ведомств.'!H810</f>
        <v>215.5</v>
      </c>
      <c r="M613" s="7">
        <f t="shared" si="232"/>
        <v>68.3909869882577</v>
      </c>
    </row>
    <row r="614" spans="1:13" ht="31.5">
      <c r="A614" s="26" t="s">
        <v>317</v>
      </c>
      <c r="B614" s="42" t="s">
        <v>315</v>
      </c>
      <c r="C614" s="42" t="s">
        <v>266</v>
      </c>
      <c r="D614" s="21" t="s">
        <v>318</v>
      </c>
      <c r="E614" s="42"/>
      <c r="F614" s="7" t="e">
        <f>F615</f>
        <v>#REF!</v>
      </c>
      <c r="G614" s="7" t="e">
        <f aca="true" t="shared" si="240" ref="G614:L614">G615</f>
        <v>#REF!</v>
      </c>
      <c r="H614" s="7" t="e">
        <f t="shared" si="240"/>
        <v>#REF!</v>
      </c>
      <c r="I614" s="7" t="e">
        <f t="shared" si="240"/>
        <v>#REF!</v>
      </c>
      <c r="J614" s="7" t="e">
        <f t="shared" si="240"/>
        <v>#REF!</v>
      </c>
      <c r="K614" s="7">
        <f t="shared" si="240"/>
        <v>14160.2</v>
      </c>
      <c r="L614" s="7">
        <f t="shared" si="240"/>
        <v>14120.300000000001</v>
      </c>
      <c r="M614" s="7">
        <f t="shared" si="232"/>
        <v>99.71822431886555</v>
      </c>
    </row>
    <row r="615" spans="1:13" ht="47.25">
      <c r="A615" s="26" t="s">
        <v>319</v>
      </c>
      <c r="B615" s="42" t="s">
        <v>315</v>
      </c>
      <c r="C615" s="42" t="s">
        <v>266</v>
      </c>
      <c r="D615" s="21" t="s">
        <v>320</v>
      </c>
      <c r="E615" s="42"/>
      <c r="F615" s="7" t="e">
        <f>F616+F628+F631+F634+F637</f>
        <v>#REF!</v>
      </c>
      <c r="G615" s="7" t="e">
        <f>G616+G628+G631+G634+G637</f>
        <v>#REF!</v>
      </c>
      <c r="H615" s="7" t="e">
        <f>H616+H628+H631+H634+H637</f>
        <v>#REF!</v>
      </c>
      <c r="I615" s="7" t="e">
        <f>I616+I628+I631+I634+I637</f>
        <v>#REF!</v>
      </c>
      <c r="J615" s="7" t="e">
        <f>J616+J628+J631+J634+J637</f>
        <v>#REF!</v>
      </c>
      <c r="K615" s="7">
        <f>K616+K628+K631+K634+K637+K622+K619</f>
        <v>14160.2</v>
      </c>
      <c r="L615" s="7">
        <f>L616+L628+L631+L634+L637+L622+L619</f>
        <v>14120.300000000001</v>
      </c>
      <c r="M615" s="7">
        <f t="shared" si="232"/>
        <v>99.71822431886555</v>
      </c>
    </row>
    <row r="616" spans="1:13" ht="47.25">
      <c r="A616" s="26" t="s">
        <v>321</v>
      </c>
      <c r="B616" s="42" t="s">
        <v>315</v>
      </c>
      <c r="C616" s="42" t="s">
        <v>266</v>
      </c>
      <c r="D616" s="21" t="s">
        <v>322</v>
      </c>
      <c r="E616" s="42"/>
      <c r="F616" s="7" t="e">
        <f>F617</f>
        <v>#REF!</v>
      </c>
      <c r="G616" s="7" t="e">
        <f aca="true" t="shared" si="241" ref="G616:L617">G617</f>
        <v>#REF!</v>
      </c>
      <c r="H616" s="7" t="e">
        <f t="shared" si="241"/>
        <v>#REF!</v>
      </c>
      <c r="I616" s="7" t="e">
        <f t="shared" si="241"/>
        <v>#REF!</v>
      </c>
      <c r="J616" s="7" t="e">
        <f t="shared" si="241"/>
        <v>#REF!</v>
      </c>
      <c r="K616" s="7">
        <f t="shared" si="241"/>
        <v>13608.66</v>
      </c>
      <c r="L616" s="7">
        <f t="shared" si="241"/>
        <v>13608.7</v>
      </c>
      <c r="M616" s="7">
        <f t="shared" si="232"/>
        <v>100.00029393048251</v>
      </c>
    </row>
    <row r="617" spans="1:13" ht="47.25">
      <c r="A617" s="26" t="s">
        <v>323</v>
      </c>
      <c r="B617" s="42" t="s">
        <v>315</v>
      </c>
      <c r="C617" s="42" t="s">
        <v>266</v>
      </c>
      <c r="D617" s="21" t="s">
        <v>322</v>
      </c>
      <c r="E617" s="42" t="s">
        <v>324</v>
      </c>
      <c r="F617" s="7" t="e">
        <f>F618</f>
        <v>#REF!</v>
      </c>
      <c r="G617" s="7" t="e">
        <f t="shared" si="241"/>
        <v>#REF!</v>
      </c>
      <c r="H617" s="7" t="e">
        <f t="shared" si="241"/>
        <v>#REF!</v>
      </c>
      <c r="I617" s="7" t="e">
        <f t="shared" si="241"/>
        <v>#REF!</v>
      </c>
      <c r="J617" s="7" t="e">
        <f t="shared" si="241"/>
        <v>#REF!</v>
      </c>
      <c r="K617" s="7">
        <f t="shared" si="241"/>
        <v>13608.66</v>
      </c>
      <c r="L617" s="7">
        <f t="shared" si="241"/>
        <v>13608.7</v>
      </c>
      <c r="M617" s="7">
        <f t="shared" si="232"/>
        <v>100.00029393048251</v>
      </c>
    </row>
    <row r="618" spans="1:13" ht="15.75">
      <c r="A618" s="26" t="s">
        <v>325</v>
      </c>
      <c r="B618" s="42" t="s">
        <v>315</v>
      </c>
      <c r="C618" s="42" t="s">
        <v>266</v>
      </c>
      <c r="D618" s="21" t="s">
        <v>322</v>
      </c>
      <c r="E618" s="42" t="s">
        <v>326</v>
      </c>
      <c r="F618" s="7" t="e">
        <f>#REF!</f>
        <v>#REF!</v>
      </c>
      <c r="G618" s="7" t="e">
        <f>#REF!</f>
        <v>#REF!</v>
      </c>
      <c r="H618" s="7" t="e">
        <f>#REF!</f>
        <v>#REF!</v>
      </c>
      <c r="I618" s="7" t="e">
        <f>#REF!</f>
        <v>#REF!</v>
      </c>
      <c r="J618" s="7" t="e">
        <f>#REF!</f>
        <v>#REF!</v>
      </c>
      <c r="K618" s="7">
        <f>'Прил.№4 ведомств.'!G289</f>
        <v>13608.66</v>
      </c>
      <c r="L618" s="7">
        <f>'Прил.№4 ведомств.'!H289</f>
        <v>13608.7</v>
      </c>
      <c r="M618" s="7">
        <f t="shared" si="232"/>
        <v>100.00029393048251</v>
      </c>
    </row>
    <row r="619" spans="1:13" ht="47.25" customHeight="1">
      <c r="A619" s="26" t="s">
        <v>327</v>
      </c>
      <c r="B619" s="42" t="s">
        <v>315</v>
      </c>
      <c r="C619" s="42" t="s">
        <v>266</v>
      </c>
      <c r="D619" s="21" t="s">
        <v>328</v>
      </c>
      <c r="E619" s="42"/>
      <c r="F619" s="7"/>
      <c r="G619" s="7"/>
      <c r="H619" s="7"/>
      <c r="I619" s="7"/>
      <c r="J619" s="7"/>
      <c r="K619" s="7">
        <f>K620</f>
        <v>26.1</v>
      </c>
      <c r="L619" s="7">
        <f>L620</f>
        <v>26.1</v>
      </c>
      <c r="M619" s="7">
        <f t="shared" si="232"/>
        <v>100</v>
      </c>
    </row>
    <row r="620" spans="1:13" ht="47.25" customHeight="1">
      <c r="A620" s="26" t="s">
        <v>323</v>
      </c>
      <c r="B620" s="42" t="s">
        <v>315</v>
      </c>
      <c r="C620" s="42" t="s">
        <v>266</v>
      </c>
      <c r="D620" s="21" t="s">
        <v>328</v>
      </c>
      <c r="E620" s="42"/>
      <c r="F620" s="7"/>
      <c r="G620" s="7"/>
      <c r="H620" s="7"/>
      <c r="I620" s="7"/>
      <c r="J620" s="7"/>
      <c r="K620" s="7">
        <f>K621</f>
        <v>26.1</v>
      </c>
      <c r="L620" s="7">
        <f>L621</f>
        <v>26.1</v>
      </c>
      <c r="M620" s="7">
        <f t="shared" si="232"/>
        <v>100</v>
      </c>
    </row>
    <row r="621" spans="1:13" ht="15.75" customHeight="1">
      <c r="A621" s="26" t="s">
        <v>325</v>
      </c>
      <c r="B621" s="42" t="s">
        <v>315</v>
      </c>
      <c r="C621" s="42" t="s">
        <v>266</v>
      </c>
      <c r="D621" s="21" t="s">
        <v>328</v>
      </c>
      <c r="E621" s="42"/>
      <c r="F621" s="7"/>
      <c r="G621" s="7"/>
      <c r="H621" s="7"/>
      <c r="I621" s="7"/>
      <c r="J621" s="7"/>
      <c r="K621" s="7">
        <f>'Прил.№4 ведомств.'!G292</f>
        <v>26.1</v>
      </c>
      <c r="L621" s="7">
        <f>'Прил.№4 ведомств.'!H292</f>
        <v>26.1</v>
      </c>
      <c r="M621" s="7">
        <f t="shared" si="232"/>
        <v>100</v>
      </c>
    </row>
    <row r="622" spans="1:13" ht="31.5" customHeight="1">
      <c r="A622" s="26" t="s">
        <v>329</v>
      </c>
      <c r="B622" s="42" t="s">
        <v>315</v>
      </c>
      <c r="C622" s="42" t="s">
        <v>266</v>
      </c>
      <c r="D622" s="21" t="s">
        <v>330</v>
      </c>
      <c r="E622" s="42"/>
      <c r="F622" s="7"/>
      <c r="G622" s="7"/>
      <c r="H622" s="7"/>
      <c r="I622" s="7"/>
      <c r="J622" s="7"/>
      <c r="K622" s="7">
        <f>K623</f>
        <v>127.39999999999999</v>
      </c>
      <c r="L622" s="7">
        <f>L623</f>
        <v>127.3</v>
      </c>
      <c r="M622" s="7">
        <f t="shared" si="232"/>
        <v>99.9215070643642</v>
      </c>
    </row>
    <row r="623" spans="1:13" ht="47.25" customHeight="1">
      <c r="A623" s="26" t="s">
        <v>323</v>
      </c>
      <c r="B623" s="42" t="s">
        <v>315</v>
      </c>
      <c r="C623" s="42" t="s">
        <v>266</v>
      </c>
      <c r="D623" s="21" t="s">
        <v>330</v>
      </c>
      <c r="E623" s="42"/>
      <c r="F623" s="7"/>
      <c r="G623" s="7"/>
      <c r="H623" s="7"/>
      <c r="I623" s="7"/>
      <c r="J623" s="7"/>
      <c r="K623" s="7">
        <f>K624</f>
        <v>127.39999999999999</v>
      </c>
      <c r="L623" s="7">
        <f>L624</f>
        <v>127.3</v>
      </c>
      <c r="M623" s="7">
        <f t="shared" si="232"/>
        <v>99.9215070643642</v>
      </c>
    </row>
    <row r="624" spans="1:13" ht="15.75" customHeight="1">
      <c r="A624" s="26" t="s">
        <v>325</v>
      </c>
      <c r="B624" s="42" t="s">
        <v>315</v>
      </c>
      <c r="C624" s="42" t="s">
        <v>266</v>
      </c>
      <c r="D624" s="21" t="s">
        <v>330</v>
      </c>
      <c r="E624" s="42" t="s">
        <v>326</v>
      </c>
      <c r="F624" s="7"/>
      <c r="G624" s="7"/>
      <c r="H624" s="7"/>
      <c r="I624" s="7"/>
      <c r="J624" s="7"/>
      <c r="K624" s="7">
        <f>'Прил.№4 ведомств.'!G295</f>
        <v>127.39999999999999</v>
      </c>
      <c r="L624" s="7">
        <f>'Прил.№4 ведомств.'!H295</f>
        <v>127.3</v>
      </c>
      <c r="M624" s="7">
        <f t="shared" si="232"/>
        <v>99.9215070643642</v>
      </c>
    </row>
    <row r="625" spans="1:13" ht="31.5" customHeight="1" hidden="1">
      <c r="A625" s="26" t="s">
        <v>331</v>
      </c>
      <c r="B625" s="42" t="s">
        <v>315</v>
      </c>
      <c r="C625" s="42" t="s">
        <v>266</v>
      </c>
      <c r="D625" s="21" t="s">
        <v>332</v>
      </c>
      <c r="E625" s="42"/>
      <c r="F625" s="7"/>
      <c r="G625" s="7"/>
      <c r="H625" s="7"/>
      <c r="I625" s="7"/>
      <c r="J625" s="7"/>
      <c r="K625" s="7"/>
      <c r="L625" s="7"/>
      <c r="M625" s="7" t="e">
        <f t="shared" si="232"/>
        <v>#DIV/0!</v>
      </c>
    </row>
    <row r="626" spans="1:13" ht="47.25" customHeight="1" hidden="1">
      <c r="A626" s="26" t="s">
        <v>323</v>
      </c>
      <c r="B626" s="42" t="s">
        <v>315</v>
      </c>
      <c r="C626" s="42" t="s">
        <v>266</v>
      </c>
      <c r="D626" s="21" t="s">
        <v>332</v>
      </c>
      <c r="E626" s="42"/>
      <c r="F626" s="7"/>
      <c r="G626" s="7"/>
      <c r="H626" s="7"/>
      <c r="I626" s="7"/>
      <c r="J626" s="7"/>
      <c r="K626" s="7"/>
      <c r="L626" s="7"/>
      <c r="M626" s="7" t="e">
        <f t="shared" si="232"/>
        <v>#DIV/0!</v>
      </c>
    </row>
    <row r="627" spans="1:13" ht="15.75" customHeight="1" hidden="1">
      <c r="A627" s="26" t="s">
        <v>325</v>
      </c>
      <c r="B627" s="42" t="s">
        <v>315</v>
      </c>
      <c r="C627" s="42" t="s">
        <v>266</v>
      </c>
      <c r="D627" s="21" t="s">
        <v>332</v>
      </c>
      <c r="E627" s="42"/>
      <c r="F627" s="7"/>
      <c r="G627" s="7"/>
      <c r="H627" s="7"/>
      <c r="I627" s="7"/>
      <c r="J627" s="7"/>
      <c r="K627" s="7"/>
      <c r="L627" s="7"/>
      <c r="M627" s="7" t="e">
        <f t="shared" si="232"/>
        <v>#DIV/0!</v>
      </c>
    </row>
    <row r="628" spans="1:13" ht="31.5">
      <c r="A628" s="26" t="s">
        <v>333</v>
      </c>
      <c r="B628" s="42" t="s">
        <v>315</v>
      </c>
      <c r="C628" s="42" t="s">
        <v>266</v>
      </c>
      <c r="D628" s="21" t="s">
        <v>334</v>
      </c>
      <c r="E628" s="42"/>
      <c r="F628" s="7" t="e">
        <f>F629</f>
        <v>#REF!</v>
      </c>
      <c r="G628" s="7" t="e">
        <f aca="true" t="shared" si="242" ref="G628:L629">G629</f>
        <v>#REF!</v>
      </c>
      <c r="H628" s="7" t="e">
        <f t="shared" si="242"/>
        <v>#REF!</v>
      </c>
      <c r="I628" s="7" t="e">
        <f t="shared" si="242"/>
        <v>#REF!</v>
      </c>
      <c r="J628" s="7" t="e">
        <f t="shared" si="242"/>
        <v>#REF!</v>
      </c>
      <c r="K628" s="7">
        <f t="shared" si="242"/>
        <v>44.4</v>
      </c>
      <c r="L628" s="7">
        <f t="shared" si="242"/>
        <v>42.6</v>
      </c>
      <c r="M628" s="7">
        <f t="shared" si="232"/>
        <v>95.94594594594595</v>
      </c>
    </row>
    <row r="629" spans="1:13" ht="47.25">
      <c r="A629" s="26" t="s">
        <v>323</v>
      </c>
      <c r="B629" s="42" t="s">
        <v>315</v>
      </c>
      <c r="C629" s="42" t="s">
        <v>266</v>
      </c>
      <c r="D629" s="21" t="s">
        <v>334</v>
      </c>
      <c r="E629" s="42" t="s">
        <v>324</v>
      </c>
      <c r="F629" s="7" t="e">
        <f>F630</f>
        <v>#REF!</v>
      </c>
      <c r="G629" s="7" t="e">
        <f t="shared" si="242"/>
        <v>#REF!</v>
      </c>
      <c r="H629" s="7" t="e">
        <f t="shared" si="242"/>
        <v>#REF!</v>
      </c>
      <c r="I629" s="7" t="e">
        <f t="shared" si="242"/>
        <v>#REF!</v>
      </c>
      <c r="J629" s="7" t="e">
        <f t="shared" si="242"/>
        <v>#REF!</v>
      </c>
      <c r="K629" s="7">
        <f t="shared" si="242"/>
        <v>44.4</v>
      </c>
      <c r="L629" s="7">
        <f t="shared" si="242"/>
        <v>42.6</v>
      </c>
      <c r="M629" s="7">
        <f t="shared" si="232"/>
        <v>95.94594594594595</v>
      </c>
    </row>
    <row r="630" spans="1:13" ht="15.75">
      <c r="A630" s="26" t="s">
        <v>325</v>
      </c>
      <c r="B630" s="42" t="s">
        <v>315</v>
      </c>
      <c r="C630" s="42" t="s">
        <v>266</v>
      </c>
      <c r="D630" s="21" t="s">
        <v>334</v>
      </c>
      <c r="E630" s="42" t="s">
        <v>326</v>
      </c>
      <c r="F630" s="7" t="e">
        <f>#REF!</f>
        <v>#REF!</v>
      </c>
      <c r="G630" s="7" t="e">
        <f>#REF!</f>
        <v>#REF!</v>
      </c>
      <c r="H630" s="7" t="e">
        <f>#REF!</f>
        <v>#REF!</v>
      </c>
      <c r="I630" s="7" t="e">
        <f>#REF!</f>
        <v>#REF!</v>
      </c>
      <c r="J630" s="7" t="e">
        <f>#REF!</f>
        <v>#REF!</v>
      </c>
      <c r="K630" s="7">
        <f>'Прил.№4 ведомств.'!G301</f>
        <v>44.4</v>
      </c>
      <c r="L630" s="7">
        <f>'Прил.№4 ведомств.'!H301</f>
        <v>42.6</v>
      </c>
      <c r="M630" s="7">
        <f t="shared" si="232"/>
        <v>95.94594594594595</v>
      </c>
    </row>
    <row r="631" spans="1:13" ht="31.5" customHeight="1">
      <c r="A631" s="26" t="s">
        <v>335</v>
      </c>
      <c r="B631" s="42" t="s">
        <v>315</v>
      </c>
      <c r="C631" s="42" t="s">
        <v>266</v>
      </c>
      <c r="D631" s="21" t="s">
        <v>337</v>
      </c>
      <c r="E631" s="42"/>
      <c r="F631" s="7" t="e">
        <f>F632</f>
        <v>#REF!</v>
      </c>
      <c r="G631" s="7" t="e">
        <f aca="true" t="shared" si="243" ref="G631:L632">G632</f>
        <v>#REF!</v>
      </c>
      <c r="H631" s="7" t="e">
        <f t="shared" si="243"/>
        <v>#REF!</v>
      </c>
      <c r="I631" s="7" t="e">
        <f t="shared" si="243"/>
        <v>#REF!</v>
      </c>
      <c r="J631" s="7" t="e">
        <f t="shared" si="243"/>
        <v>#REF!</v>
      </c>
      <c r="K631" s="7">
        <f t="shared" si="243"/>
        <v>37.94</v>
      </c>
      <c r="L631" s="7">
        <f t="shared" si="243"/>
        <v>37.9</v>
      </c>
      <c r="M631" s="7">
        <f t="shared" si="232"/>
        <v>99.89457037427518</v>
      </c>
    </row>
    <row r="632" spans="1:13" ht="47.25" customHeight="1">
      <c r="A632" s="26" t="s">
        <v>323</v>
      </c>
      <c r="B632" s="42" t="s">
        <v>315</v>
      </c>
      <c r="C632" s="42" t="s">
        <v>266</v>
      </c>
      <c r="D632" s="21" t="s">
        <v>337</v>
      </c>
      <c r="E632" s="42" t="s">
        <v>324</v>
      </c>
      <c r="F632" s="7" t="e">
        <f>F633</f>
        <v>#REF!</v>
      </c>
      <c r="G632" s="7" t="e">
        <f t="shared" si="243"/>
        <v>#REF!</v>
      </c>
      <c r="H632" s="7" t="e">
        <f t="shared" si="243"/>
        <v>#REF!</v>
      </c>
      <c r="I632" s="7" t="e">
        <f t="shared" si="243"/>
        <v>#REF!</v>
      </c>
      <c r="J632" s="7" t="e">
        <f t="shared" si="243"/>
        <v>#REF!</v>
      </c>
      <c r="K632" s="7">
        <f t="shared" si="243"/>
        <v>37.94</v>
      </c>
      <c r="L632" s="7">
        <f t="shared" si="243"/>
        <v>37.9</v>
      </c>
      <c r="M632" s="7">
        <f t="shared" si="232"/>
        <v>99.89457037427518</v>
      </c>
    </row>
    <row r="633" spans="1:13" ht="15.75" customHeight="1">
      <c r="A633" s="26" t="s">
        <v>325</v>
      </c>
      <c r="B633" s="42" t="s">
        <v>315</v>
      </c>
      <c r="C633" s="42" t="s">
        <v>266</v>
      </c>
      <c r="D633" s="21" t="s">
        <v>337</v>
      </c>
      <c r="E633" s="42" t="s">
        <v>326</v>
      </c>
      <c r="F633" s="7" t="e">
        <f>#REF!</f>
        <v>#REF!</v>
      </c>
      <c r="G633" s="7" t="e">
        <f>#REF!</f>
        <v>#REF!</v>
      </c>
      <c r="H633" s="7" t="e">
        <f>#REF!</f>
        <v>#REF!</v>
      </c>
      <c r="I633" s="7" t="e">
        <f>#REF!</f>
        <v>#REF!</v>
      </c>
      <c r="J633" s="7" t="e">
        <f>#REF!</f>
        <v>#REF!</v>
      </c>
      <c r="K633" s="7">
        <f>'Прил.№4 ведомств.'!G304</f>
        <v>37.94</v>
      </c>
      <c r="L633" s="7">
        <f>'Прил.№4 ведомств.'!H304</f>
        <v>37.9</v>
      </c>
      <c r="M633" s="7">
        <f t="shared" si="232"/>
        <v>99.89457037427518</v>
      </c>
    </row>
    <row r="634" spans="1:13" ht="31.5" customHeight="1" hidden="1">
      <c r="A634" s="37" t="s">
        <v>338</v>
      </c>
      <c r="B634" s="42" t="s">
        <v>315</v>
      </c>
      <c r="C634" s="42" t="s">
        <v>266</v>
      </c>
      <c r="D634" s="21" t="s">
        <v>339</v>
      </c>
      <c r="E634" s="42"/>
      <c r="F634" s="7" t="e">
        <f>F635</f>
        <v>#REF!</v>
      </c>
      <c r="G634" s="7" t="e">
        <f aca="true" t="shared" si="244" ref="G634:L635">G635</f>
        <v>#REF!</v>
      </c>
      <c r="H634" s="7" t="e">
        <f t="shared" si="244"/>
        <v>#REF!</v>
      </c>
      <c r="I634" s="7" t="e">
        <f t="shared" si="244"/>
        <v>#REF!</v>
      </c>
      <c r="J634" s="7" t="e">
        <f t="shared" si="244"/>
        <v>#REF!</v>
      </c>
      <c r="K634" s="7">
        <f t="shared" si="244"/>
        <v>0</v>
      </c>
      <c r="L634" s="7">
        <f t="shared" si="244"/>
        <v>0</v>
      </c>
      <c r="M634" s="7" t="e">
        <f t="shared" si="232"/>
        <v>#DIV/0!</v>
      </c>
    </row>
    <row r="635" spans="1:13" ht="47.25" customHeight="1" hidden="1">
      <c r="A635" s="26" t="s">
        <v>323</v>
      </c>
      <c r="B635" s="42" t="s">
        <v>315</v>
      </c>
      <c r="C635" s="42" t="s">
        <v>266</v>
      </c>
      <c r="D635" s="21" t="s">
        <v>339</v>
      </c>
      <c r="E635" s="42" t="s">
        <v>324</v>
      </c>
      <c r="F635" s="7" t="e">
        <f>F636</f>
        <v>#REF!</v>
      </c>
      <c r="G635" s="7" t="e">
        <f t="shared" si="244"/>
        <v>#REF!</v>
      </c>
      <c r="H635" s="7" t="e">
        <f t="shared" si="244"/>
        <v>#REF!</v>
      </c>
      <c r="I635" s="7" t="e">
        <f t="shared" si="244"/>
        <v>#REF!</v>
      </c>
      <c r="J635" s="7" t="e">
        <f t="shared" si="244"/>
        <v>#REF!</v>
      </c>
      <c r="K635" s="7">
        <f t="shared" si="244"/>
        <v>0</v>
      </c>
      <c r="L635" s="7">
        <f t="shared" si="244"/>
        <v>0</v>
      </c>
      <c r="M635" s="7" t="e">
        <f t="shared" si="232"/>
        <v>#DIV/0!</v>
      </c>
    </row>
    <row r="636" spans="1:13" ht="15.75" customHeight="1" hidden="1">
      <c r="A636" s="26" t="s">
        <v>325</v>
      </c>
      <c r="B636" s="42" t="s">
        <v>315</v>
      </c>
      <c r="C636" s="42" t="s">
        <v>266</v>
      </c>
      <c r="D636" s="21" t="s">
        <v>339</v>
      </c>
      <c r="E636" s="42" t="s">
        <v>326</v>
      </c>
      <c r="F636" s="7" t="e">
        <f>#REF!</f>
        <v>#REF!</v>
      </c>
      <c r="G636" s="7" t="e">
        <f>#REF!</f>
        <v>#REF!</v>
      </c>
      <c r="H636" s="7" t="e">
        <f>#REF!</f>
        <v>#REF!</v>
      </c>
      <c r="I636" s="7" t="e">
        <f>#REF!</f>
        <v>#REF!</v>
      </c>
      <c r="J636" s="7" t="e">
        <f>#REF!</f>
        <v>#REF!</v>
      </c>
      <c r="K636" s="7">
        <f>'Прил.№4 ведомств.'!G307</f>
        <v>0</v>
      </c>
      <c r="L636" s="7">
        <f>'Прил.№4 ведомств.'!H307</f>
        <v>0</v>
      </c>
      <c r="M636" s="7" t="e">
        <f t="shared" si="232"/>
        <v>#DIV/0!</v>
      </c>
    </row>
    <row r="637" spans="1:13" ht="15.75" customHeight="1">
      <c r="A637" s="47" t="s">
        <v>857</v>
      </c>
      <c r="B637" s="42" t="s">
        <v>315</v>
      </c>
      <c r="C637" s="42" t="s">
        <v>266</v>
      </c>
      <c r="D637" s="21" t="s">
        <v>863</v>
      </c>
      <c r="E637" s="42"/>
      <c r="F637" s="7" t="e">
        <f>F638</f>
        <v>#REF!</v>
      </c>
      <c r="G637" s="7" t="e">
        <f aca="true" t="shared" si="245" ref="G637:L638">G638</f>
        <v>#REF!</v>
      </c>
      <c r="H637" s="7" t="e">
        <f t="shared" si="245"/>
        <v>#REF!</v>
      </c>
      <c r="I637" s="7" t="e">
        <f t="shared" si="245"/>
        <v>#REF!</v>
      </c>
      <c r="J637" s="7" t="e">
        <f t="shared" si="245"/>
        <v>#REF!</v>
      </c>
      <c r="K637" s="7">
        <f t="shared" si="245"/>
        <v>315.69999999999993</v>
      </c>
      <c r="L637" s="7">
        <f t="shared" si="245"/>
        <v>277.7</v>
      </c>
      <c r="M637" s="7">
        <f t="shared" si="232"/>
        <v>87.9632562559392</v>
      </c>
    </row>
    <row r="638" spans="1:13" ht="15.75" customHeight="1">
      <c r="A638" s="33" t="s">
        <v>323</v>
      </c>
      <c r="B638" s="42" t="s">
        <v>315</v>
      </c>
      <c r="C638" s="42" t="s">
        <v>266</v>
      </c>
      <c r="D638" s="21" t="s">
        <v>863</v>
      </c>
      <c r="E638" s="42" t="s">
        <v>324</v>
      </c>
      <c r="F638" s="7" t="e">
        <f>F639</f>
        <v>#REF!</v>
      </c>
      <c r="G638" s="7" t="e">
        <f t="shared" si="245"/>
        <v>#REF!</v>
      </c>
      <c r="H638" s="7" t="e">
        <f t="shared" si="245"/>
        <v>#REF!</v>
      </c>
      <c r="I638" s="7" t="e">
        <f t="shared" si="245"/>
        <v>#REF!</v>
      </c>
      <c r="J638" s="7" t="e">
        <f t="shared" si="245"/>
        <v>#REF!</v>
      </c>
      <c r="K638" s="7">
        <f t="shared" si="245"/>
        <v>315.69999999999993</v>
      </c>
      <c r="L638" s="7">
        <f t="shared" si="245"/>
        <v>277.7</v>
      </c>
      <c r="M638" s="7">
        <f t="shared" si="232"/>
        <v>87.9632562559392</v>
      </c>
    </row>
    <row r="639" spans="1:13" ht="15.75" customHeight="1">
      <c r="A639" s="33" t="s">
        <v>325</v>
      </c>
      <c r="B639" s="42" t="s">
        <v>315</v>
      </c>
      <c r="C639" s="42" t="s">
        <v>266</v>
      </c>
      <c r="D639" s="21" t="s">
        <v>863</v>
      </c>
      <c r="E639" s="42" t="s">
        <v>326</v>
      </c>
      <c r="F639" s="7" t="e">
        <f>#REF!</f>
        <v>#REF!</v>
      </c>
      <c r="G639" s="7" t="e">
        <f>#REF!</f>
        <v>#REF!</v>
      </c>
      <c r="H639" s="7" t="e">
        <f>#REF!</f>
        <v>#REF!</v>
      </c>
      <c r="I639" s="7" t="e">
        <f>#REF!</f>
        <v>#REF!</v>
      </c>
      <c r="J639" s="7" t="e">
        <f>#REF!</f>
        <v>#REF!</v>
      </c>
      <c r="K639" s="7">
        <f>'Прил.№4 ведомств.'!G310</f>
        <v>315.69999999999993</v>
      </c>
      <c r="L639" s="7">
        <f>'Прил.№4 ведомств.'!H310</f>
        <v>277.7</v>
      </c>
      <c r="M639" s="7">
        <f t="shared" si="232"/>
        <v>87.9632562559392</v>
      </c>
    </row>
    <row r="640" spans="1:13" ht="15.75">
      <c r="A640" s="26" t="s">
        <v>172</v>
      </c>
      <c r="B640" s="42" t="s">
        <v>315</v>
      </c>
      <c r="C640" s="42" t="s">
        <v>266</v>
      </c>
      <c r="D640" s="21" t="s">
        <v>173</v>
      </c>
      <c r="E640" s="42"/>
      <c r="F640" s="7" t="e">
        <f>F641</f>
        <v>#REF!</v>
      </c>
      <c r="G640" s="7" t="e">
        <f aca="true" t="shared" si="246" ref="G640:L640">G641</f>
        <v>#REF!</v>
      </c>
      <c r="H640" s="7" t="e">
        <f t="shared" si="246"/>
        <v>#REF!</v>
      </c>
      <c r="I640" s="7" t="e">
        <f t="shared" si="246"/>
        <v>#REF!</v>
      </c>
      <c r="J640" s="7" t="e">
        <f t="shared" si="246"/>
        <v>#REF!</v>
      </c>
      <c r="K640" s="7">
        <f t="shared" si="246"/>
        <v>3071.9</v>
      </c>
      <c r="L640" s="7">
        <f t="shared" si="246"/>
        <v>2710.5</v>
      </c>
      <c r="M640" s="7">
        <f t="shared" si="232"/>
        <v>88.23529411764706</v>
      </c>
    </row>
    <row r="641" spans="1:13" ht="31.5">
      <c r="A641" s="26" t="s">
        <v>236</v>
      </c>
      <c r="B641" s="42" t="s">
        <v>315</v>
      </c>
      <c r="C641" s="42" t="s">
        <v>266</v>
      </c>
      <c r="D641" s="21" t="s">
        <v>237</v>
      </c>
      <c r="E641" s="42"/>
      <c r="F641" s="7" t="e">
        <f aca="true" t="shared" si="247" ref="F641:L641">F642+F645+F648</f>
        <v>#REF!</v>
      </c>
      <c r="G641" s="7" t="e">
        <f t="shared" si="247"/>
        <v>#REF!</v>
      </c>
      <c r="H641" s="7" t="e">
        <f t="shared" si="247"/>
        <v>#REF!</v>
      </c>
      <c r="I641" s="7" t="e">
        <f t="shared" si="247"/>
        <v>#REF!</v>
      </c>
      <c r="J641" s="7" t="e">
        <f t="shared" si="247"/>
        <v>#REF!</v>
      </c>
      <c r="K641" s="7">
        <f t="shared" si="247"/>
        <v>3071.9</v>
      </c>
      <c r="L641" s="7">
        <f t="shared" si="247"/>
        <v>2710.5</v>
      </c>
      <c r="M641" s="7">
        <f t="shared" si="232"/>
        <v>88.23529411764706</v>
      </c>
    </row>
    <row r="642" spans="1:13" ht="63">
      <c r="A642" s="33" t="s">
        <v>340</v>
      </c>
      <c r="B642" s="42" t="s">
        <v>315</v>
      </c>
      <c r="C642" s="42" t="s">
        <v>266</v>
      </c>
      <c r="D642" s="21" t="s">
        <v>341</v>
      </c>
      <c r="E642" s="42"/>
      <c r="F642" s="7" t="e">
        <f>F643</f>
        <v>#REF!</v>
      </c>
      <c r="G642" s="7" t="e">
        <f aca="true" t="shared" si="248" ref="G642:L643">G643</f>
        <v>#REF!</v>
      </c>
      <c r="H642" s="7" t="e">
        <f t="shared" si="248"/>
        <v>#REF!</v>
      </c>
      <c r="I642" s="7" t="e">
        <f t="shared" si="248"/>
        <v>#REF!</v>
      </c>
      <c r="J642" s="7" t="e">
        <f t="shared" si="248"/>
        <v>#REF!</v>
      </c>
      <c r="K642" s="7">
        <f t="shared" si="248"/>
        <v>174.39999999999998</v>
      </c>
      <c r="L642" s="7">
        <f t="shared" si="248"/>
        <v>167.3</v>
      </c>
      <c r="M642" s="7">
        <f t="shared" si="232"/>
        <v>95.92889908256883</v>
      </c>
    </row>
    <row r="643" spans="1:13" ht="47.25">
      <c r="A643" s="26" t="s">
        <v>323</v>
      </c>
      <c r="B643" s="42" t="s">
        <v>315</v>
      </c>
      <c r="C643" s="42" t="s">
        <v>266</v>
      </c>
      <c r="D643" s="21" t="s">
        <v>341</v>
      </c>
      <c r="E643" s="42" t="s">
        <v>324</v>
      </c>
      <c r="F643" s="7" t="e">
        <f>F644</f>
        <v>#REF!</v>
      </c>
      <c r="G643" s="7" t="e">
        <f t="shared" si="248"/>
        <v>#REF!</v>
      </c>
      <c r="H643" s="7" t="e">
        <f t="shared" si="248"/>
        <v>#REF!</v>
      </c>
      <c r="I643" s="7" t="e">
        <f t="shared" si="248"/>
        <v>#REF!</v>
      </c>
      <c r="J643" s="7" t="e">
        <f t="shared" si="248"/>
        <v>#REF!</v>
      </c>
      <c r="K643" s="7">
        <f t="shared" si="248"/>
        <v>174.39999999999998</v>
      </c>
      <c r="L643" s="7">
        <f t="shared" si="248"/>
        <v>167.3</v>
      </c>
      <c r="M643" s="7">
        <f t="shared" si="232"/>
        <v>95.92889908256883</v>
      </c>
    </row>
    <row r="644" spans="1:13" ht="15.75">
      <c r="A644" s="26" t="s">
        <v>325</v>
      </c>
      <c r="B644" s="42" t="s">
        <v>315</v>
      </c>
      <c r="C644" s="42" t="s">
        <v>266</v>
      </c>
      <c r="D644" s="21" t="s">
        <v>341</v>
      </c>
      <c r="E644" s="42" t="s">
        <v>326</v>
      </c>
      <c r="F644" s="7" t="e">
        <f>#REF!+#REF!+#REF!</f>
        <v>#REF!</v>
      </c>
      <c r="G644" s="7" t="e">
        <f>#REF!+#REF!+#REF!</f>
        <v>#REF!</v>
      </c>
      <c r="H644" s="7" t="e">
        <f>#REF!+#REF!+#REF!</f>
        <v>#REF!</v>
      </c>
      <c r="I644" s="7" t="e">
        <f>#REF!+#REF!+#REF!</f>
        <v>#REF!</v>
      </c>
      <c r="J644" s="7" t="e">
        <f>#REF!+#REF!+#REF!</f>
        <v>#REF!</v>
      </c>
      <c r="K644" s="7">
        <f>'Прил.№4 ведомств.'!G315+'Прил.№4 ведомств.'!G735+'Прил.№4 ведомств.'!G815</f>
        <v>174.39999999999998</v>
      </c>
      <c r="L644" s="7">
        <f>'Прил.№4 ведомств.'!H315+'Прил.№4 ведомств.'!H735+'Прил.№4 ведомств.'!H815</f>
        <v>167.3</v>
      </c>
      <c r="M644" s="7">
        <f t="shared" si="232"/>
        <v>95.92889908256883</v>
      </c>
    </row>
    <row r="645" spans="1:13" ht="63">
      <c r="A645" s="33" t="s">
        <v>342</v>
      </c>
      <c r="B645" s="42" t="s">
        <v>315</v>
      </c>
      <c r="C645" s="42" t="s">
        <v>266</v>
      </c>
      <c r="D645" s="21" t="s">
        <v>343</v>
      </c>
      <c r="E645" s="42"/>
      <c r="F645" s="7" t="e">
        <f>F646</f>
        <v>#REF!</v>
      </c>
      <c r="G645" s="7" t="e">
        <f aca="true" t="shared" si="249" ref="G645:L646">G646</f>
        <v>#REF!</v>
      </c>
      <c r="H645" s="7" t="e">
        <f t="shared" si="249"/>
        <v>#REF!</v>
      </c>
      <c r="I645" s="7" t="e">
        <f t="shared" si="249"/>
        <v>#REF!</v>
      </c>
      <c r="J645" s="7" t="e">
        <f t="shared" si="249"/>
        <v>#REF!</v>
      </c>
      <c r="K645" s="7">
        <f t="shared" si="249"/>
        <v>951.9000000000001</v>
      </c>
      <c r="L645" s="7">
        <f t="shared" si="249"/>
        <v>883.6</v>
      </c>
      <c r="M645" s="7">
        <f t="shared" si="232"/>
        <v>92.82487656266414</v>
      </c>
    </row>
    <row r="646" spans="1:13" ht="47.25">
      <c r="A646" s="26" t="s">
        <v>323</v>
      </c>
      <c r="B646" s="42" t="s">
        <v>315</v>
      </c>
      <c r="C646" s="42" t="s">
        <v>266</v>
      </c>
      <c r="D646" s="21" t="s">
        <v>343</v>
      </c>
      <c r="E646" s="42" t="s">
        <v>324</v>
      </c>
      <c r="F646" s="7" t="e">
        <f>F647</f>
        <v>#REF!</v>
      </c>
      <c r="G646" s="7" t="e">
        <f t="shared" si="249"/>
        <v>#REF!</v>
      </c>
      <c r="H646" s="7" t="e">
        <f t="shared" si="249"/>
        <v>#REF!</v>
      </c>
      <c r="I646" s="7" t="e">
        <f t="shared" si="249"/>
        <v>#REF!</v>
      </c>
      <c r="J646" s="7" t="e">
        <f t="shared" si="249"/>
        <v>#REF!</v>
      </c>
      <c r="K646" s="7">
        <f t="shared" si="249"/>
        <v>951.9000000000001</v>
      </c>
      <c r="L646" s="7">
        <f t="shared" si="249"/>
        <v>883.6</v>
      </c>
      <c r="M646" s="7">
        <f t="shared" si="232"/>
        <v>92.82487656266414</v>
      </c>
    </row>
    <row r="647" spans="1:13" ht="15.75">
      <c r="A647" s="26" t="s">
        <v>325</v>
      </c>
      <c r="B647" s="42" t="s">
        <v>315</v>
      </c>
      <c r="C647" s="42" t="s">
        <v>266</v>
      </c>
      <c r="D647" s="21" t="s">
        <v>343</v>
      </c>
      <c r="E647" s="42" t="s">
        <v>326</v>
      </c>
      <c r="F647" s="7" t="e">
        <f>#REF!+#REF!+#REF!</f>
        <v>#REF!</v>
      </c>
      <c r="G647" s="7" t="e">
        <f>#REF!+#REF!+#REF!</f>
        <v>#REF!</v>
      </c>
      <c r="H647" s="7" t="e">
        <f>#REF!+#REF!+#REF!</f>
        <v>#REF!</v>
      </c>
      <c r="I647" s="7" t="e">
        <f>#REF!+#REF!+#REF!</f>
        <v>#REF!</v>
      </c>
      <c r="J647" s="7" t="e">
        <f>#REF!+#REF!+#REF!</f>
        <v>#REF!</v>
      </c>
      <c r="K647" s="7">
        <f>'Прил.№4 ведомств.'!G818+'Прил.№4 ведомств.'!G738+'Прил.№4 ведомств.'!G318</f>
        <v>951.9000000000001</v>
      </c>
      <c r="L647" s="7">
        <f>'Прил.№4 ведомств.'!H818+'Прил.№4 ведомств.'!H738+'Прил.№4 ведомств.'!H318</f>
        <v>883.6</v>
      </c>
      <c r="M647" s="7">
        <f t="shared" si="232"/>
        <v>92.82487656266414</v>
      </c>
    </row>
    <row r="648" spans="1:13" ht="94.5">
      <c r="A648" s="33" t="s">
        <v>344</v>
      </c>
      <c r="B648" s="42" t="s">
        <v>315</v>
      </c>
      <c r="C648" s="42" t="s">
        <v>266</v>
      </c>
      <c r="D648" s="21" t="s">
        <v>345</v>
      </c>
      <c r="E648" s="42"/>
      <c r="F648" s="7" t="e">
        <f>F649</f>
        <v>#REF!</v>
      </c>
      <c r="G648" s="7" t="e">
        <f aca="true" t="shared" si="250" ref="G648:L649">G649</f>
        <v>#REF!</v>
      </c>
      <c r="H648" s="7" t="e">
        <f t="shared" si="250"/>
        <v>#REF!</v>
      </c>
      <c r="I648" s="7" t="e">
        <f t="shared" si="250"/>
        <v>#REF!</v>
      </c>
      <c r="J648" s="7" t="e">
        <f t="shared" si="250"/>
        <v>#REF!</v>
      </c>
      <c r="K648" s="7">
        <f t="shared" si="250"/>
        <v>1945.6</v>
      </c>
      <c r="L648" s="7">
        <f t="shared" si="250"/>
        <v>1659.6</v>
      </c>
      <c r="M648" s="7">
        <f t="shared" si="232"/>
        <v>85.30016447368422</v>
      </c>
    </row>
    <row r="649" spans="1:13" ht="47.25">
      <c r="A649" s="26" t="s">
        <v>323</v>
      </c>
      <c r="B649" s="42" t="s">
        <v>315</v>
      </c>
      <c r="C649" s="42" t="s">
        <v>266</v>
      </c>
      <c r="D649" s="21" t="s">
        <v>345</v>
      </c>
      <c r="E649" s="42" t="s">
        <v>324</v>
      </c>
      <c r="F649" s="7" t="e">
        <f>F650</f>
        <v>#REF!</v>
      </c>
      <c r="G649" s="7" t="e">
        <f t="shared" si="250"/>
        <v>#REF!</v>
      </c>
      <c r="H649" s="7" t="e">
        <f t="shared" si="250"/>
        <v>#REF!</v>
      </c>
      <c r="I649" s="7" t="e">
        <f t="shared" si="250"/>
        <v>#REF!</v>
      </c>
      <c r="J649" s="7" t="e">
        <f t="shared" si="250"/>
        <v>#REF!</v>
      </c>
      <c r="K649" s="7">
        <f t="shared" si="250"/>
        <v>1945.6</v>
      </c>
      <c r="L649" s="7">
        <f t="shared" si="250"/>
        <v>1659.6</v>
      </c>
      <c r="M649" s="7">
        <f t="shared" si="232"/>
        <v>85.30016447368422</v>
      </c>
    </row>
    <row r="650" spans="1:13" ht="15.75">
      <c r="A650" s="26" t="s">
        <v>325</v>
      </c>
      <c r="B650" s="42" t="s">
        <v>315</v>
      </c>
      <c r="C650" s="42" t="s">
        <v>266</v>
      </c>
      <c r="D650" s="21" t="s">
        <v>345</v>
      </c>
      <c r="E650" s="42" t="s">
        <v>326</v>
      </c>
      <c r="F650" s="7" t="e">
        <f>#REF!+#REF!+#REF!</f>
        <v>#REF!</v>
      </c>
      <c r="G650" s="7" t="e">
        <f>#REF!+#REF!+#REF!</f>
        <v>#REF!</v>
      </c>
      <c r="H650" s="7" t="e">
        <f>#REF!+#REF!+#REF!</f>
        <v>#REF!</v>
      </c>
      <c r="I650" s="7" t="e">
        <f>#REF!+#REF!+#REF!</f>
        <v>#REF!</v>
      </c>
      <c r="J650" s="7" t="e">
        <f>#REF!+#REF!+#REF!</f>
        <v>#REF!</v>
      </c>
      <c r="K650" s="7">
        <f>'Прил.№4 ведомств.'!G321+'Прил.№4 ведомств.'!G741+'Прил.№4 ведомств.'!G821</f>
        <v>1945.6</v>
      </c>
      <c r="L650" s="7">
        <f>'Прил.№4 ведомств.'!H321+'Прил.№4 ведомств.'!H741+'Прил.№4 ведомств.'!H821</f>
        <v>1659.6</v>
      </c>
      <c r="M650" s="7">
        <f t="shared" si="232"/>
        <v>85.30016447368422</v>
      </c>
    </row>
    <row r="651" spans="1:13" ht="15.75">
      <c r="A651" s="43" t="s">
        <v>518</v>
      </c>
      <c r="B651" s="8" t="s">
        <v>315</v>
      </c>
      <c r="C651" s="8" t="s">
        <v>315</v>
      </c>
      <c r="D651" s="8"/>
      <c r="E651" s="8"/>
      <c r="F651" s="4" t="e">
        <f aca="true" t="shared" si="251" ref="F651:L651">F652+F657</f>
        <v>#REF!</v>
      </c>
      <c r="G651" s="4" t="e">
        <f t="shared" si="251"/>
        <v>#REF!</v>
      </c>
      <c r="H651" s="4" t="e">
        <f t="shared" si="251"/>
        <v>#REF!</v>
      </c>
      <c r="I651" s="4" t="e">
        <f t="shared" si="251"/>
        <v>#REF!</v>
      </c>
      <c r="J651" s="4" t="e">
        <f t="shared" si="251"/>
        <v>#REF!</v>
      </c>
      <c r="K651" s="4">
        <f t="shared" si="251"/>
        <v>4887.8</v>
      </c>
      <c r="L651" s="4">
        <f t="shared" si="251"/>
        <v>4887.8</v>
      </c>
      <c r="M651" s="4">
        <f t="shared" si="232"/>
        <v>100</v>
      </c>
    </row>
    <row r="652" spans="1:13" ht="47.25">
      <c r="A652" s="31" t="s">
        <v>478</v>
      </c>
      <c r="B652" s="42" t="s">
        <v>315</v>
      </c>
      <c r="C652" s="42" t="s">
        <v>315</v>
      </c>
      <c r="D652" s="42" t="s">
        <v>458</v>
      </c>
      <c r="E652" s="42"/>
      <c r="F652" s="7" t="e">
        <f>F653</f>
        <v>#REF!</v>
      </c>
      <c r="G652" s="7" t="e">
        <f aca="true" t="shared" si="252" ref="G652:L652">G653</f>
        <v>#REF!</v>
      </c>
      <c r="H652" s="7" t="e">
        <f t="shared" si="252"/>
        <v>#REF!</v>
      </c>
      <c r="I652" s="7" t="e">
        <f t="shared" si="252"/>
        <v>#REF!</v>
      </c>
      <c r="J652" s="7" t="e">
        <f t="shared" si="252"/>
        <v>#REF!</v>
      </c>
      <c r="K652" s="7">
        <f t="shared" si="252"/>
        <v>3584</v>
      </c>
      <c r="L652" s="7">
        <f t="shared" si="252"/>
        <v>3584</v>
      </c>
      <c r="M652" s="7">
        <f aca="true" t="shared" si="253" ref="M652:M715">L652/K652*100</f>
        <v>100</v>
      </c>
    </row>
    <row r="653" spans="1:13" ht="31.5">
      <c r="A653" s="31" t="s">
        <v>519</v>
      </c>
      <c r="B653" s="42" t="s">
        <v>315</v>
      </c>
      <c r="C653" s="42" t="s">
        <v>520</v>
      </c>
      <c r="D653" s="42" t="s">
        <v>521</v>
      </c>
      <c r="E653" s="42"/>
      <c r="F653" s="7" t="e">
        <f aca="true" t="shared" si="254" ref="F653:L653">F655</f>
        <v>#REF!</v>
      </c>
      <c r="G653" s="7" t="e">
        <f t="shared" si="254"/>
        <v>#REF!</v>
      </c>
      <c r="H653" s="7" t="e">
        <f t="shared" si="254"/>
        <v>#REF!</v>
      </c>
      <c r="I653" s="7" t="e">
        <f t="shared" si="254"/>
        <v>#REF!</v>
      </c>
      <c r="J653" s="7" t="e">
        <f t="shared" si="254"/>
        <v>#REF!</v>
      </c>
      <c r="K653" s="7">
        <f t="shared" si="254"/>
        <v>3584</v>
      </c>
      <c r="L653" s="7">
        <f t="shared" si="254"/>
        <v>3584</v>
      </c>
      <c r="M653" s="7">
        <f t="shared" si="253"/>
        <v>100</v>
      </c>
    </row>
    <row r="654" spans="1:13" ht="31.5">
      <c r="A654" s="26" t="s">
        <v>673</v>
      </c>
      <c r="B654" s="42" t="s">
        <v>315</v>
      </c>
      <c r="C654" s="42" t="s">
        <v>315</v>
      </c>
      <c r="D654" s="42" t="s">
        <v>523</v>
      </c>
      <c r="E654" s="42"/>
      <c r="F654" s="7" t="e">
        <f>F655</f>
        <v>#REF!</v>
      </c>
      <c r="G654" s="7" t="e">
        <f aca="true" t="shared" si="255" ref="G654:L655">G655</f>
        <v>#REF!</v>
      </c>
      <c r="H654" s="7" t="e">
        <f t="shared" si="255"/>
        <v>#REF!</v>
      </c>
      <c r="I654" s="7" t="e">
        <f t="shared" si="255"/>
        <v>#REF!</v>
      </c>
      <c r="J654" s="7" t="e">
        <f t="shared" si="255"/>
        <v>#REF!</v>
      </c>
      <c r="K654" s="7">
        <f t="shared" si="255"/>
        <v>3584</v>
      </c>
      <c r="L654" s="7">
        <f t="shared" si="255"/>
        <v>3584</v>
      </c>
      <c r="M654" s="7">
        <f t="shared" si="253"/>
        <v>100</v>
      </c>
    </row>
    <row r="655" spans="1:13" ht="47.25">
      <c r="A655" s="31" t="s">
        <v>323</v>
      </c>
      <c r="B655" s="42" t="s">
        <v>315</v>
      </c>
      <c r="C655" s="42" t="s">
        <v>315</v>
      </c>
      <c r="D655" s="42" t="s">
        <v>523</v>
      </c>
      <c r="E655" s="42" t="s">
        <v>324</v>
      </c>
      <c r="F655" s="63" t="e">
        <f>F656</f>
        <v>#REF!</v>
      </c>
      <c r="G655" s="63" t="e">
        <f t="shared" si="255"/>
        <v>#REF!</v>
      </c>
      <c r="H655" s="63" t="e">
        <f t="shared" si="255"/>
        <v>#REF!</v>
      </c>
      <c r="I655" s="63" t="e">
        <f t="shared" si="255"/>
        <v>#REF!</v>
      </c>
      <c r="J655" s="63" t="e">
        <f t="shared" si="255"/>
        <v>#REF!</v>
      </c>
      <c r="K655" s="63">
        <f t="shared" si="255"/>
        <v>3584</v>
      </c>
      <c r="L655" s="63">
        <f t="shared" si="255"/>
        <v>3584</v>
      </c>
      <c r="M655" s="7">
        <f t="shared" si="253"/>
        <v>100</v>
      </c>
    </row>
    <row r="656" spans="1:13" ht="15.75">
      <c r="A656" s="31" t="s">
        <v>325</v>
      </c>
      <c r="B656" s="42" t="s">
        <v>315</v>
      </c>
      <c r="C656" s="42" t="s">
        <v>315</v>
      </c>
      <c r="D656" s="42" t="s">
        <v>523</v>
      </c>
      <c r="E656" s="42" t="s">
        <v>326</v>
      </c>
      <c r="F656" s="63" t="e">
        <f>#REF!</f>
        <v>#REF!</v>
      </c>
      <c r="G656" s="63" t="e">
        <f>#REF!</f>
        <v>#REF!</v>
      </c>
      <c r="H656" s="63" t="e">
        <f>#REF!</f>
        <v>#REF!</v>
      </c>
      <c r="I656" s="63" t="e">
        <f>#REF!</f>
        <v>#REF!</v>
      </c>
      <c r="J656" s="63" t="e">
        <f>#REF!</f>
        <v>#REF!</v>
      </c>
      <c r="K656" s="63">
        <f>'Прил.№4 ведомств.'!G747</f>
        <v>3584</v>
      </c>
      <c r="L656" s="63">
        <f>'Прил.№4 ведомств.'!H747</f>
        <v>3584</v>
      </c>
      <c r="M656" s="7">
        <f t="shared" si="253"/>
        <v>100</v>
      </c>
    </row>
    <row r="657" spans="1:13" ht="15.75">
      <c r="A657" s="31" t="s">
        <v>172</v>
      </c>
      <c r="B657" s="42" t="s">
        <v>315</v>
      </c>
      <c r="C657" s="42" t="s">
        <v>315</v>
      </c>
      <c r="D657" s="42" t="s">
        <v>173</v>
      </c>
      <c r="E657" s="42"/>
      <c r="F657" s="7" t="e">
        <f>F658</f>
        <v>#REF!</v>
      </c>
      <c r="G657" s="7" t="e">
        <f aca="true" t="shared" si="256" ref="G657:L660">G658</f>
        <v>#REF!</v>
      </c>
      <c r="H657" s="7" t="e">
        <f t="shared" si="256"/>
        <v>#REF!</v>
      </c>
      <c r="I657" s="7" t="e">
        <f t="shared" si="256"/>
        <v>#REF!</v>
      </c>
      <c r="J657" s="7" t="e">
        <f t="shared" si="256"/>
        <v>#REF!</v>
      </c>
      <c r="K657" s="7">
        <f t="shared" si="256"/>
        <v>1303.8</v>
      </c>
      <c r="L657" s="7">
        <f t="shared" si="256"/>
        <v>1303.8</v>
      </c>
      <c r="M657" s="7">
        <f t="shared" si="253"/>
        <v>100</v>
      </c>
    </row>
    <row r="658" spans="1:13" ht="31.5">
      <c r="A658" s="31" t="s">
        <v>236</v>
      </c>
      <c r="B658" s="42" t="s">
        <v>315</v>
      </c>
      <c r="C658" s="42" t="s">
        <v>315</v>
      </c>
      <c r="D658" s="42" t="s">
        <v>237</v>
      </c>
      <c r="E658" s="42"/>
      <c r="F658" s="7" t="e">
        <f>F659</f>
        <v>#REF!</v>
      </c>
      <c r="G658" s="7" t="e">
        <f t="shared" si="256"/>
        <v>#REF!</v>
      </c>
      <c r="H658" s="7" t="e">
        <f t="shared" si="256"/>
        <v>#REF!</v>
      </c>
      <c r="I658" s="7" t="e">
        <f t="shared" si="256"/>
        <v>#REF!</v>
      </c>
      <c r="J658" s="7" t="e">
        <f t="shared" si="256"/>
        <v>#REF!</v>
      </c>
      <c r="K658" s="7">
        <f t="shared" si="256"/>
        <v>1303.8</v>
      </c>
      <c r="L658" s="7">
        <f t="shared" si="256"/>
        <v>1303.8</v>
      </c>
      <c r="M658" s="7">
        <f t="shared" si="253"/>
        <v>100</v>
      </c>
    </row>
    <row r="659" spans="1:13" ht="31.5">
      <c r="A659" s="47" t="s">
        <v>526</v>
      </c>
      <c r="B659" s="42" t="s">
        <v>315</v>
      </c>
      <c r="C659" s="42" t="s">
        <v>315</v>
      </c>
      <c r="D659" s="42" t="s">
        <v>527</v>
      </c>
      <c r="E659" s="42"/>
      <c r="F659" s="7" t="e">
        <f>F660</f>
        <v>#REF!</v>
      </c>
      <c r="G659" s="7" t="e">
        <f t="shared" si="256"/>
        <v>#REF!</v>
      </c>
      <c r="H659" s="7" t="e">
        <f t="shared" si="256"/>
        <v>#REF!</v>
      </c>
      <c r="I659" s="7" t="e">
        <f t="shared" si="256"/>
        <v>#REF!</v>
      </c>
      <c r="J659" s="7" t="e">
        <f t="shared" si="256"/>
        <v>#REF!</v>
      </c>
      <c r="K659" s="7">
        <f t="shared" si="256"/>
        <v>1303.8</v>
      </c>
      <c r="L659" s="7">
        <f t="shared" si="256"/>
        <v>1303.8</v>
      </c>
      <c r="M659" s="7">
        <f t="shared" si="253"/>
        <v>100</v>
      </c>
    </row>
    <row r="660" spans="1:13" ht="47.25">
      <c r="A660" s="31" t="s">
        <v>323</v>
      </c>
      <c r="B660" s="42" t="s">
        <v>315</v>
      </c>
      <c r="C660" s="42" t="s">
        <v>315</v>
      </c>
      <c r="D660" s="42" t="s">
        <v>527</v>
      </c>
      <c r="E660" s="42" t="s">
        <v>324</v>
      </c>
      <c r="F660" s="7" t="e">
        <f>F661</f>
        <v>#REF!</v>
      </c>
      <c r="G660" s="7" t="e">
        <f t="shared" si="256"/>
        <v>#REF!</v>
      </c>
      <c r="H660" s="7" t="e">
        <f t="shared" si="256"/>
        <v>#REF!</v>
      </c>
      <c r="I660" s="7" t="e">
        <f t="shared" si="256"/>
        <v>#REF!</v>
      </c>
      <c r="J660" s="7" t="e">
        <f t="shared" si="256"/>
        <v>#REF!</v>
      </c>
      <c r="K660" s="7">
        <f t="shared" si="256"/>
        <v>1303.8</v>
      </c>
      <c r="L660" s="7">
        <f t="shared" si="256"/>
        <v>1303.8</v>
      </c>
      <c r="M660" s="7">
        <f t="shared" si="253"/>
        <v>100</v>
      </c>
    </row>
    <row r="661" spans="1:13" ht="15.75">
      <c r="A661" s="31" t="s">
        <v>325</v>
      </c>
      <c r="B661" s="42" t="s">
        <v>315</v>
      </c>
      <c r="C661" s="42" t="s">
        <v>315</v>
      </c>
      <c r="D661" s="42" t="s">
        <v>527</v>
      </c>
      <c r="E661" s="42" t="s">
        <v>326</v>
      </c>
      <c r="F661" s="7" t="e">
        <f>#REF!</f>
        <v>#REF!</v>
      </c>
      <c r="G661" s="7" t="e">
        <f>#REF!</f>
        <v>#REF!</v>
      </c>
      <c r="H661" s="7" t="e">
        <f>#REF!</f>
        <v>#REF!</v>
      </c>
      <c r="I661" s="7" t="e">
        <f>#REF!</f>
        <v>#REF!</v>
      </c>
      <c r="J661" s="7" t="e">
        <f>#REF!</f>
        <v>#REF!</v>
      </c>
      <c r="K661" s="7">
        <f>'Прил.№4 ведомств.'!G753</f>
        <v>1303.8</v>
      </c>
      <c r="L661" s="7">
        <f>'Прил.№4 ведомств.'!H753</f>
        <v>1303.8</v>
      </c>
      <c r="M661" s="7">
        <f t="shared" si="253"/>
        <v>100</v>
      </c>
    </row>
    <row r="662" spans="1:13" ht="15.75">
      <c r="A662" s="43" t="s">
        <v>346</v>
      </c>
      <c r="B662" s="8" t="s">
        <v>315</v>
      </c>
      <c r="C662" s="8" t="s">
        <v>270</v>
      </c>
      <c r="D662" s="8"/>
      <c r="E662" s="8"/>
      <c r="F662" s="4" t="e">
        <f aca="true" t="shared" si="257" ref="F662:L662">F672+F663</f>
        <v>#REF!</v>
      </c>
      <c r="G662" s="4" t="e">
        <f t="shared" si="257"/>
        <v>#REF!</v>
      </c>
      <c r="H662" s="4" t="e">
        <f t="shared" si="257"/>
        <v>#REF!</v>
      </c>
      <c r="I662" s="4" t="e">
        <f t="shared" si="257"/>
        <v>#REF!</v>
      </c>
      <c r="J662" s="4" t="e">
        <f t="shared" si="257"/>
        <v>#REF!</v>
      </c>
      <c r="K662" s="4">
        <f t="shared" si="257"/>
        <v>19956.000000000004</v>
      </c>
      <c r="L662" s="4">
        <f t="shared" si="257"/>
        <v>19637.8</v>
      </c>
      <c r="M662" s="4">
        <f t="shared" si="253"/>
        <v>98.40549208258166</v>
      </c>
    </row>
    <row r="663" spans="1:13" ht="47.25" hidden="1">
      <c r="A663" s="26" t="s">
        <v>385</v>
      </c>
      <c r="B663" s="42" t="s">
        <v>315</v>
      </c>
      <c r="C663" s="42" t="s">
        <v>270</v>
      </c>
      <c r="D663" s="21" t="s">
        <v>386</v>
      </c>
      <c r="E663" s="8"/>
      <c r="F663" s="7" t="e">
        <f aca="true" t="shared" si="258" ref="F663:L663">F664+F667</f>
        <v>#REF!</v>
      </c>
      <c r="G663" s="7" t="e">
        <f t="shared" si="258"/>
        <v>#REF!</v>
      </c>
      <c r="H663" s="7" t="e">
        <f t="shared" si="258"/>
        <v>#REF!</v>
      </c>
      <c r="I663" s="7" t="e">
        <f t="shared" si="258"/>
        <v>#REF!</v>
      </c>
      <c r="J663" s="7" t="e">
        <f t="shared" si="258"/>
        <v>#REF!</v>
      </c>
      <c r="K663" s="7">
        <f t="shared" si="258"/>
        <v>0</v>
      </c>
      <c r="L663" s="7">
        <f t="shared" si="258"/>
        <v>0</v>
      </c>
      <c r="M663" s="4" t="e">
        <f t="shared" si="253"/>
        <v>#DIV/0!</v>
      </c>
    </row>
    <row r="664" spans="1:13" ht="31.5" hidden="1">
      <c r="A664" s="26" t="s">
        <v>387</v>
      </c>
      <c r="B664" s="42" t="s">
        <v>315</v>
      </c>
      <c r="C664" s="42" t="s">
        <v>270</v>
      </c>
      <c r="D664" s="21" t="s">
        <v>388</v>
      </c>
      <c r="E664" s="8"/>
      <c r="F664" s="7" t="e">
        <f>F665</f>
        <v>#REF!</v>
      </c>
      <c r="G664" s="7" t="e">
        <f aca="true" t="shared" si="259" ref="G664:L665">G665</f>
        <v>#REF!</v>
      </c>
      <c r="H664" s="7" t="e">
        <f t="shared" si="259"/>
        <v>#REF!</v>
      </c>
      <c r="I664" s="7" t="e">
        <f t="shared" si="259"/>
        <v>#REF!</v>
      </c>
      <c r="J664" s="7" t="e">
        <f t="shared" si="259"/>
        <v>#REF!</v>
      </c>
      <c r="K664" s="7">
        <f t="shared" si="259"/>
        <v>0</v>
      </c>
      <c r="L664" s="7">
        <f t="shared" si="259"/>
        <v>0</v>
      </c>
      <c r="M664" s="4" t="e">
        <f t="shared" si="253"/>
        <v>#DIV/0!</v>
      </c>
    </row>
    <row r="665" spans="1:13" ht="31.5" hidden="1">
      <c r="A665" s="26" t="s">
        <v>182</v>
      </c>
      <c r="B665" s="42" t="s">
        <v>315</v>
      </c>
      <c r="C665" s="42" t="s">
        <v>270</v>
      </c>
      <c r="D665" s="21" t="s">
        <v>388</v>
      </c>
      <c r="E665" s="42" t="s">
        <v>183</v>
      </c>
      <c r="F665" s="7" t="e">
        <f>F666</f>
        <v>#REF!</v>
      </c>
      <c r="G665" s="7" t="e">
        <f t="shared" si="259"/>
        <v>#REF!</v>
      </c>
      <c r="H665" s="7" t="e">
        <f t="shared" si="259"/>
        <v>#REF!</v>
      </c>
      <c r="I665" s="7" t="e">
        <f t="shared" si="259"/>
        <v>#REF!</v>
      </c>
      <c r="J665" s="7" t="e">
        <f t="shared" si="259"/>
        <v>#REF!</v>
      </c>
      <c r="K665" s="7">
        <f t="shared" si="259"/>
        <v>0</v>
      </c>
      <c r="L665" s="7">
        <f t="shared" si="259"/>
        <v>0</v>
      </c>
      <c r="M665" s="4" t="e">
        <f t="shared" si="253"/>
        <v>#DIV/0!</v>
      </c>
    </row>
    <row r="666" spans="1:13" ht="47.25" hidden="1">
      <c r="A666" s="26" t="s">
        <v>184</v>
      </c>
      <c r="B666" s="42" t="s">
        <v>315</v>
      </c>
      <c r="C666" s="42" t="s">
        <v>270</v>
      </c>
      <c r="D666" s="21" t="s">
        <v>388</v>
      </c>
      <c r="E666" s="42" t="s">
        <v>185</v>
      </c>
      <c r="F666" s="7" t="e">
        <f>#REF!</f>
        <v>#REF!</v>
      </c>
      <c r="G666" s="7" t="e">
        <f>#REF!</f>
        <v>#REF!</v>
      </c>
      <c r="H666" s="7" t="e">
        <f>#REF!</f>
        <v>#REF!</v>
      </c>
      <c r="I666" s="7" t="e">
        <f>#REF!</f>
        <v>#REF!</v>
      </c>
      <c r="J666" s="7" t="e">
        <f>#REF!</f>
        <v>#REF!</v>
      </c>
      <c r="K666" s="7">
        <f>'Прил.№4 ведомств.'!G758</f>
        <v>0</v>
      </c>
      <c r="L666" s="7">
        <f>'Прил.№4 ведомств.'!H758</f>
        <v>0</v>
      </c>
      <c r="M666" s="4" t="e">
        <f t="shared" si="253"/>
        <v>#DIV/0!</v>
      </c>
    </row>
    <row r="667" spans="1:13" ht="47.25" hidden="1">
      <c r="A667" s="26" t="s">
        <v>674</v>
      </c>
      <c r="B667" s="42" t="s">
        <v>315</v>
      </c>
      <c r="C667" s="42" t="s">
        <v>270</v>
      </c>
      <c r="D667" s="21" t="s">
        <v>529</v>
      </c>
      <c r="E667" s="42"/>
      <c r="F667" s="7" t="e">
        <f aca="true" t="shared" si="260" ref="F667:L667">F668+F670</f>
        <v>#REF!</v>
      </c>
      <c r="G667" s="7" t="e">
        <f t="shared" si="260"/>
        <v>#REF!</v>
      </c>
      <c r="H667" s="7" t="e">
        <f t="shared" si="260"/>
        <v>#REF!</v>
      </c>
      <c r="I667" s="7" t="e">
        <f t="shared" si="260"/>
        <v>#REF!</v>
      </c>
      <c r="J667" s="7" t="e">
        <f t="shared" si="260"/>
        <v>#REF!</v>
      </c>
      <c r="K667" s="7">
        <f t="shared" si="260"/>
        <v>0</v>
      </c>
      <c r="L667" s="7">
        <f t="shared" si="260"/>
        <v>0</v>
      </c>
      <c r="M667" s="4" t="e">
        <f t="shared" si="253"/>
        <v>#DIV/0!</v>
      </c>
    </row>
    <row r="668" spans="1:13" ht="78.75" hidden="1">
      <c r="A668" s="26" t="s">
        <v>178</v>
      </c>
      <c r="B668" s="42" t="s">
        <v>315</v>
      </c>
      <c r="C668" s="42" t="s">
        <v>270</v>
      </c>
      <c r="D668" s="21" t="s">
        <v>529</v>
      </c>
      <c r="E668" s="42" t="s">
        <v>179</v>
      </c>
      <c r="F668" s="7" t="e">
        <f>F669</f>
        <v>#REF!</v>
      </c>
      <c r="G668" s="7" t="e">
        <f aca="true" t="shared" si="261" ref="G668:L668">G669</f>
        <v>#REF!</v>
      </c>
      <c r="H668" s="7" t="e">
        <f t="shared" si="261"/>
        <v>#REF!</v>
      </c>
      <c r="I668" s="7" t="e">
        <f t="shared" si="261"/>
        <v>#REF!</v>
      </c>
      <c r="J668" s="7" t="e">
        <f t="shared" si="261"/>
        <v>#REF!</v>
      </c>
      <c r="K668" s="7">
        <f t="shared" si="261"/>
        <v>0</v>
      </c>
      <c r="L668" s="7">
        <f t="shared" si="261"/>
        <v>0</v>
      </c>
      <c r="M668" s="4" t="e">
        <f t="shared" si="253"/>
        <v>#DIV/0!</v>
      </c>
    </row>
    <row r="669" spans="1:13" ht="31.5" hidden="1">
      <c r="A669" s="26" t="s">
        <v>393</v>
      </c>
      <c r="B669" s="42" t="s">
        <v>315</v>
      </c>
      <c r="C669" s="42" t="s">
        <v>270</v>
      </c>
      <c r="D669" s="21" t="s">
        <v>529</v>
      </c>
      <c r="E669" s="42" t="s">
        <v>260</v>
      </c>
      <c r="F669" s="7" t="e">
        <f>#REF!</f>
        <v>#REF!</v>
      </c>
      <c r="G669" s="7" t="e">
        <f>#REF!</f>
        <v>#REF!</v>
      </c>
      <c r="H669" s="7" t="e">
        <f>#REF!</f>
        <v>#REF!</v>
      </c>
      <c r="I669" s="7" t="e">
        <f>#REF!</f>
        <v>#REF!</v>
      </c>
      <c r="J669" s="7" t="e">
        <f>#REF!</f>
        <v>#REF!</v>
      </c>
      <c r="K669" s="7">
        <f>'Прил.№4 ведомств.'!G761</f>
        <v>0</v>
      </c>
      <c r="L669" s="7">
        <f>'Прил.№4 ведомств.'!H761</f>
        <v>0</v>
      </c>
      <c r="M669" s="4" t="e">
        <f t="shared" si="253"/>
        <v>#DIV/0!</v>
      </c>
    </row>
    <row r="670" spans="1:13" ht="31.5" hidden="1">
      <c r="A670" s="26" t="s">
        <v>182</v>
      </c>
      <c r="B670" s="42" t="s">
        <v>315</v>
      </c>
      <c r="C670" s="42" t="s">
        <v>270</v>
      </c>
      <c r="D670" s="21" t="s">
        <v>529</v>
      </c>
      <c r="E670" s="42" t="s">
        <v>183</v>
      </c>
      <c r="F670" s="7" t="e">
        <f>F671</f>
        <v>#REF!</v>
      </c>
      <c r="G670" s="7" t="e">
        <f aca="true" t="shared" si="262" ref="G670:L670">G671</f>
        <v>#REF!</v>
      </c>
      <c r="H670" s="7" t="e">
        <f t="shared" si="262"/>
        <v>#REF!</v>
      </c>
      <c r="I670" s="7" t="e">
        <f t="shared" si="262"/>
        <v>#REF!</v>
      </c>
      <c r="J670" s="7" t="e">
        <f t="shared" si="262"/>
        <v>#REF!</v>
      </c>
      <c r="K670" s="7">
        <f t="shared" si="262"/>
        <v>0</v>
      </c>
      <c r="L670" s="7">
        <f t="shared" si="262"/>
        <v>0</v>
      </c>
      <c r="M670" s="4" t="e">
        <f t="shared" si="253"/>
        <v>#DIV/0!</v>
      </c>
    </row>
    <row r="671" spans="1:13" ht="47.25" hidden="1">
      <c r="A671" s="26" t="s">
        <v>184</v>
      </c>
      <c r="B671" s="42" t="s">
        <v>315</v>
      </c>
      <c r="C671" s="42" t="s">
        <v>270</v>
      </c>
      <c r="D671" s="21" t="s">
        <v>529</v>
      </c>
      <c r="E671" s="42" t="s">
        <v>185</v>
      </c>
      <c r="F671" s="7" t="e">
        <f>#REF!</f>
        <v>#REF!</v>
      </c>
      <c r="G671" s="7" t="e">
        <f>#REF!</f>
        <v>#REF!</v>
      </c>
      <c r="H671" s="7" t="e">
        <f>#REF!</f>
        <v>#REF!</v>
      </c>
      <c r="I671" s="7" t="e">
        <f>#REF!</f>
        <v>#REF!</v>
      </c>
      <c r="J671" s="7" t="e">
        <f>#REF!</f>
        <v>#REF!</v>
      </c>
      <c r="K671" s="7">
        <f>'Прил.№4 ведомств.'!G763</f>
        <v>0</v>
      </c>
      <c r="L671" s="7">
        <f>'Прил.№4 ведомств.'!H763</f>
        <v>0</v>
      </c>
      <c r="M671" s="4" t="e">
        <f t="shared" si="253"/>
        <v>#DIV/0!</v>
      </c>
    </row>
    <row r="672" spans="1:13" ht="15.75">
      <c r="A672" s="31" t="s">
        <v>172</v>
      </c>
      <c r="B672" s="42" t="s">
        <v>315</v>
      </c>
      <c r="C672" s="42" t="s">
        <v>270</v>
      </c>
      <c r="D672" s="42" t="s">
        <v>173</v>
      </c>
      <c r="E672" s="42"/>
      <c r="F672" s="7" t="e">
        <f aca="true" t="shared" si="263" ref="F672:L672">F673+F683+F679</f>
        <v>#REF!</v>
      </c>
      <c r="G672" s="7" t="e">
        <f t="shared" si="263"/>
        <v>#REF!</v>
      </c>
      <c r="H672" s="7" t="e">
        <f t="shared" si="263"/>
        <v>#REF!</v>
      </c>
      <c r="I672" s="7" t="e">
        <f t="shared" si="263"/>
        <v>#REF!</v>
      </c>
      <c r="J672" s="7" t="e">
        <f t="shared" si="263"/>
        <v>#REF!</v>
      </c>
      <c r="K672" s="7">
        <f t="shared" si="263"/>
        <v>19956.000000000004</v>
      </c>
      <c r="L672" s="7">
        <f t="shared" si="263"/>
        <v>19637.8</v>
      </c>
      <c r="M672" s="7">
        <f t="shared" si="253"/>
        <v>98.40549208258166</v>
      </c>
    </row>
    <row r="673" spans="1:13" ht="31.5">
      <c r="A673" s="31" t="s">
        <v>174</v>
      </c>
      <c r="B673" s="42" t="s">
        <v>315</v>
      </c>
      <c r="C673" s="42" t="s">
        <v>270</v>
      </c>
      <c r="D673" s="42" t="s">
        <v>175</v>
      </c>
      <c r="E673" s="42"/>
      <c r="F673" s="7" t="e">
        <f>F674</f>
        <v>#REF!</v>
      </c>
      <c r="G673" s="7" t="e">
        <f aca="true" t="shared" si="264" ref="G673:L673">G674</f>
        <v>#REF!</v>
      </c>
      <c r="H673" s="7" t="e">
        <f t="shared" si="264"/>
        <v>#REF!</v>
      </c>
      <c r="I673" s="7" t="e">
        <f t="shared" si="264"/>
        <v>#REF!</v>
      </c>
      <c r="J673" s="7" t="e">
        <f t="shared" si="264"/>
        <v>#REF!</v>
      </c>
      <c r="K673" s="7">
        <f t="shared" si="264"/>
        <v>6038.7</v>
      </c>
      <c r="L673" s="7">
        <f t="shared" si="264"/>
        <v>5873.099999999999</v>
      </c>
      <c r="M673" s="7">
        <f t="shared" si="253"/>
        <v>97.25768791296139</v>
      </c>
    </row>
    <row r="674" spans="1:13" ht="36.75" customHeight="1">
      <c r="A674" s="31" t="s">
        <v>176</v>
      </c>
      <c r="B674" s="42" t="s">
        <v>315</v>
      </c>
      <c r="C674" s="42" t="s">
        <v>270</v>
      </c>
      <c r="D674" s="42" t="s">
        <v>177</v>
      </c>
      <c r="E674" s="42"/>
      <c r="F674" s="7" t="e">
        <f aca="true" t="shared" si="265" ref="F674:L674">F675+F677</f>
        <v>#REF!</v>
      </c>
      <c r="G674" s="7" t="e">
        <f t="shared" si="265"/>
        <v>#REF!</v>
      </c>
      <c r="H674" s="7" t="e">
        <f t="shared" si="265"/>
        <v>#REF!</v>
      </c>
      <c r="I674" s="7" t="e">
        <f t="shared" si="265"/>
        <v>#REF!</v>
      </c>
      <c r="J674" s="7" t="e">
        <f t="shared" si="265"/>
        <v>#REF!</v>
      </c>
      <c r="K674" s="7">
        <f t="shared" si="265"/>
        <v>6038.7</v>
      </c>
      <c r="L674" s="7">
        <f t="shared" si="265"/>
        <v>5873.099999999999</v>
      </c>
      <c r="M674" s="7">
        <f t="shared" si="253"/>
        <v>97.25768791296139</v>
      </c>
    </row>
    <row r="675" spans="1:13" ht="78.75">
      <c r="A675" s="31" t="s">
        <v>178</v>
      </c>
      <c r="B675" s="42" t="s">
        <v>315</v>
      </c>
      <c r="C675" s="42" t="s">
        <v>270</v>
      </c>
      <c r="D675" s="42" t="s">
        <v>177</v>
      </c>
      <c r="E675" s="42" t="s">
        <v>179</v>
      </c>
      <c r="F675" s="63" t="e">
        <f>F676</f>
        <v>#REF!</v>
      </c>
      <c r="G675" s="63" t="e">
        <f aca="true" t="shared" si="266" ref="G675:L675">G676</f>
        <v>#REF!</v>
      </c>
      <c r="H675" s="63" t="e">
        <f t="shared" si="266"/>
        <v>#REF!</v>
      </c>
      <c r="I675" s="63" t="e">
        <f t="shared" si="266"/>
        <v>#REF!</v>
      </c>
      <c r="J675" s="63" t="e">
        <f t="shared" si="266"/>
        <v>#REF!</v>
      </c>
      <c r="K675" s="63">
        <f t="shared" si="266"/>
        <v>5761.2</v>
      </c>
      <c r="L675" s="63">
        <f t="shared" si="266"/>
        <v>5645.9</v>
      </c>
      <c r="M675" s="7">
        <f t="shared" si="253"/>
        <v>97.99868083038255</v>
      </c>
    </row>
    <row r="676" spans="1:13" ht="31.5">
      <c r="A676" s="31" t="s">
        <v>180</v>
      </c>
      <c r="B676" s="42" t="s">
        <v>315</v>
      </c>
      <c r="C676" s="42" t="s">
        <v>270</v>
      </c>
      <c r="D676" s="42" t="s">
        <v>177</v>
      </c>
      <c r="E676" s="42" t="s">
        <v>181</v>
      </c>
      <c r="F676" s="63" t="e">
        <f>#REF!</f>
        <v>#REF!</v>
      </c>
      <c r="G676" s="63" t="e">
        <f>#REF!</f>
        <v>#REF!</v>
      </c>
      <c r="H676" s="63" t="e">
        <f>#REF!</f>
        <v>#REF!</v>
      </c>
      <c r="I676" s="63" t="e">
        <f>#REF!</f>
        <v>#REF!</v>
      </c>
      <c r="J676" s="63" t="e">
        <f>#REF!</f>
        <v>#REF!</v>
      </c>
      <c r="K676" s="63">
        <f>'Прил.№4 ведомств.'!G768</f>
        <v>5761.2</v>
      </c>
      <c r="L676" s="63">
        <f>'Прил.№4 ведомств.'!H768</f>
        <v>5645.9</v>
      </c>
      <c r="M676" s="7">
        <f t="shared" si="253"/>
        <v>97.99868083038255</v>
      </c>
    </row>
    <row r="677" spans="1:13" ht="31.5">
      <c r="A677" s="31" t="s">
        <v>182</v>
      </c>
      <c r="B677" s="42" t="s">
        <v>315</v>
      </c>
      <c r="C677" s="42" t="s">
        <v>270</v>
      </c>
      <c r="D677" s="42" t="s">
        <v>177</v>
      </c>
      <c r="E677" s="42" t="s">
        <v>183</v>
      </c>
      <c r="F677" s="7" t="e">
        <f>F678</f>
        <v>#REF!</v>
      </c>
      <c r="G677" s="7" t="e">
        <f aca="true" t="shared" si="267" ref="G677:L677">G678</f>
        <v>#REF!</v>
      </c>
      <c r="H677" s="7" t="e">
        <f t="shared" si="267"/>
        <v>#REF!</v>
      </c>
      <c r="I677" s="7" t="e">
        <f t="shared" si="267"/>
        <v>#REF!</v>
      </c>
      <c r="J677" s="7" t="e">
        <f t="shared" si="267"/>
        <v>#REF!</v>
      </c>
      <c r="K677" s="7">
        <f t="shared" si="267"/>
        <v>277.5</v>
      </c>
      <c r="L677" s="7">
        <f t="shared" si="267"/>
        <v>227.2</v>
      </c>
      <c r="M677" s="7">
        <f t="shared" si="253"/>
        <v>81.87387387387388</v>
      </c>
    </row>
    <row r="678" spans="1:13" ht="47.25">
      <c r="A678" s="31" t="s">
        <v>184</v>
      </c>
      <c r="B678" s="42" t="s">
        <v>315</v>
      </c>
      <c r="C678" s="42" t="s">
        <v>270</v>
      </c>
      <c r="D678" s="42" t="s">
        <v>177</v>
      </c>
      <c r="E678" s="42" t="s">
        <v>185</v>
      </c>
      <c r="F678" s="7" t="e">
        <f>#REF!</f>
        <v>#REF!</v>
      </c>
      <c r="G678" s="7" t="e">
        <f>#REF!</f>
        <v>#REF!</v>
      </c>
      <c r="H678" s="7" t="e">
        <f>#REF!</f>
        <v>#REF!</v>
      </c>
      <c r="I678" s="7" t="e">
        <f>#REF!</f>
        <v>#REF!</v>
      </c>
      <c r="J678" s="7" t="e">
        <f>#REF!</f>
        <v>#REF!</v>
      </c>
      <c r="K678" s="7">
        <f>'Прил.№4 ведомств.'!G770</f>
        <v>277.5</v>
      </c>
      <c r="L678" s="7">
        <f>'Прил.№4 ведомств.'!H770</f>
        <v>227.2</v>
      </c>
      <c r="M678" s="7">
        <f t="shared" si="253"/>
        <v>81.87387387387388</v>
      </c>
    </row>
    <row r="679" spans="1:13" ht="31.5" customHeight="1" hidden="1">
      <c r="A679" s="31" t="s">
        <v>236</v>
      </c>
      <c r="B679" s="42" t="s">
        <v>315</v>
      </c>
      <c r="C679" s="42" t="s">
        <v>270</v>
      </c>
      <c r="D679" s="42" t="s">
        <v>237</v>
      </c>
      <c r="E679" s="42"/>
      <c r="F679" s="7">
        <f>F680</f>
        <v>0</v>
      </c>
      <c r="G679" s="7">
        <f aca="true" t="shared" si="268" ref="G679:L681">G680</f>
        <v>0</v>
      </c>
      <c r="H679" s="7">
        <f t="shared" si="268"/>
        <v>0</v>
      </c>
      <c r="I679" s="7">
        <f t="shared" si="268"/>
        <v>0</v>
      </c>
      <c r="J679" s="7">
        <f t="shared" si="268"/>
        <v>0</v>
      </c>
      <c r="K679" s="7">
        <f t="shared" si="268"/>
        <v>0</v>
      </c>
      <c r="L679" s="7">
        <f t="shared" si="268"/>
        <v>0</v>
      </c>
      <c r="M679" s="7" t="e">
        <f t="shared" si="253"/>
        <v>#DIV/0!</v>
      </c>
    </row>
    <row r="680" spans="1:13" ht="31.5" customHeight="1" hidden="1">
      <c r="A680" s="69" t="s">
        <v>347</v>
      </c>
      <c r="B680" s="42" t="s">
        <v>315</v>
      </c>
      <c r="C680" s="42" t="s">
        <v>270</v>
      </c>
      <c r="D680" s="21" t="s">
        <v>348</v>
      </c>
      <c r="E680" s="42"/>
      <c r="F680" s="7">
        <f>F681</f>
        <v>0</v>
      </c>
      <c r="G680" s="7">
        <f t="shared" si="268"/>
        <v>0</v>
      </c>
      <c r="H680" s="7">
        <f t="shared" si="268"/>
        <v>0</v>
      </c>
      <c r="I680" s="7">
        <f t="shared" si="268"/>
        <v>0</v>
      </c>
      <c r="J680" s="7">
        <f t="shared" si="268"/>
        <v>0</v>
      </c>
      <c r="K680" s="7">
        <f t="shared" si="268"/>
        <v>0</v>
      </c>
      <c r="L680" s="7">
        <f t="shared" si="268"/>
        <v>0</v>
      </c>
      <c r="M680" s="7" t="e">
        <f t="shared" si="253"/>
        <v>#DIV/0!</v>
      </c>
    </row>
    <row r="681" spans="1:13" ht="15.75" customHeight="1" hidden="1">
      <c r="A681" s="31" t="s">
        <v>186</v>
      </c>
      <c r="B681" s="42" t="s">
        <v>315</v>
      </c>
      <c r="C681" s="42" t="s">
        <v>270</v>
      </c>
      <c r="D681" s="21" t="s">
        <v>348</v>
      </c>
      <c r="E681" s="42" t="s">
        <v>196</v>
      </c>
      <c r="F681" s="7">
        <f>F682</f>
        <v>0</v>
      </c>
      <c r="G681" s="7">
        <f t="shared" si="268"/>
        <v>0</v>
      </c>
      <c r="H681" s="7">
        <f t="shared" si="268"/>
        <v>0</v>
      </c>
      <c r="I681" s="7">
        <f t="shared" si="268"/>
        <v>0</v>
      </c>
      <c r="J681" s="7">
        <f t="shared" si="268"/>
        <v>0</v>
      </c>
      <c r="K681" s="7">
        <f t="shared" si="268"/>
        <v>0</v>
      </c>
      <c r="L681" s="7">
        <f t="shared" si="268"/>
        <v>0</v>
      </c>
      <c r="M681" s="7" t="e">
        <f t="shared" si="253"/>
        <v>#DIV/0!</v>
      </c>
    </row>
    <row r="682" spans="1:13" ht="47.25" customHeight="1" hidden="1">
      <c r="A682" s="31" t="s">
        <v>235</v>
      </c>
      <c r="B682" s="42" t="s">
        <v>315</v>
      </c>
      <c r="C682" s="42" t="s">
        <v>270</v>
      </c>
      <c r="D682" s="21" t="s">
        <v>348</v>
      </c>
      <c r="E682" s="42" t="s">
        <v>211</v>
      </c>
      <c r="F682" s="7">
        <f>90-90</f>
        <v>0</v>
      </c>
      <c r="G682" s="7">
        <f aca="true" t="shared" si="269" ref="G682:L682">90-90</f>
        <v>0</v>
      </c>
      <c r="H682" s="7">
        <f t="shared" si="269"/>
        <v>0</v>
      </c>
      <c r="I682" s="7">
        <f t="shared" si="269"/>
        <v>0</v>
      </c>
      <c r="J682" s="7">
        <f t="shared" si="269"/>
        <v>0</v>
      </c>
      <c r="K682" s="7">
        <f t="shared" si="269"/>
        <v>0</v>
      </c>
      <c r="L682" s="7">
        <f t="shared" si="269"/>
        <v>0</v>
      </c>
      <c r="M682" s="7" t="e">
        <f t="shared" si="253"/>
        <v>#DIV/0!</v>
      </c>
    </row>
    <row r="683" spans="1:13" ht="15.75">
      <c r="A683" s="31" t="s">
        <v>192</v>
      </c>
      <c r="B683" s="42" t="s">
        <v>315</v>
      </c>
      <c r="C683" s="42" t="s">
        <v>270</v>
      </c>
      <c r="D683" s="42" t="s">
        <v>193</v>
      </c>
      <c r="E683" s="42"/>
      <c r="F683" s="7" t="e">
        <f aca="true" t="shared" si="270" ref="F683:L683">F684+F687</f>
        <v>#REF!</v>
      </c>
      <c r="G683" s="7" t="e">
        <f t="shared" si="270"/>
        <v>#REF!</v>
      </c>
      <c r="H683" s="7" t="e">
        <f t="shared" si="270"/>
        <v>#REF!</v>
      </c>
      <c r="I683" s="7" t="e">
        <f t="shared" si="270"/>
        <v>#REF!</v>
      </c>
      <c r="J683" s="7" t="e">
        <f t="shared" si="270"/>
        <v>#REF!</v>
      </c>
      <c r="K683" s="7">
        <f t="shared" si="270"/>
        <v>13917.300000000003</v>
      </c>
      <c r="L683" s="7">
        <f t="shared" si="270"/>
        <v>13764.7</v>
      </c>
      <c r="M683" s="7">
        <f t="shared" si="253"/>
        <v>98.90352295344641</v>
      </c>
    </row>
    <row r="684" spans="1:13" ht="15.75">
      <c r="A684" s="31" t="s">
        <v>530</v>
      </c>
      <c r="B684" s="42" t="s">
        <v>315</v>
      </c>
      <c r="C684" s="42" t="s">
        <v>270</v>
      </c>
      <c r="D684" s="42" t="s">
        <v>531</v>
      </c>
      <c r="E684" s="42"/>
      <c r="F684" s="7" t="e">
        <f>F685</f>
        <v>#REF!</v>
      </c>
      <c r="G684" s="7" t="e">
        <f aca="true" t="shared" si="271" ref="G684:L685">G685</f>
        <v>#REF!</v>
      </c>
      <c r="H684" s="7" t="e">
        <f t="shared" si="271"/>
        <v>#REF!</v>
      </c>
      <c r="I684" s="7" t="e">
        <f t="shared" si="271"/>
        <v>#REF!</v>
      </c>
      <c r="J684" s="7" t="e">
        <f t="shared" si="271"/>
        <v>#REF!</v>
      </c>
      <c r="K684" s="7">
        <f t="shared" si="271"/>
        <v>350</v>
      </c>
      <c r="L684" s="7">
        <f t="shared" si="271"/>
        <v>327</v>
      </c>
      <c r="M684" s="7">
        <f t="shared" si="253"/>
        <v>93.42857142857143</v>
      </c>
    </row>
    <row r="685" spans="1:13" ht="31.5">
      <c r="A685" s="31" t="s">
        <v>182</v>
      </c>
      <c r="B685" s="42" t="s">
        <v>315</v>
      </c>
      <c r="C685" s="42" t="s">
        <v>270</v>
      </c>
      <c r="D685" s="42" t="s">
        <v>531</v>
      </c>
      <c r="E685" s="42" t="s">
        <v>183</v>
      </c>
      <c r="F685" s="7" t="e">
        <f>F686</f>
        <v>#REF!</v>
      </c>
      <c r="G685" s="7" t="e">
        <f t="shared" si="271"/>
        <v>#REF!</v>
      </c>
      <c r="H685" s="7" t="e">
        <f t="shared" si="271"/>
        <v>#REF!</v>
      </c>
      <c r="I685" s="7" t="e">
        <f t="shared" si="271"/>
        <v>#REF!</v>
      </c>
      <c r="J685" s="7" t="e">
        <f t="shared" si="271"/>
        <v>#REF!</v>
      </c>
      <c r="K685" s="7">
        <f t="shared" si="271"/>
        <v>350</v>
      </c>
      <c r="L685" s="7">
        <f t="shared" si="271"/>
        <v>327</v>
      </c>
      <c r="M685" s="7">
        <f t="shared" si="253"/>
        <v>93.42857142857143</v>
      </c>
    </row>
    <row r="686" spans="1:13" ht="47.25">
      <c r="A686" s="31" t="s">
        <v>184</v>
      </c>
      <c r="B686" s="42" t="s">
        <v>315</v>
      </c>
      <c r="C686" s="42" t="s">
        <v>270</v>
      </c>
      <c r="D686" s="42" t="s">
        <v>531</v>
      </c>
      <c r="E686" s="42" t="s">
        <v>185</v>
      </c>
      <c r="F686" s="7" t="e">
        <f>#REF!</f>
        <v>#REF!</v>
      </c>
      <c r="G686" s="7" t="e">
        <f>#REF!</f>
        <v>#REF!</v>
      </c>
      <c r="H686" s="7" t="e">
        <f>#REF!</f>
        <v>#REF!</v>
      </c>
      <c r="I686" s="7" t="e">
        <f>#REF!</f>
        <v>#REF!</v>
      </c>
      <c r="J686" s="7" t="e">
        <f>#REF!</f>
        <v>#REF!</v>
      </c>
      <c r="K686" s="7">
        <f>'Прил.№4 ведомств.'!G774</f>
        <v>350</v>
      </c>
      <c r="L686" s="7">
        <f>'Прил.№4 ведомств.'!H774</f>
        <v>327</v>
      </c>
      <c r="M686" s="7">
        <f t="shared" si="253"/>
        <v>93.42857142857143</v>
      </c>
    </row>
    <row r="687" spans="1:13" ht="31.5">
      <c r="A687" s="26" t="s">
        <v>391</v>
      </c>
      <c r="B687" s="42" t="s">
        <v>315</v>
      </c>
      <c r="C687" s="42" t="s">
        <v>270</v>
      </c>
      <c r="D687" s="42" t="s">
        <v>392</v>
      </c>
      <c r="E687" s="42"/>
      <c r="F687" s="7" t="e">
        <f aca="true" t="shared" si="272" ref="F687:L687">F688+F690+F692</f>
        <v>#REF!</v>
      </c>
      <c r="G687" s="7" t="e">
        <f t="shared" si="272"/>
        <v>#REF!</v>
      </c>
      <c r="H687" s="7" t="e">
        <f t="shared" si="272"/>
        <v>#REF!</v>
      </c>
      <c r="I687" s="7" t="e">
        <f t="shared" si="272"/>
        <v>#REF!</v>
      </c>
      <c r="J687" s="7" t="e">
        <f t="shared" si="272"/>
        <v>#REF!</v>
      </c>
      <c r="K687" s="7">
        <f t="shared" si="272"/>
        <v>13567.300000000003</v>
      </c>
      <c r="L687" s="7">
        <f t="shared" si="272"/>
        <v>13437.7</v>
      </c>
      <c r="M687" s="7">
        <f t="shared" si="253"/>
        <v>99.04476203813579</v>
      </c>
    </row>
    <row r="688" spans="1:13" ht="78.75">
      <c r="A688" s="31" t="s">
        <v>178</v>
      </c>
      <c r="B688" s="42" t="s">
        <v>315</v>
      </c>
      <c r="C688" s="42" t="s">
        <v>270</v>
      </c>
      <c r="D688" s="42" t="s">
        <v>392</v>
      </c>
      <c r="E688" s="42" t="s">
        <v>179</v>
      </c>
      <c r="F688" s="7" t="e">
        <f>F689</f>
        <v>#REF!</v>
      </c>
      <c r="G688" s="7" t="e">
        <f aca="true" t="shared" si="273" ref="G688:L688">G689</f>
        <v>#REF!</v>
      </c>
      <c r="H688" s="7" t="e">
        <f t="shared" si="273"/>
        <v>#REF!</v>
      </c>
      <c r="I688" s="7" t="e">
        <f t="shared" si="273"/>
        <v>#REF!</v>
      </c>
      <c r="J688" s="7" t="e">
        <f t="shared" si="273"/>
        <v>#REF!</v>
      </c>
      <c r="K688" s="7">
        <f t="shared" si="273"/>
        <v>12139.000000000004</v>
      </c>
      <c r="L688" s="7">
        <f t="shared" si="273"/>
        <v>12054.1</v>
      </c>
      <c r="M688" s="7">
        <f t="shared" si="253"/>
        <v>99.30060136749319</v>
      </c>
    </row>
    <row r="689" spans="1:13" ht="31.5">
      <c r="A689" s="48" t="s">
        <v>393</v>
      </c>
      <c r="B689" s="42" t="s">
        <v>315</v>
      </c>
      <c r="C689" s="42" t="s">
        <v>270</v>
      </c>
      <c r="D689" s="42" t="s">
        <v>392</v>
      </c>
      <c r="E689" s="42" t="s">
        <v>260</v>
      </c>
      <c r="F689" s="63" t="e">
        <f>#REF!</f>
        <v>#REF!</v>
      </c>
      <c r="G689" s="63" t="e">
        <f>#REF!</f>
        <v>#REF!</v>
      </c>
      <c r="H689" s="63" t="e">
        <f>#REF!</f>
        <v>#REF!</v>
      </c>
      <c r="I689" s="63" t="e">
        <f>#REF!</f>
        <v>#REF!</v>
      </c>
      <c r="J689" s="63" t="e">
        <f>#REF!</f>
        <v>#REF!</v>
      </c>
      <c r="K689" s="63">
        <f>'Прил.№4 ведомств.'!G777</f>
        <v>12139.000000000004</v>
      </c>
      <c r="L689" s="63">
        <f>'Прил.№4 ведомств.'!H777</f>
        <v>12054.1</v>
      </c>
      <c r="M689" s="7">
        <f t="shared" si="253"/>
        <v>99.30060136749319</v>
      </c>
    </row>
    <row r="690" spans="1:13" ht="31.5">
      <c r="A690" s="31" t="s">
        <v>182</v>
      </c>
      <c r="B690" s="42" t="s">
        <v>315</v>
      </c>
      <c r="C690" s="42" t="s">
        <v>270</v>
      </c>
      <c r="D690" s="42" t="s">
        <v>392</v>
      </c>
      <c r="E690" s="42" t="s">
        <v>183</v>
      </c>
      <c r="F690" s="7" t="e">
        <f>F691</f>
        <v>#REF!</v>
      </c>
      <c r="G690" s="7" t="e">
        <f aca="true" t="shared" si="274" ref="G690:L690">G691</f>
        <v>#REF!</v>
      </c>
      <c r="H690" s="7" t="e">
        <f t="shared" si="274"/>
        <v>#REF!</v>
      </c>
      <c r="I690" s="7" t="e">
        <f t="shared" si="274"/>
        <v>#REF!</v>
      </c>
      <c r="J690" s="7" t="e">
        <f t="shared" si="274"/>
        <v>#REF!</v>
      </c>
      <c r="K690" s="7">
        <f t="shared" si="274"/>
        <v>1412.8999999999999</v>
      </c>
      <c r="L690" s="7">
        <f t="shared" si="274"/>
        <v>1381.2</v>
      </c>
      <c r="M690" s="7">
        <f t="shared" si="253"/>
        <v>97.75638757166114</v>
      </c>
    </row>
    <row r="691" spans="1:13" ht="47.25">
      <c r="A691" s="31" t="s">
        <v>184</v>
      </c>
      <c r="B691" s="42" t="s">
        <v>315</v>
      </c>
      <c r="C691" s="42" t="s">
        <v>270</v>
      </c>
      <c r="D691" s="42" t="s">
        <v>392</v>
      </c>
      <c r="E691" s="42" t="s">
        <v>185</v>
      </c>
      <c r="F691" s="7" t="e">
        <f>#REF!</f>
        <v>#REF!</v>
      </c>
      <c r="G691" s="7" t="e">
        <f>#REF!</f>
        <v>#REF!</v>
      </c>
      <c r="H691" s="7" t="e">
        <f>#REF!</f>
        <v>#REF!</v>
      </c>
      <c r="I691" s="7" t="e">
        <f>#REF!</f>
        <v>#REF!</v>
      </c>
      <c r="J691" s="7" t="e">
        <f>#REF!</f>
        <v>#REF!</v>
      </c>
      <c r="K691" s="7">
        <f>'Прил.№4 ведомств.'!G779</f>
        <v>1412.8999999999999</v>
      </c>
      <c r="L691" s="7">
        <f>'Прил.№4 ведомств.'!H779</f>
        <v>1381.2</v>
      </c>
      <c r="M691" s="7">
        <f t="shared" si="253"/>
        <v>97.75638757166114</v>
      </c>
    </row>
    <row r="692" spans="1:13" ht="15.75">
      <c r="A692" s="31" t="s">
        <v>186</v>
      </c>
      <c r="B692" s="42" t="s">
        <v>315</v>
      </c>
      <c r="C692" s="42" t="s">
        <v>270</v>
      </c>
      <c r="D692" s="42" t="s">
        <v>392</v>
      </c>
      <c r="E692" s="42" t="s">
        <v>196</v>
      </c>
      <c r="F692" s="7" t="e">
        <f>F693</f>
        <v>#REF!</v>
      </c>
      <c r="G692" s="7" t="e">
        <f aca="true" t="shared" si="275" ref="G692:L692">G693</f>
        <v>#REF!</v>
      </c>
      <c r="H692" s="7" t="e">
        <f t="shared" si="275"/>
        <v>#REF!</v>
      </c>
      <c r="I692" s="7" t="e">
        <f t="shared" si="275"/>
        <v>#REF!</v>
      </c>
      <c r="J692" s="7" t="e">
        <f t="shared" si="275"/>
        <v>#REF!</v>
      </c>
      <c r="K692" s="7">
        <f t="shared" si="275"/>
        <v>15.399999999999999</v>
      </c>
      <c r="L692" s="7">
        <f t="shared" si="275"/>
        <v>2.4</v>
      </c>
      <c r="M692" s="7">
        <f t="shared" si="253"/>
        <v>15.584415584415584</v>
      </c>
    </row>
    <row r="693" spans="1:13" ht="15.75">
      <c r="A693" s="31" t="s">
        <v>620</v>
      </c>
      <c r="B693" s="42" t="s">
        <v>315</v>
      </c>
      <c r="C693" s="42" t="s">
        <v>270</v>
      </c>
      <c r="D693" s="42" t="s">
        <v>392</v>
      </c>
      <c r="E693" s="42" t="s">
        <v>189</v>
      </c>
      <c r="F693" s="7" t="e">
        <f>#REF!</f>
        <v>#REF!</v>
      </c>
      <c r="G693" s="7" t="e">
        <f>#REF!</f>
        <v>#REF!</v>
      </c>
      <c r="H693" s="7" t="e">
        <f>#REF!</f>
        <v>#REF!</v>
      </c>
      <c r="I693" s="7" t="e">
        <f>#REF!</f>
        <v>#REF!</v>
      </c>
      <c r="J693" s="7" t="e">
        <f>#REF!</f>
        <v>#REF!</v>
      </c>
      <c r="K693" s="7">
        <f>'Прил.№4 ведомств.'!G781</f>
        <v>15.399999999999999</v>
      </c>
      <c r="L693" s="7">
        <f>'Прил.№4 ведомств.'!H781</f>
        <v>2.4</v>
      </c>
      <c r="M693" s="7">
        <f t="shared" si="253"/>
        <v>15.584415584415584</v>
      </c>
    </row>
    <row r="694" spans="1:13" ht="15.75">
      <c r="A694" s="43" t="s">
        <v>349</v>
      </c>
      <c r="B694" s="8" t="s">
        <v>350</v>
      </c>
      <c r="C694" s="8"/>
      <c r="D694" s="8"/>
      <c r="E694" s="8"/>
      <c r="F694" s="4" t="e">
        <f aca="true" t="shared" si="276" ref="F694:L694">F695+F786</f>
        <v>#REF!</v>
      </c>
      <c r="G694" s="4" t="e">
        <f t="shared" si="276"/>
        <v>#REF!</v>
      </c>
      <c r="H694" s="4" t="e">
        <f t="shared" si="276"/>
        <v>#REF!</v>
      </c>
      <c r="I694" s="4" t="e">
        <f t="shared" si="276"/>
        <v>#REF!</v>
      </c>
      <c r="J694" s="4" t="e">
        <f t="shared" si="276"/>
        <v>#REF!</v>
      </c>
      <c r="K694" s="4">
        <f t="shared" si="276"/>
        <v>63365.399999999994</v>
      </c>
      <c r="L694" s="4">
        <f t="shared" si="276"/>
        <v>62963.200000000004</v>
      </c>
      <c r="M694" s="4">
        <f t="shared" si="253"/>
        <v>99.36526874287863</v>
      </c>
    </row>
    <row r="695" spans="1:15" ht="15.75">
      <c r="A695" s="43" t="s">
        <v>351</v>
      </c>
      <c r="B695" s="8" t="s">
        <v>350</v>
      </c>
      <c r="C695" s="8" t="s">
        <v>169</v>
      </c>
      <c r="D695" s="8"/>
      <c r="E695" s="8"/>
      <c r="F695" s="4" t="e">
        <f aca="true" t="shared" si="277" ref="F695:L695">F696+F765+F761</f>
        <v>#REF!</v>
      </c>
      <c r="G695" s="4" t="e">
        <f t="shared" si="277"/>
        <v>#REF!</v>
      </c>
      <c r="H695" s="4" t="e">
        <f t="shared" si="277"/>
        <v>#REF!</v>
      </c>
      <c r="I695" s="4" t="e">
        <f t="shared" si="277"/>
        <v>#REF!</v>
      </c>
      <c r="J695" s="4" t="e">
        <f t="shared" si="277"/>
        <v>#REF!</v>
      </c>
      <c r="K695" s="4">
        <f t="shared" si="277"/>
        <v>45079.7</v>
      </c>
      <c r="L695" s="4">
        <f t="shared" si="277"/>
        <v>44678.3</v>
      </c>
      <c r="M695" s="4">
        <f t="shared" si="253"/>
        <v>99.10957703800159</v>
      </c>
      <c r="N695" s="23"/>
      <c r="O695" s="23"/>
    </row>
    <row r="696" spans="1:13" ht="31.5">
      <c r="A696" s="31" t="s">
        <v>317</v>
      </c>
      <c r="B696" s="42" t="s">
        <v>350</v>
      </c>
      <c r="C696" s="42" t="s">
        <v>169</v>
      </c>
      <c r="D696" s="42" t="s">
        <v>318</v>
      </c>
      <c r="E696" s="42"/>
      <c r="F696" s="7" t="e">
        <f aca="true" t="shared" si="278" ref="F696:L696">F697+F728</f>
        <v>#REF!</v>
      </c>
      <c r="G696" s="7" t="e">
        <f t="shared" si="278"/>
        <v>#REF!</v>
      </c>
      <c r="H696" s="7" t="e">
        <f t="shared" si="278"/>
        <v>#REF!</v>
      </c>
      <c r="I696" s="7" t="e">
        <f t="shared" si="278"/>
        <v>#REF!</v>
      </c>
      <c r="J696" s="7" t="e">
        <f t="shared" si="278"/>
        <v>#REF!</v>
      </c>
      <c r="K696" s="7">
        <f t="shared" si="278"/>
        <v>42979.899999999994</v>
      </c>
      <c r="L696" s="7">
        <f t="shared" si="278"/>
        <v>42598.8</v>
      </c>
      <c r="M696" s="7">
        <f t="shared" si="253"/>
        <v>99.1133064525511</v>
      </c>
    </row>
    <row r="697" spans="1:13" ht="47.25">
      <c r="A697" s="31" t="s">
        <v>352</v>
      </c>
      <c r="B697" s="42" t="s">
        <v>350</v>
      </c>
      <c r="C697" s="42" t="s">
        <v>169</v>
      </c>
      <c r="D697" s="42" t="s">
        <v>353</v>
      </c>
      <c r="E697" s="42"/>
      <c r="F697" s="7" t="e">
        <f aca="true" t="shared" si="279" ref="F697:L697">F698+F701+F704+F707+F710+F713+F716+F719+F722+F725</f>
        <v>#REF!</v>
      </c>
      <c r="G697" s="7" t="e">
        <f t="shared" si="279"/>
        <v>#REF!</v>
      </c>
      <c r="H697" s="7" t="e">
        <f t="shared" si="279"/>
        <v>#REF!</v>
      </c>
      <c r="I697" s="7" t="e">
        <f t="shared" si="279"/>
        <v>#REF!</v>
      </c>
      <c r="J697" s="7" t="e">
        <f t="shared" si="279"/>
        <v>#REF!</v>
      </c>
      <c r="K697" s="7">
        <f t="shared" si="279"/>
        <v>24482.9</v>
      </c>
      <c r="L697" s="7">
        <f t="shared" si="279"/>
        <v>24106.800000000003</v>
      </c>
      <c r="M697" s="7">
        <f t="shared" si="253"/>
        <v>98.46382577227372</v>
      </c>
    </row>
    <row r="698" spans="1:13" ht="31.5">
      <c r="A698" s="31" t="s">
        <v>354</v>
      </c>
      <c r="B698" s="42" t="s">
        <v>350</v>
      </c>
      <c r="C698" s="42" t="s">
        <v>169</v>
      </c>
      <c r="D698" s="42" t="s">
        <v>355</v>
      </c>
      <c r="E698" s="42"/>
      <c r="F698" s="7" t="e">
        <f>F699</f>
        <v>#REF!</v>
      </c>
      <c r="G698" s="7" t="e">
        <f aca="true" t="shared" si="280" ref="G698:L699">G699</f>
        <v>#REF!</v>
      </c>
      <c r="H698" s="7" t="e">
        <f t="shared" si="280"/>
        <v>#REF!</v>
      </c>
      <c r="I698" s="7" t="e">
        <f t="shared" si="280"/>
        <v>#REF!</v>
      </c>
      <c r="J698" s="7" t="e">
        <f t="shared" si="280"/>
        <v>#REF!</v>
      </c>
      <c r="K698" s="7">
        <f t="shared" si="280"/>
        <v>22748.800000000003</v>
      </c>
      <c r="L698" s="7">
        <f t="shared" si="280"/>
        <v>22386.4</v>
      </c>
      <c r="M698" s="7">
        <f t="shared" si="253"/>
        <v>98.40694893796595</v>
      </c>
    </row>
    <row r="699" spans="1:13" ht="47.25">
      <c r="A699" s="31" t="s">
        <v>323</v>
      </c>
      <c r="B699" s="42" t="s">
        <v>350</v>
      </c>
      <c r="C699" s="42" t="s">
        <v>169</v>
      </c>
      <c r="D699" s="42" t="s">
        <v>355</v>
      </c>
      <c r="E699" s="42" t="s">
        <v>324</v>
      </c>
      <c r="F699" s="7" t="e">
        <f>F700</f>
        <v>#REF!</v>
      </c>
      <c r="G699" s="7" t="e">
        <f t="shared" si="280"/>
        <v>#REF!</v>
      </c>
      <c r="H699" s="7" t="e">
        <f t="shared" si="280"/>
        <v>#REF!</v>
      </c>
      <c r="I699" s="7" t="e">
        <f t="shared" si="280"/>
        <v>#REF!</v>
      </c>
      <c r="J699" s="7" t="e">
        <f t="shared" si="280"/>
        <v>#REF!</v>
      </c>
      <c r="K699" s="7">
        <f t="shared" si="280"/>
        <v>22748.800000000003</v>
      </c>
      <c r="L699" s="7">
        <f t="shared" si="280"/>
        <v>22386.4</v>
      </c>
      <c r="M699" s="7">
        <f t="shared" si="253"/>
        <v>98.40694893796595</v>
      </c>
    </row>
    <row r="700" spans="1:17" ht="15.75">
      <c r="A700" s="31" t="s">
        <v>325</v>
      </c>
      <c r="B700" s="42" t="s">
        <v>350</v>
      </c>
      <c r="C700" s="42" t="s">
        <v>169</v>
      </c>
      <c r="D700" s="42" t="s">
        <v>355</v>
      </c>
      <c r="E700" s="42" t="s">
        <v>326</v>
      </c>
      <c r="F700" s="7" t="e">
        <f>#REF!</f>
        <v>#REF!</v>
      </c>
      <c r="G700" s="7" t="e">
        <f>#REF!</f>
        <v>#REF!</v>
      </c>
      <c r="H700" s="7" t="e">
        <f>#REF!</f>
        <v>#REF!</v>
      </c>
      <c r="I700" s="7" t="e">
        <f>#REF!</f>
        <v>#REF!</v>
      </c>
      <c r="J700" s="7" t="e">
        <f>#REF!</f>
        <v>#REF!</v>
      </c>
      <c r="K700" s="7">
        <f>'Прил.№4 ведомств.'!G334</f>
        <v>22748.800000000003</v>
      </c>
      <c r="L700" s="7">
        <f>'Прил.№4 ведомств.'!H334</f>
        <v>22386.4</v>
      </c>
      <c r="M700" s="7">
        <f t="shared" si="253"/>
        <v>98.40694893796595</v>
      </c>
      <c r="Q700" s="23"/>
    </row>
    <row r="701" spans="1:17" ht="47.25">
      <c r="A701" s="31" t="s">
        <v>790</v>
      </c>
      <c r="B701" s="42" t="s">
        <v>350</v>
      </c>
      <c r="C701" s="42" t="s">
        <v>169</v>
      </c>
      <c r="D701" s="42" t="s">
        <v>356</v>
      </c>
      <c r="E701" s="42"/>
      <c r="F701" s="7" t="e">
        <f>F702</f>
        <v>#REF!</v>
      </c>
      <c r="G701" s="7" t="e">
        <f aca="true" t="shared" si="281" ref="G701:L702">G702</f>
        <v>#REF!</v>
      </c>
      <c r="H701" s="7" t="e">
        <f t="shared" si="281"/>
        <v>#REF!</v>
      </c>
      <c r="I701" s="7" t="e">
        <f t="shared" si="281"/>
        <v>#REF!</v>
      </c>
      <c r="J701" s="7" t="e">
        <f t="shared" si="281"/>
        <v>#REF!</v>
      </c>
      <c r="K701" s="7">
        <f t="shared" si="281"/>
        <v>1402.1</v>
      </c>
      <c r="L701" s="7">
        <f t="shared" si="281"/>
        <v>1388.4</v>
      </c>
      <c r="M701" s="7">
        <f t="shared" si="253"/>
        <v>99.02289423008345</v>
      </c>
      <c r="Q701" s="23"/>
    </row>
    <row r="702" spans="1:13" ht="47.25">
      <c r="A702" s="31" t="s">
        <v>323</v>
      </c>
      <c r="B702" s="42" t="s">
        <v>350</v>
      </c>
      <c r="C702" s="42" t="s">
        <v>169</v>
      </c>
      <c r="D702" s="42" t="s">
        <v>356</v>
      </c>
      <c r="E702" s="42" t="s">
        <v>324</v>
      </c>
      <c r="F702" s="7" t="e">
        <f>F703</f>
        <v>#REF!</v>
      </c>
      <c r="G702" s="7" t="e">
        <f t="shared" si="281"/>
        <v>#REF!</v>
      </c>
      <c r="H702" s="7" t="e">
        <f t="shared" si="281"/>
        <v>#REF!</v>
      </c>
      <c r="I702" s="7" t="e">
        <f t="shared" si="281"/>
        <v>#REF!</v>
      </c>
      <c r="J702" s="7" t="e">
        <f t="shared" si="281"/>
        <v>#REF!</v>
      </c>
      <c r="K702" s="7">
        <f t="shared" si="281"/>
        <v>1402.1</v>
      </c>
      <c r="L702" s="7">
        <f t="shared" si="281"/>
        <v>1388.4</v>
      </c>
      <c r="M702" s="7">
        <f t="shared" si="253"/>
        <v>99.02289423008345</v>
      </c>
    </row>
    <row r="703" spans="1:13" ht="15.75">
      <c r="A703" s="31" t="s">
        <v>325</v>
      </c>
      <c r="B703" s="42" t="s">
        <v>350</v>
      </c>
      <c r="C703" s="42" t="s">
        <v>169</v>
      </c>
      <c r="D703" s="42" t="s">
        <v>356</v>
      </c>
      <c r="E703" s="42" t="s">
        <v>326</v>
      </c>
      <c r="F703" s="7" t="e">
        <f>#REF!</f>
        <v>#REF!</v>
      </c>
      <c r="G703" s="7" t="e">
        <f>#REF!</f>
        <v>#REF!</v>
      </c>
      <c r="H703" s="7" t="e">
        <f>#REF!</f>
        <v>#REF!</v>
      </c>
      <c r="I703" s="7" t="e">
        <f>#REF!</f>
        <v>#REF!</v>
      </c>
      <c r="J703" s="7" t="e">
        <f>#REF!</f>
        <v>#REF!</v>
      </c>
      <c r="K703" s="7">
        <f>'Прил.№4 ведомств.'!G337</f>
        <v>1402.1</v>
      </c>
      <c r="L703" s="7">
        <f>'Прил.№4 ведомств.'!H337</f>
        <v>1388.4</v>
      </c>
      <c r="M703" s="7">
        <f t="shared" si="253"/>
        <v>99.02289423008345</v>
      </c>
    </row>
    <row r="704" spans="1:13" ht="31.5" customHeight="1" hidden="1">
      <c r="A704" s="31" t="s">
        <v>329</v>
      </c>
      <c r="B704" s="42" t="s">
        <v>350</v>
      </c>
      <c r="C704" s="42" t="s">
        <v>169</v>
      </c>
      <c r="D704" s="42" t="s">
        <v>676</v>
      </c>
      <c r="E704" s="42"/>
      <c r="F704" s="7">
        <f>F705</f>
        <v>0</v>
      </c>
      <c r="G704" s="7">
        <f aca="true" t="shared" si="282" ref="G704:L705">G705</f>
        <v>0</v>
      </c>
      <c r="H704" s="7">
        <f t="shared" si="282"/>
        <v>0</v>
      </c>
      <c r="I704" s="7">
        <f t="shared" si="282"/>
        <v>0</v>
      </c>
      <c r="J704" s="7">
        <f t="shared" si="282"/>
        <v>0</v>
      </c>
      <c r="K704" s="7">
        <f t="shared" si="282"/>
        <v>0</v>
      </c>
      <c r="L704" s="7">
        <f t="shared" si="282"/>
        <v>0</v>
      </c>
      <c r="M704" s="7" t="e">
        <f t="shared" si="253"/>
        <v>#DIV/0!</v>
      </c>
    </row>
    <row r="705" spans="1:13" ht="47.25" customHeight="1" hidden="1">
      <c r="A705" s="31" t="s">
        <v>323</v>
      </c>
      <c r="B705" s="42" t="s">
        <v>350</v>
      </c>
      <c r="C705" s="42" t="s">
        <v>169</v>
      </c>
      <c r="D705" s="42" t="s">
        <v>676</v>
      </c>
      <c r="E705" s="42" t="s">
        <v>324</v>
      </c>
      <c r="F705" s="7">
        <f>F706</f>
        <v>0</v>
      </c>
      <c r="G705" s="7">
        <f t="shared" si="282"/>
        <v>0</v>
      </c>
      <c r="H705" s="7">
        <f t="shared" si="282"/>
        <v>0</v>
      </c>
      <c r="I705" s="7">
        <f t="shared" si="282"/>
        <v>0</v>
      </c>
      <c r="J705" s="7">
        <f t="shared" si="282"/>
        <v>0</v>
      </c>
      <c r="K705" s="7">
        <f t="shared" si="282"/>
        <v>0</v>
      </c>
      <c r="L705" s="7">
        <f t="shared" si="282"/>
        <v>0</v>
      </c>
      <c r="M705" s="7" t="e">
        <f t="shared" si="253"/>
        <v>#DIV/0!</v>
      </c>
    </row>
    <row r="706" spans="1:13" ht="15.75" customHeight="1" hidden="1">
      <c r="A706" s="31" t="s">
        <v>325</v>
      </c>
      <c r="B706" s="42" t="s">
        <v>350</v>
      </c>
      <c r="C706" s="42" t="s">
        <v>169</v>
      </c>
      <c r="D706" s="42" t="s">
        <v>676</v>
      </c>
      <c r="E706" s="42" t="s">
        <v>326</v>
      </c>
      <c r="F706" s="7"/>
      <c r="G706" s="7"/>
      <c r="H706" s="7"/>
      <c r="I706" s="7"/>
      <c r="J706" s="7"/>
      <c r="K706" s="7"/>
      <c r="L706" s="7"/>
      <c r="M706" s="7" t="e">
        <f t="shared" si="253"/>
        <v>#DIV/0!</v>
      </c>
    </row>
    <row r="707" spans="1:13" ht="31.5" customHeight="1" hidden="1">
      <c r="A707" s="31" t="s">
        <v>331</v>
      </c>
      <c r="B707" s="42" t="s">
        <v>350</v>
      </c>
      <c r="C707" s="42" t="s">
        <v>169</v>
      </c>
      <c r="D707" s="42" t="s">
        <v>677</v>
      </c>
      <c r="E707" s="42"/>
      <c r="F707" s="7">
        <f>F708</f>
        <v>0</v>
      </c>
      <c r="G707" s="7">
        <f aca="true" t="shared" si="283" ref="G707:L708">G708</f>
        <v>0</v>
      </c>
      <c r="H707" s="7">
        <f t="shared" si="283"/>
        <v>0</v>
      </c>
      <c r="I707" s="7">
        <f t="shared" si="283"/>
        <v>0</v>
      </c>
      <c r="J707" s="7">
        <f t="shared" si="283"/>
        <v>0</v>
      </c>
      <c r="K707" s="7">
        <f t="shared" si="283"/>
        <v>0</v>
      </c>
      <c r="L707" s="7">
        <f t="shared" si="283"/>
        <v>0</v>
      </c>
      <c r="M707" s="7" t="e">
        <f t="shared" si="253"/>
        <v>#DIV/0!</v>
      </c>
    </row>
    <row r="708" spans="1:13" ht="47.25" customHeight="1" hidden="1">
      <c r="A708" s="31" t="s">
        <v>323</v>
      </c>
      <c r="B708" s="42" t="s">
        <v>350</v>
      </c>
      <c r="C708" s="42" t="s">
        <v>169</v>
      </c>
      <c r="D708" s="42" t="s">
        <v>677</v>
      </c>
      <c r="E708" s="42" t="s">
        <v>324</v>
      </c>
      <c r="F708" s="7">
        <f>F709</f>
        <v>0</v>
      </c>
      <c r="G708" s="7">
        <f t="shared" si="283"/>
        <v>0</v>
      </c>
      <c r="H708" s="7">
        <f t="shared" si="283"/>
        <v>0</v>
      </c>
      <c r="I708" s="7">
        <f t="shared" si="283"/>
        <v>0</v>
      </c>
      <c r="J708" s="7">
        <f t="shared" si="283"/>
        <v>0</v>
      </c>
      <c r="K708" s="7">
        <f t="shared" si="283"/>
        <v>0</v>
      </c>
      <c r="L708" s="7">
        <f t="shared" si="283"/>
        <v>0</v>
      </c>
      <c r="M708" s="7" t="e">
        <f t="shared" si="253"/>
        <v>#DIV/0!</v>
      </c>
    </row>
    <row r="709" spans="1:13" ht="15.75" customHeight="1" hidden="1">
      <c r="A709" s="31" t="s">
        <v>325</v>
      </c>
      <c r="B709" s="42" t="s">
        <v>350</v>
      </c>
      <c r="C709" s="42" t="s">
        <v>169</v>
      </c>
      <c r="D709" s="42" t="s">
        <v>677</v>
      </c>
      <c r="E709" s="42" t="s">
        <v>326</v>
      </c>
      <c r="F709" s="7"/>
      <c r="G709" s="7"/>
      <c r="H709" s="7"/>
      <c r="I709" s="7"/>
      <c r="J709" s="7"/>
      <c r="K709" s="7"/>
      <c r="L709" s="7"/>
      <c r="M709" s="7" t="e">
        <f t="shared" si="253"/>
        <v>#DIV/0!</v>
      </c>
    </row>
    <row r="710" spans="1:13" ht="31.5" customHeight="1" hidden="1">
      <c r="A710" s="31" t="s">
        <v>335</v>
      </c>
      <c r="B710" s="42" t="s">
        <v>350</v>
      </c>
      <c r="C710" s="42" t="s">
        <v>169</v>
      </c>
      <c r="D710" s="42" t="s">
        <v>678</v>
      </c>
      <c r="E710" s="42"/>
      <c r="F710" s="7">
        <f>F711</f>
        <v>0</v>
      </c>
      <c r="G710" s="7">
        <f aca="true" t="shared" si="284" ref="G710:L711">G711</f>
        <v>0</v>
      </c>
      <c r="H710" s="7">
        <f t="shared" si="284"/>
        <v>0</v>
      </c>
      <c r="I710" s="7">
        <f t="shared" si="284"/>
        <v>0</v>
      </c>
      <c r="J710" s="7">
        <f t="shared" si="284"/>
        <v>0</v>
      </c>
      <c r="K710" s="7">
        <f t="shared" si="284"/>
        <v>0</v>
      </c>
      <c r="L710" s="7">
        <f t="shared" si="284"/>
        <v>0</v>
      </c>
      <c r="M710" s="7" t="e">
        <f t="shared" si="253"/>
        <v>#DIV/0!</v>
      </c>
    </row>
    <row r="711" spans="1:13" ht="47.25" customHeight="1" hidden="1">
      <c r="A711" s="31" t="s">
        <v>323</v>
      </c>
      <c r="B711" s="42" t="s">
        <v>350</v>
      </c>
      <c r="C711" s="42" t="s">
        <v>169</v>
      </c>
      <c r="D711" s="42" t="s">
        <v>678</v>
      </c>
      <c r="E711" s="42" t="s">
        <v>324</v>
      </c>
      <c r="F711" s="7">
        <f>F712</f>
        <v>0</v>
      </c>
      <c r="G711" s="7">
        <f t="shared" si="284"/>
        <v>0</v>
      </c>
      <c r="H711" s="7">
        <f t="shared" si="284"/>
        <v>0</v>
      </c>
      <c r="I711" s="7">
        <f t="shared" si="284"/>
        <v>0</v>
      </c>
      <c r="J711" s="7">
        <f t="shared" si="284"/>
        <v>0</v>
      </c>
      <c r="K711" s="7">
        <f t="shared" si="284"/>
        <v>0</v>
      </c>
      <c r="L711" s="7">
        <f t="shared" si="284"/>
        <v>0</v>
      </c>
      <c r="M711" s="7" t="e">
        <f t="shared" si="253"/>
        <v>#DIV/0!</v>
      </c>
    </row>
    <row r="712" spans="1:13" ht="15.75" customHeight="1" hidden="1">
      <c r="A712" s="31" t="s">
        <v>325</v>
      </c>
      <c r="B712" s="42" t="s">
        <v>350</v>
      </c>
      <c r="C712" s="42" t="s">
        <v>169</v>
      </c>
      <c r="D712" s="42" t="s">
        <v>678</v>
      </c>
      <c r="E712" s="42" t="s">
        <v>326</v>
      </c>
      <c r="F712" s="7"/>
      <c r="G712" s="7"/>
      <c r="H712" s="7"/>
      <c r="I712" s="7"/>
      <c r="J712" s="7"/>
      <c r="K712" s="7"/>
      <c r="L712" s="7"/>
      <c r="M712" s="7" t="e">
        <f t="shared" si="253"/>
        <v>#DIV/0!</v>
      </c>
    </row>
    <row r="713" spans="1:13" ht="31.5" hidden="1">
      <c r="A713" s="31" t="s">
        <v>679</v>
      </c>
      <c r="B713" s="42" t="s">
        <v>350</v>
      </c>
      <c r="C713" s="42" t="s">
        <v>169</v>
      </c>
      <c r="D713" s="42" t="s">
        <v>357</v>
      </c>
      <c r="E713" s="42"/>
      <c r="F713" s="7" t="e">
        <f>F714</f>
        <v>#REF!</v>
      </c>
      <c r="G713" s="7" t="e">
        <f aca="true" t="shared" si="285" ref="G713:L714">G714</f>
        <v>#REF!</v>
      </c>
      <c r="H713" s="7" t="e">
        <f t="shared" si="285"/>
        <v>#REF!</v>
      </c>
      <c r="I713" s="7" t="e">
        <f t="shared" si="285"/>
        <v>#REF!</v>
      </c>
      <c r="J713" s="7" t="e">
        <f t="shared" si="285"/>
        <v>#REF!</v>
      </c>
      <c r="K713" s="7">
        <f t="shared" si="285"/>
        <v>0</v>
      </c>
      <c r="L713" s="7">
        <f t="shared" si="285"/>
        <v>0</v>
      </c>
      <c r="M713" s="7" t="e">
        <f t="shared" si="253"/>
        <v>#DIV/0!</v>
      </c>
    </row>
    <row r="714" spans="1:13" ht="47.25" hidden="1">
      <c r="A714" s="31" t="s">
        <v>323</v>
      </c>
      <c r="B714" s="42" t="s">
        <v>350</v>
      </c>
      <c r="C714" s="42" t="s">
        <v>169</v>
      </c>
      <c r="D714" s="42" t="s">
        <v>357</v>
      </c>
      <c r="E714" s="42" t="s">
        <v>324</v>
      </c>
      <c r="F714" s="7" t="e">
        <f>F715</f>
        <v>#REF!</v>
      </c>
      <c r="G714" s="7" t="e">
        <f t="shared" si="285"/>
        <v>#REF!</v>
      </c>
      <c r="H714" s="7" t="e">
        <f t="shared" si="285"/>
        <v>#REF!</v>
      </c>
      <c r="I714" s="7" t="e">
        <f t="shared" si="285"/>
        <v>#REF!</v>
      </c>
      <c r="J714" s="7" t="e">
        <f t="shared" si="285"/>
        <v>#REF!</v>
      </c>
      <c r="K714" s="7">
        <f t="shared" si="285"/>
        <v>0</v>
      </c>
      <c r="L714" s="7">
        <f t="shared" si="285"/>
        <v>0</v>
      </c>
      <c r="M714" s="7" t="e">
        <f t="shared" si="253"/>
        <v>#DIV/0!</v>
      </c>
    </row>
    <row r="715" spans="1:13" ht="15.75" hidden="1">
      <c r="A715" s="31" t="s">
        <v>325</v>
      </c>
      <c r="B715" s="42" t="s">
        <v>350</v>
      </c>
      <c r="C715" s="42" t="s">
        <v>169</v>
      </c>
      <c r="D715" s="42" t="s">
        <v>357</v>
      </c>
      <c r="E715" s="42" t="s">
        <v>326</v>
      </c>
      <c r="F715" s="7" t="e">
        <f>#REF!</f>
        <v>#REF!</v>
      </c>
      <c r="G715" s="7" t="e">
        <f>#REF!</f>
        <v>#REF!</v>
      </c>
      <c r="H715" s="7" t="e">
        <f>#REF!</f>
        <v>#REF!</v>
      </c>
      <c r="I715" s="7" t="e">
        <f>#REF!</f>
        <v>#REF!</v>
      </c>
      <c r="J715" s="7" t="e">
        <f>#REF!</f>
        <v>#REF!</v>
      </c>
      <c r="K715" s="7">
        <f>'Прил.№4 ведомств.'!G340</f>
        <v>0</v>
      </c>
      <c r="L715" s="7">
        <f>'Прил.№4 ведомств.'!H340</f>
        <v>0</v>
      </c>
      <c r="M715" s="7" t="e">
        <f t="shared" si="253"/>
        <v>#DIV/0!</v>
      </c>
    </row>
    <row r="716" spans="1:13" ht="15.75">
      <c r="A716" s="31" t="s">
        <v>358</v>
      </c>
      <c r="B716" s="42" t="s">
        <v>350</v>
      </c>
      <c r="C716" s="42" t="s">
        <v>169</v>
      </c>
      <c r="D716" s="42" t="s">
        <v>359</v>
      </c>
      <c r="E716" s="42"/>
      <c r="F716" s="7" t="e">
        <f>F717</f>
        <v>#REF!</v>
      </c>
      <c r="G716" s="7" t="e">
        <f aca="true" t="shared" si="286" ref="G716:L717">G717</f>
        <v>#REF!</v>
      </c>
      <c r="H716" s="7" t="e">
        <f t="shared" si="286"/>
        <v>#REF!</v>
      </c>
      <c r="I716" s="7" t="e">
        <f t="shared" si="286"/>
        <v>#REF!</v>
      </c>
      <c r="J716" s="7" t="e">
        <f t="shared" si="286"/>
        <v>#REF!</v>
      </c>
      <c r="K716" s="7">
        <f t="shared" si="286"/>
        <v>22.400000000000006</v>
      </c>
      <c r="L716" s="7">
        <f t="shared" si="286"/>
        <v>22.4</v>
      </c>
      <c r="M716" s="7">
        <f aca="true" t="shared" si="287" ref="M716:M779">L716/K716*100</f>
        <v>99.99999999999997</v>
      </c>
    </row>
    <row r="717" spans="1:13" ht="47.25">
      <c r="A717" s="31" t="s">
        <v>323</v>
      </c>
      <c r="B717" s="42" t="s">
        <v>350</v>
      </c>
      <c r="C717" s="42" t="s">
        <v>169</v>
      </c>
      <c r="D717" s="42" t="s">
        <v>359</v>
      </c>
      <c r="E717" s="42" t="s">
        <v>324</v>
      </c>
      <c r="F717" s="7" t="e">
        <f>F718</f>
        <v>#REF!</v>
      </c>
      <c r="G717" s="7" t="e">
        <f t="shared" si="286"/>
        <v>#REF!</v>
      </c>
      <c r="H717" s="7" t="e">
        <f t="shared" si="286"/>
        <v>#REF!</v>
      </c>
      <c r="I717" s="7" t="e">
        <f t="shared" si="286"/>
        <v>#REF!</v>
      </c>
      <c r="J717" s="7" t="e">
        <f t="shared" si="286"/>
        <v>#REF!</v>
      </c>
      <c r="K717" s="7">
        <f t="shared" si="286"/>
        <v>22.400000000000006</v>
      </c>
      <c r="L717" s="7">
        <f t="shared" si="286"/>
        <v>22.4</v>
      </c>
      <c r="M717" s="7">
        <f t="shared" si="287"/>
        <v>99.99999999999997</v>
      </c>
    </row>
    <row r="718" spans="1:13" ht="15.75">
      <c r="A718" s="31" t="s">
        <v>325</v>
      </c>
      <c r="B718" s="42" t="s">
        <v>350</v>
      </c>
      <c r="C718" s="42" t="s">
        <v>169</v>
      </c>
      <c r="D718" s="42" t="s">
        <v>359</v>
      </c>
      <c r="E718" s="42" t="s">
        <v>326</v>
      </c>
      <c r="F718" s="7" t="e">
        <f>#REF!</f>
        <v>#REF!</v>
      </c>
      <c r="G718" s="7" t="e">
        <f>#REF!</f>
        <v>#REF!</v>
      </c>
      <c r="H718" s="7" t="e">
        <f>#REF!</f>
        <v>#REF!</v>
      </c>
      <c r="I718" s="7" t="e">
        <f>#REF!</f>
        <v>#REF!</v>
      </c>
      <c r="J718" s="7" t="e">
        <f>#REF!</f>
        <v>#REF!</v>
      </c>
      <c r="K718" s="7">
        <f>'Прил.№4 ведомств.'!G343</f>
        <v>22.400000000000006</v>
      </c>
      <c r="L718" s="7">
        <f>'Прил.№4 ведомств.'!H343</f>
        <v>22.4</v>
      </c>
      <c r="M718" s="7">
        <f t="shared" si="287"/>
        <v>99.99999999999997</v>
      </c>
    </row>
    <row r="719" spans="1:13" ht="31.5" hidden="1">
      <c r="A719" s="26" t="s">
        <v>335</v>
      </c>
      <c r="B719" s="21" t="s">
        <v>350</v>
      </c>
      <c r="C719" s="21" t="s">
        <v>169</v>
      </c>
      <c r="D719" s="21" t="s">
        <v>336</v>
      </c>
      <c r="E719" s="21"/>
      <c r="F719" s="7" t="e">
        <f>F720</f>
        <v>#REF!</v>
      </c>
      <c r="G719" s="7" t="e">
        <f aca="true" t="shared" si="288" ref="G719:L720">G720</f>
        <v>#REF!</v>
      </c>
      <c r="H719" s="7" t="e">
        <f t="shared" si="288"/>
        <v>#REF!</v>
      </c>
      <c r="I719" s="7" t="e">
        <f t="shared" si="288"/>
        <v>#REF!</v>
      </c>
      <c r="J719" s="7" t="e">
        <f t="shared" si="288"/>
        <v>#REF!</v>
      </c>
      <c r="K719" s="7">
        <f t="shared" si="288"/>
        <v>0</v>
      </c>
      <c r="L719" s="7">
        <f t="shared" si="288"/>
        <v>0</v>
      </c>
      <c r="M719" s="7" t="e">
        <f t="shared" si="287"/>
        <v>#DIV/0!</v>
      </c>
    </row>
    <row r="720" spans="1:13" ht="47.25" hidden="1">
      <c r="A720" s="26" t="s">
        <v>323</v>
      </c>
      <c r="B720" s="21" t="s">
        <v>350</v>
      </c>
      <c r="C720" s="21" t="s">
        <v>169</v>
      </c>
      <c r="D720" s="21" t="s">
        <v>336</v>
      </c>
      <c r="E720" s="21" t="s">
        <v>324</v>
      </c>
      <c r="F720" s="7" t="e">
        <f>F721</f>
        <v>#REF!</v>
      </c>
      <c r="G720" s="7" t="e">
        <f t="shared" si="288"/>
        <v>#REF!</v>
      </c>
      <c r="H720" s="7" t="e">
        <f t="shared" si="288"/>
        <v>#REF!</v>
      </c>
      <c r="I720" s="7" t="e">
        <f t="shared" si="288"/>
        <v>#REF!</v>
      </c>
      <c r="J720" s="7" t="e">
        <f t="shared" si="288"/>
        <v>#REF!</v>
      </c>
      <c r="K720" s="7">
        <f t="shared" si="288"/>
        <v>0</v>
      </c>
      <c r="L720" s="7">
        <f t="shared" si="288"/>
        <v>0</v>
      </c>
      <c r="M720" s="7" t="e">
        <f t="shared" si="287"/>
        <v>#DIV/0!</v>
      </c>
    </row>
    <row r="721" spans="1:13" ht="15.75" hidden="1">
      <c r="A721" s="26" t="s">
        <v>325</v>
      </c>
      <c r="B721" s="21" t="s">
        <v>350</v>
      </c>
      <c r="C721" s="21" t="s">
        <v>169</v>
      </c>
      <c r="D721" s="21" t="s">
        <v>336</v>
      </c>
      <c r="E721" s="21" t="s">
        <v>326</v>
      </c>
      <c r="F721" s="7" t="e">
        <f>#REF!</f>
        <v>#REF!</v>
      </c>
      <c r="G721" s="7" t="e">
        <f>#REF!</f>
        <v>#REF!</v>
      </c>
      <c r="H721" s="7" t="e">
        <f>#REF!</f>
        <v>#REF!</v>
      </c>
      <c r="I721" s="7" t="e">
        <f>#REF!</f>
        <v>#REF!</v>
      </c>
      <c r="J721" s="7" t="e">
        <f>#REF!</f>
        <v>#REF!</v>
      </c>
      <c r="K721" s="7">
        <f>'Прил.№4 ведомств.'!G346</f>
        <v>0</v>
      </c>
      <c r="L721" s="7">
        <f>'Прил.№4 ведомств.'!H346</f>
        <v>0</v>
      </c>
      <c r="M721" s="7" t="e">
        <f t="shared" si="287"/>
        <v>#DIV/0!</v>
      </c>
    </row>
    <row r="722" spans="1:13" ht="31.5" hidden="1">
      <c r="A722" s="37" t="s">
        <v>338</v>
      </c>
      <c r="B722" s="21" t="s">
        <v>350</v>
      </c>
      <c r="C722" s="21" t="s">
        <v>169</v>
      </c>
      <c r="D722" s="21" t="s">
        <v>360</v>
      </c>
      <c r="E722" s="21"/>
      <c r="F722" s="7" t="e">
        <f>F723</f>
        <v>#REF!</v>
      </c>
      <c r="G722" s="7" t="e">
        <f aca="true" t="shared" si="289" ref="G722:L723">G723</f>
        <v>#REF!</v>
      </c>
      <c r="H722" s="7" t="e">
        <f t="shared" si="289"/>
        <v>#REF!</v>
      </c>
      <c r="I722" s="7" t="e">
        <f t="shared" si="289"/>
        <v>#REF!</v>
      </c>
      <c r="J722" s="7" t="e">
        <f t="shared" si="289"/>
        <v>#REF!</v>
      </c>
      <c r="K722" s="7">
        <f t="shared" si="289"/>
        <v>0</v>
      </c>
      <c r="L722" s="7">
        <f t="shared" si="289"/>
        <v>0</v>
      </c>
      <c r="M722" s="7" t="e">
        <f t="shared" si="287"/>
        <v>#DIV/0!</v>
      </c>
    </row>
    <row r="723" spans="1:13" ht="47.25" hidden="1">
      <c r="A723" s="26" t="s">
        <v>323</v>
      </c>
      <c r="B723" s="21" t="s">
        <v>350</v>
      </c>
      <c r="C723" s="21" t="s">
        <v>169</v>
      </c>
      <c r="D723" s="21" t="s">
        <v>360</v>
      </c>
      <c r="E723" s="21" t="s">
        <v>324</v>
      </c>
      <c r="F723" s="7" t="e">
        <f>F724</f>
        <v>#REF!</v>
      </c>
      <c r="G723" s="7" t="e">
        <f t="shared" si="289"/>
        <v>#REF!</v>
      </c>
      <c r="H723" s="7" t="e">
        <f t="shared" si="289"/>
        <v>#REF!</v>
      </c>
      <c r="I723" s="7" t="e">
        <f t="shared" si="289"/>
        <v>#REF!</v>
      </c>
      <c r="J723" s="7" t="e">
        <f t="shared" si="289"/>
        <v>#REF!</v>
      </c>
      <c r="K723" s="7">
        <f t="shared" si="289"/>
        <v>0</v>
      </c>
      <c r="L723" s="7">
        <f t="shared" si="289"/>
        <v>0</v>
      </c>
      <c r="M723" s="7" t="e">
        <f t="shared" si="287"/>
        <v>#DIV/0!</v>
      </c>
    </row>
    <row r="724" spans="1:13" ht="15.75" hidden="1">
      <c r="A724" s="26" t="s">
        <v>325</v>
      </c>
      <c r="B724" s="21" t="s">
        <v>350</v>
      </c>
      <c r="C724" s="21" t="s">
        <v>169</v>
      </c>
      <c r="D724" s="21" t="s">
        <v>360</v>
      </c>
      <c r="E724" s="21" t="s">
        <v>326</v>
      </c>
      <c r="F724" s="7" t="e">
        <f>#REF!</f>
        <v>#REF!</v>
      </c>
      <c r="G724" s="7" t="e">
        <f>#REF!</f>
        <v>#REF!</v>
      </c>
      <c r="H724" s="7" t="e">
        <f>#REF!</f>
        <v>#REF!</v>
      </c>
      <c r="I724" s="7" t="e">
        <f>#REF!</f>
        <v>#REF!</v>
      </c>
      <c r="J724" s="7" t="e">
        <f>#REF!</f>
        <v>#REF!</v>
      </c>
      <c r="K724" s="7">
        <f>'Прил.№4 ведомств.'!G349</f>
        <v>0</v>
      </c>
      <c r="L724" s="7">
        <f>'Прил.№4 ведомств.'!H349</f>
        <v>0</v>
      </c>
      <c r="M724" s="7" t="e">
        <f t="shared" si="287"/>
        <v>#DIV/0!</v>
      </c>
    </row>
    <row r="725" spans="1:13" ht="31.5">
      <c r="A725" s="210" t="s">
        <v>857</v>
      </c>
      <c r="B725" s="21" t="s">
        <v>350</v>
      </c>
      <c r="C725" s="21" t="s">
        <v>169</v>
      </c>
      <c r="D725" s="21" t="s">
        <v>862</v>
      </c>
      <c r="E725" s="21"/>
      <c r="F725" s="7" t="e">
        <f>F726</f>
        <v>#REF!</v>
      </c>
      <c r="G725" s="7" t="e">
        <f aca="true" t="shared" si="290" ref="G725:L726">G726</f>
        <v>#REF!</v>
      </c>
      <c r="H725" s="7" t="e">
        <f t="shared" si="290"/>
        <v>#REF!</v>
      </c>
      <c r="I725" s="7" t="e">
        <f t="shared" si="290"/>
        <v>#REF!</v>
      </c>
      <c r="J725" s="7" t="e">
        <f t="shared" si="290"/>
        <v>#REF!</v>
      </c>
      <c r="K725" s="7">
        <f t="shared" si="290"/>
        <v>309.6</v>
      </c>
      <c r="L725" s="7">
        <f t="shared" si="290"/>
        <v>309.6</v>
      </c>
      <c r="M725" s="7">
        <f t="shared" si="287"/>
        <v>100</v>
      </c>
    </row>
    <row r="726" spans="1:13" ht="47.25">
      <c r="A726" s="110" t="s">
        <v>323</v>
      </c>
      <c r="B726" s="21" t="s">
        <v>350</v>
      </c>
      <c r="C726" s="21" t="s">
        <v>169</v>
      </c>
      <c r="D726" s="21" t="s">
        <v>862</v>
      </c>
      <c r="E726" s="21" t="s">
        <v>324</v>
      </c>
      <c r="F726" s="7" t="e">
        <f>F727</f>
        <v>#REF!</v>
      </c>
      <c r="G726" s="7" t="e">
        <f t="shared" si="290"/>
        <v>#REF!</v>
      </c>
      <c r="H726" s="7" t="e">
        <f t="shared" si="290"/>
        <v>#REF!</v>
      </c>
      <c r="I726" s="7" t="e">
        <f t="shared" si="290"/>
        <v>#REF!</v>
      </c>
      <c r="J726" s="7" t="e">
        <f t="shared" si="290"/>
        <v>#REF!</v>
      </c>
      <c r="K726" s="7">
        <f t="shared" si="290"/>
        <v>309.6</v>
      </c>
      <c r="L726" s="7">
        <f t="shared" si="290"/>
        <v>309.6</v>
      </c>
      <c r="M726" s="7">
        <f t="shared" si="287"/>
        <v>100</v>
      </c>
    </row>
    <row r="727" spans="1:13" ht="15.75">
      <c r="A727" s="211" t="s">
        <v>325</v>
      </c>
      <c r="B727" s="21" t="s">
        <v>350</v>
      </c>
      <c r="C727" s="21" t="s">
        <v>169</v>
      </c>
      <c r="D727" s="21" t="s">
        <v>862</v>
      </c>
      <c r="E727" s="21" t="s">
        <v>326</v>
      </c>
      <c r="F727" s="7" t="e">
        <f>#REF!</f>
        <v>#REF!</v>
      </c>
      <c r="G727" s="7" t="e">
        <f>#REF!</f>
        <v>#REF!</v>
      </c>
      <c r="H727" s="7" t="e">
        <f>#REF!</f>
        <v>#REF!</v>
      </c>
      <c r="I727" s="7" t="e">
        <f>#REF!</f>
        <v>#REF!</v>
      </c>
      <c r="J727" s="7" t="e">
        <f>#REF!</f>
        <v>#REF!</v>
      </c>
      <c r="K727" s="7">
        <f>'Прил.№4 ведомств.'!G352</f>
        <v>309.6</v>
      </c>
      <c r="L727" s="7">
        <f>'Прил.№4 ведомств.'!H352</f>
        <v>309.6</v>
      </c>
      <c r="M727" s="7">
        <f t="shared" si="287"/>
        <v>100</v>
      </c>
    </row>
    <row r="728" spans="1:13" ht="31.5">
      <c r="A728" s="31" t="s">
        <v>363</v>
      </c>
      <c r="B728" s="42" t="s">
        <v>350</v>
      </c>
      <c r="C728" s="42" t="s">
        <v>169</v>
      </c>
      <c r="D728" s="42" t="s">
        <v>364</v>
      </c>
      <c r="E728" s="42"/>
      <c r="F728" s="7" t="e">
        <f>F729+F732+F737+F740+F743+F746+F748+F752+F758</f>
        <v>#REF!</v>
      </c>
      <c r="G728" s="7" t="e">
        <f>G729+G732+G737+G740+G743+G746+G748+G752+G758</f>
        <v>#REF!</v>
      </c>
      <c r="H728" s="7" t="e">
        <f>H729+H732+H737+H740+H743+H746+H748+H752+H758</f>
        <v>#REF!</v>
      </c>
      <c r="I728" s="7" t="e">
        <f>I729+I732+I737+I740+I743+I746+I748+I752+I758</f>
        <v>#REF!</v>
      </c>
      <c r="J728" s="7" t="e">
        <f>J729+J732+J737+J740+J743+J746+J748+J752+J758</f>
        <v>#REF!</v>
      </c>
      <c r="K728" s="7">
        <f>K729+K732+K737+K740+K743+K746+K748+K752+K758+K755</f>
        <v>18496.999999999996</v>
      </c>
      <c r="L728" s="7">
        <f>L729+L732+L737+L740+L743+L746+L748+L752+L758+L755</f>
        <v>18492</v>
      </c>
      <c r="M728" s="7">
        <f t="shared" si="287"/>
        <v>99.97296858950102</v>
      </c>
    </row>
    <row r="729" spans="1:13" ht="31.5">
      <c r="A729" s="31" t="s">
        <v>354</v>
      </c>
      <c r="B729" s="42" t="s">
        <v>350</v>
      </c>
      <c r="C729" s="42" t="s">
        <v>169</v>
      </c>
      <c r="D729" s="42" t="s">
        <v>365</v>
      </c>
      <c r="E729" s="42"/>
      <c r="F729" s="7" t="e">
        <f>F730</f>
        <v>#REF!</v>
      </c>
      <c r="G729" s="7" t="e">
        <f aca="true" t="shared" si="291" ref="G729:L730">G730</f>
        <v>#REF!</v>
      </c>
      <c r="H729" s="7" t="e">
        <f t="shared" si="291"/>
        <v>#REF!</v>
      </c>
      <c r="I729" s="7" t="e">
        <f t="shared" si="291"/>
        <v>#REF!</v>
      </c>
      <c r="J729" s="7" t="e">
        <f t="shared" si="291"/>
        <v>#REF!</v>
      </c>
      <c r="K729" s="7">
        <f t="shared" si="291"/>
        <v>17901.199999999997</v>
      </c>
      <c r="L729" s="7">
        <f t="shared" si="291"/>
        <v>17901.2</v>
      </c>
      <c r="M729" s="7">
        <f t="shared" si="287"/>
        <v>100.00000000000003</v>
      </c>
    </row>
    <row r="730" spans="1:13" ht="47.25">
      <c r="A730" s="31" t="s">
        <v>323</v>
      </c>
      <c r="B730" s="42" t="s">
        <v>350</v>
      </c>
      <c r="C730" s="42" t="s">
        <v>169</v>
      </c>
      <c r="D730" s="42" t="s">
        <v>365</v>
      </c>
      <c r="E730" s="42" t="s">
        <v>324</v>
      </c>
      <c r="F730" s="7" t="e">
        <f>F731</f>
        <v>#REF!</v>
      </c>
      <c r="G730" s="7" t="e">
        <f t="shared" si="291"/>
        <v>#REF!</v>
      </c>
      <c r="H730" s="7" t="e">
        <f t="shared" si="291"/>
        <v>#REF!</v>
      </c>
      <c r="I730" s="7" t="e">
        <f t="shared" si="291"/>
        <v>#REF!</v>
      </c>
      <c r="J730" s="7" t="e">
        <f t="shared" si="291"/>
        <v>#REF!</v>
      </c>
      <c r="K730" s="7">
        <f t="shared" si="291"/>
        <v>17901.199999999997</v>
      </c>
      <c r="L730" s="7">
        <f t="shared" si="291"/>
        <v>17901.2</v>
      </c>
      <c r="M730" s="7">
        <f t="shared" si="287"/>
        <v>100.00000000000003</v>
      </c>
    </row>
    <row r="731" spans="1:13" ht="15.75">
      <c r="A731" s="31" t="s">
        <v>325</v>
      </c>
      <c r="B731" s="42" t="s">
        <v>350</v>
      </c>
      <c r="C731" s="42" t="s">
        <v>169</v>
      </c>
      <c r="D731" s="42" t="s">
        <v>365</v>
      </c>
      <c r="E731" s="42" t="s">
        <v>326</v>
      </c>
      <c r="F731" s="7" t="e">
        <f>#REF!</f>
        <v>#REF!</v>
      </c>
      <c r="G731" s="7" t="e">
        <f>#REF!</f>
        <v>#REF!</v>
      </c>
      <c r="H731" s="7" t="e">
        <f>#REF!</f>
        <v>#REF!</v>
      </c>
      <c r="I731" s="7" t="e">
        <f>#REF!</f>
        <v>#REF!</v>
      </c>
      <c r="J731" s="7" t="e">
        <f>#REF!</f>
        <v>#REF!</v>
      </c>
      <c r="K731" s="7">
        <f>'Прил.№4 ведомств.'!G363</f>
        <v>17901.199999999997</v>
      </c>
      <c r="L731" s="7">
        <f>'Прил.№4 ведомств.'!H363</f>
        <v>17901.2</v>
      </c>
      <c r="M731" s="7">
        <f t="shared" si="287"/>
        <v>100.00000000000003</v>
      </c>
    </row>
    <row r="732" spans="1:13" ht="26.25" customHeight="1">
      <c r="A732" s="31" t="s">
        <v>366</v>
      </c>
      <c r="B732" s="42" t="s">
        <v>350</v>
      </c>
      <c r="C732" s="42" t="s">
        <v>169</v>
      </c>
      <c r="D732" s="42" t="s">
        <v>680</v>
      </c>
      <c r="E732" s="42"/>
      <c r="F732" s="7" t="e">
        <f aca="true" t="shared" si="292" ref="F732:L732">F733+F735</f>
        <v>#REF!</v>
      </c>
      <c r="G732" s="7" t="e">
        <f t="shared" si="292"/>
        <v>#REF!</v>
      </c>
      <c r="H732" s="7" t="e">
        <f t="shared" si="292"/>
        <v>#REF!</v>
      </c>
      <c r="I732" s="7" t="e">
        <f t="shared" si="292"/>
        <v>#REF!</v>
      </c>
      <c r="J732" s="7" t="e">
        <f t="shared" si="292"/>
        <v>#REF!</v>
      </c>
      <c r="K732" s="7">
        <f t="shared" si="292"/>
        <v>5</v>
      </c>
      <c r="L732" s="7">
        <f t="shared" si="292"/>
        <v>5</v>
      </c>
      <c r="M732" s="7">
        <f t="shared" si="287"/>
        <v>100</v>
      </c>
    </row>
    <row r="733" spans="1:13" ht="31.5" customHeight="1" hidden="1">
      <c r="A733" s="31" t="s">
        <v>182</v>
      </c>
      <c r="B733" s="42" t="s">
        <v>350</v>
      </c>
      <c r="C733" s="42" t="s">
        <v>169</v>
      </c>
      <c r="D733" s="42" t="s">
        <v>680</v>
      </c>
      <c r="E733" s="42" t="s">
        <v>183</v>
      </c>
      <c r="F733" s="7">
        <f>F734</f>
        <v>0</v>
      </c>
      <c r="G733" s="7">
        <f aca="true" t="shared" si="293" ref="G733:L733">G734</f>
        <v>0</v>
      </c>
      <c r="H733" s="7">
        <f t="shared" si="293"/>
        <v>0</v>
      </c>
      <c r="I733" s="7">
        <f t="shared" si="293"/>
        <v>0</v>
      </c>
      <c r="J733" s="7">
        <f t="shared" si="293"/>
        <v>0</v>
      </c>
      <c r="K733" s="7">
        <f t="shared" si="293"/>
        <v>0</v>
      </c>
      <c r="L733" s="7">
        <f t="shared" si="293"/>
        <v>0</v>
      </c>
      <c r="M733" s="7" t="e">
        <f t="shared" si="287"/>
        <v>#DIV/0!</v>
      </c>
    </row>
    <row r="734" spans="1:13" ht="47.25" customHeight="1" hidden="1">
      <c r="A734" s="31" t="s">
        <v>184</v>
      </c>
      <c r="B734" s="42" t="s">
        <v>350</v>
      </c>
      <c r="C734" s="42" t="s">
        <v>169</v>
      </c>
      <c r="D734" s="42" t="s">
        <v>680</v>
      </c>
      <c r="E734" s="42" t="s">
        <v>185</v>
      </c>
      <c r="F734" s="7"/>
      <c r="G734" s="7"/>
      <c r="H734" s="7"/>
      <c r="I734" s="7"/>
      <c r="J734" s="7"/>
      <c r="K734" s="7"/>
      <c r="L734" s="7"/>
      <c r="M734" s="7" t="e">
        <f t="shared" si="287"/>
        <v>#DIV/0!</v>
      </c>
    </row>
    <row r="735" spans="1:13" ht="47.25">
      <c r="A735" s="31" t="s">
        <v>323</v>
      </c>
      <c r="B735" s="42" t="s">
        <v>350</v>
      </c>
      <c r="C735" s="42" t="s">
        <v>169</v>
      </c>
      <c r="D735" s="42" t="s">
        <v>680</v>
      </c>
      <c r="E735" s="42" t="s">
        <v>324</v>
      </c>
      <c r="F735" s="7" t="e">
        <f>F736</f>
        <v>#REF!</v>
      </c>
      <c r="G735" s="7" t="e">
        <f aca="true" t="shared" si="294" ref="G735:L735">G736</f>
        <v>#REF!</v>
      </c>
      <c r="H735" s="7" t="e">
        <f t="shared" si="294"/>
        <v>#REF!</v>
      </c>
      <c r="I735" s="7" t="e">
        <f t="shared" si="294"/>
        <v>#REF!</v>
      </c>
      <c r="J735" s="7" t="e">
        <f t="shared" si="294"/>
        <v>#REF!</v>
      </c>
      <c r="K735" s="7">
        <f t="shared" si="294"/>
        <v>5</v>
      </c>
      <c r="L735" s="7">
        <f t="shared" si="294"/>
        <v>5</v>
      </c>
      <c r="M735" s="7">
        <f t="shared" si="287"/>
        <v>100</v>
      </c>
    </row>
    <row r="736" spans="1:13" ht="15.75">
      <c r="A736" s="31" t="s">
        <v>325</v>
      </c>
      <c r="B736" s="42" t="s">
        <v>350</v>
      </c>
      <c r="C736" s="42" t="s">
        <v>169</v>
      </c>
      <c r="D736" s="42" t="s">
        <v>680</v>
      </c>
      <c r="E736" s="42" t="s">
        <v>326</v>
      </c>
      <c r="F736" s="7" t="e">
        <f>#REF!</f>
        <v>#REF!</v>
      </c>
      <c r="G736" s="7" t="e">
        <f>#REF!</f>
        <v>#REF!</v>
      </c>
      <c r="H736" s="7" t="e">
        <f>#REF!</f>
        <v>#REF!</v>
      </c>
      <c r="I736" s="7" t="e">
        <f>#REF!</f>
        <v>#REF!</v>
      </c>
      <c r="J736" s="7" t="e">
        <f>#REF!</f>
        <v>#REF!</v>
      </c>
      <c r="K736" s="7">
        <f>'Прил.№4 ведомств.'!G368</f>
        <v>5</v>
      </c>
      <c r="L736" s="7">
        <f>'Прил.№4 ведомств.'!H368</f>
        <v>5</v>
      </c>
      <c r="M736" s="7">
        <f t="shared" si="287"/>
        <v>100</v>
      </c>
    </row>
    <row r="737" spans="1:13" ht="31.5" customHeight="1" hidden="1">
      <c r="A737" s="31" t="s">
        <v>329</v>
      </c>
      <c r="B737" s="42" t="s">
        <v>350</v>
      </c>
      <c r="C737" s="42" t="s">
        <v>169</v>
      </c>
      <c r="D737" s="42" t="s">
        <v>681</v>
      </c>
      <c r="E737" s="42"/>
      <c r="F737" s="7">
        <f>F738</f>
        <v>0</v>
      </c>
      <c r="G737" s="7">
        <f aca="true" t="shared" si="295" ref="G737:L738">G738</f>
        <v>0</v>
      </c>
      <c r="H737" s="7">
        <f t="shared" si="295"/>
        <v>0</v>
      </c>
      <c r="I737" s="7">
        <f t="shared" si="295"/>
        <v>0</v>
      </c>
      <c r="J737" s="7">
        <f t="shared" si="295"/>
        <v>0</v>
      </c>
      <c r="K737" s="7">
        <f t="shared" si="295"/>
        <v>0</v>
      </c>
      <c r="L737" s="7">
        <f t="shared" si="295"/>
        <v>0</v>
      </c>
      <c r="M737" s="7" t="e">
        <f t="shared" si="287"/>
        <v>#DIV/0!</v>
      </c>
    </row>
    <row r="738" spans="1:13" ht="47.25" customHeight="1" hidden="1">
      <c r="A738" s="31" t="s">
        <v>323</v>
      </c>
      <c r="B738" s="42" t="s">
        <v>350</v>
      </c>
      <c r="C738" s="42" t="s">
        <v>169</v>
      </c>
      <c r="D738" s="42" t="s">
        <v>681</v>
      </c>
      <c r="E738" s="42" t="s">
        <v>324</v>
      </c>
      <c r="F738" s="7">
        <f>F739</f>
        <v>0</v>
      </c>
      <c r="G738" s="7">
        <f t="shared" si="295"/>
        <v>0</v>
      </c>
      <c r="H738" s="7">
        <f t="shared" si="295"/>
        <v>0</v>
      </c>
      <c r="I738" s="7">
        <f t="shared" si="295"/>
        <v>0</v>
      </c>
      <c r="J738" s="7">
        <f t="shared" si="295"/>
        <v>0</v>
      </c>
      <c r="K738" s="7">
        <f t="shared" si="295"/>
        <v>0</v>
      </c>
      <c r="L738" s="7">
        <f t="shared" si="295"/>
        <v>0</v>
      </c>
      <c r="M738" s="7" t="e">
        <f t="shared" si="287"/>
        <v>#DIV/0!</v>
      </c>
    </row>
    <row r="739" spans="1:13" ht="15.75" customHeight="1" hidden="1">
      <c r="A739" s="31" t="s">
        <v>325</v>
      </c>
      <c r="B739" s="42" t="s">
        <v>350</v>
      </c>
      <c r="C739" s="42" t="s">
        <v>169</v>
      </c>
      <c r="D739" s="42" t="s">
        <v>681</v>
      </c>
      <c r="E739" s="42" t="s">
        <v>326</v>
      </c>
      <c r="F739" s="7"/>
      <c r="G739" s="7"/>
      <c r="H739" s="7"/>
      <c r="I739" s="7"/>
      <c r="J739" s="7"/>
      <c r="K739" s="7"/>
      <c r="L739" s="7"/>
      <c r="M739" s="7" t="e">
        <f t="shared" si="287"/>
        <v>#DIV/0!</v>
      </c>
    </row>
    <row r="740" spans="1:13" ht="31.5" customHeight="1" hidden="1">
      <c r="A740" s="31" t="s">
        <v>331</v>
      </c>
      <c r="B740" s="42" t="s">
        <v>350</v>
      </c>
      <c r="C740" s="42" t="s">
        <v>169</v>
      </c>
      <c r="D740" s="42" t="s">
        <v>682</v>
      </c>
      <c r="E740" s="42"/>
      <c r="F740" s="7">
        <f>F741</f>
        <v>0</v>
      </c>
      <c r="G740" s="7">
        <f aca="true" t="shared" si="296" ref="G740:L741">G741</f>
        <v>0</v>
      </c>
      <c r="H740" s="7">
        <f t="shared" si="296"/>
        <v>0</v>
      </c>
      <c r="I740" s="7">
        <f t="shared" si="296"/>
        <v>0</v>
      </c>
      <c r="J740" s="7">
        <f t="shared" si="296"/>
        <v>0</v>
      </c>
      <c r="K740" s="7">
        <f t="shared" si="296"/>
        <v>0</v>
      </c>
      <c r="L740" s="7">
        <f t="shared" si="296"/>
        <v>0</v>
      </c>
      <c r="M740" s="7" t="e">
        <f t="shared" si="287"/>
        <v>#DIV/0!</v>
      </c>
    </row>
    <row r="741" spans="1:13" ht="47.25" customHeight="1" hidden="1">
      <c r="A741" s="31" t="s">
        <v>323</v>
      </c>
      <c r="B741" s="42" t="s">
        <v>350</v>
      </c>
      <c r="C741" s="42" t="s">
        <v>169</v>
      </c>
      <c r="D741" s="42" t="s">
        <v>682</v>
      </c>
      <c r="E741" s="42" t="s">
        <v>324</v>
      </c>
      <c r="F741" s="7">
        <f>F742</f>
        <v>0</v>
      </c>
      <c r="G741" s="7">
        <f t="shared" si="296"/>
        <v>0</v>
      </c>
      <c r="H741" s="7">
        <f t="shared" si="296"/>
        <v>0</v>
      </c>
      <c r="I741" s="7">
        <f t="shared" si="296"/>
        <v>0</v>
      </c>
      <c r="J741" s="7">
        <f t="shared" si="296"/>
        <v>0</v>
      </c>
      <c r="K741" s="7">
        <f t="shared" si="296"/>
        <v>0</v>
      </c>
      <c r="L741" s="7">
        <f t="shared" si="296"/>
        <v>0</v>
      </c>
      <c r="M741" s="7" t="e">
        <f t="shared" si="287"/>
        <v>#DIV/0!</v>
      </c>
    </row>
    <row r="742" spans="1:13" ht="15.75" customHeight="1" hidden="1">
      <c r="A742" s="31" t="s">
        <v>325</v>
      </c>
      <c r="B742" s="42" t="s">
        <v>350</v>
      </c>
      <c r="C742" s="42" t="s">
        <v>169</v>
      </c>
      <c r="D742" s="42" t="s">
        <v>682</v>
      </c>
      <c r="E742" s="42" t="s">
        <v>326</v>
      </c>
      <c r="F742" s="7"/>
      <c r="G742" s="7"/>
      <c r="H742" s="7"/>
      <c r="I742" s="7"/>
      <c r="J742" s="7"/>
      <c r="K742" s="7"/>
      <c r="L742" s="7"/>
      <c r="M742" s="7" t="e">
        <f t="shared" si="287"/>
        <v>#DIV/0!</v>
      </c>
    </row>
    <row r="743" spans="1:13" ht="31.5" customHeight="1" hidden="1">
      <c r="A743" s="31" t="s">
        <v>335</v>
      </c>
      <c r="B743" s="42" t="s">
        <v>350</v>
      </c>
      <c r="C743" s="42" t="s">
        <v>169</v>
      </c>
      <c r="D743" s="42" t="s">
        <v>683</v>
      </c>
      <c r="E743" s="42"/>
      <c r="F743" s="7">
        <f>F744</f>
        <v>0</v>
      </c>
      <c r="G743" s="7">
        <f aca="true" t="shared" si="297" ref="G743:L744">G744</f>
        <v>0</v>
      </c>
      <c r="H743" s="7">
        <f t="shared" si="297"/>
        <v>0</v>
      </c>
      <c r="I743" s="7">
        <f t="shared" si="297"/>
        <v>0</v>
      </c>
      <c r="J743" s="7">
        <f t="shared" si="297"/>
        <v>0</v>
      </c>
      <c r="K743" s="7">
        <f t="shared" si="297"/>
        <v>0</v>
      </c>
      <c r="L743" s="7">
        <f t="shared" si="297"/>
        <v>0</v>
      </c>
      <c r="M743" s="7" t="e">
        <f t="shared" si="287"/>
        <v>#DIV/0!</v>
      </c>
    </row>
    <row r="744" spans="1:13" ht="47.25" customHeight="1" hidden="1">
      <c r="A744" s="31" t="s">
        <v>323</v>
      </c>
      <c r="B744" s="42" t="s">
        <v>350</v>
      </c>
      <c r="C744" s="42" t="s">
        <v>169</v>
      </c>
      <c r="D744" s="42" t="s">
        <v>683</v>
      </c>
      <c r="E744" s="42" t="s">
        <v>324</v>
      </c>
      <c r="F744" s="7">
        <f>F745</f>
        <v>0</v>
      </c>
      <c r="G744" s="7">
        <f t="shared" si="297"/>
        <v>0</v>
      </c>
      <c r="H744" s="7">
        <f t="shared" si="297"/>
        <v>0</v>
      </c>
      <c r="I744" s="7">
        <f t="shared" si="297"/>
        <v>0</v>
      </c>
      <c r="J744" s="7">
        <f t="shared" si="297"/>
        <v>0</v>
      </c>
      <c r="K744" s="7">
        <f t="shared" si="297"/>
        <v>0</v>
      </c>
      <c r="L744" s="7">
        <f t="shared" si="297"/>
        <v>0</v>
      </c>
      <c r="M744" s="7" t="e">
        <f t="shared" si="287"/>
        <v>#DIV/0!</v>
      </c>
    </row>
    <row r="745" spans="1:13" ht="15.75" customHeight="1" hidden="1">
      <c r="A745" s="31" t="s">
        <v>325</v>
      </c>
      <c r="B745" s="42" t="s">
        <v>350</v>
      </c>
      <c r="C745" s="42" t="s">
        <v>169</v>
      </c>
      <c r="D745" s="42" t="s">
        <v>683</v>
      </c>
      <c r="E745" s="42" t="s">
        <v>326</v>
      </c>
      <c r="F745" s="7"/>
      <c r="G745" s="7"/>
      <c r="H745" s="7"/>
      <c r="I745" s="7"/>
      <c r="J745" s="7"/>
      <c r="K745" s="7"/>
      <c r="L745" s="7"/>
      <c r="M745" s="7" t="e">
        <f t="shared" si="287"/>
        <v>#DIV/0!</v>
      </c>
    </row>
    <row r="746" spans="1:13" ht="31.5" customHeight="1" hidden="1">
      <c r="A746" s="70" t="s">
        <v>372</v>
      </c>
      <c r="B746" s="42" t="s">
        <v>350</v>
      </c>
      <c r="C746" s="42" t="s">
        <v>169</v>
      </c>
      <c r="D746" s="42" t="s">
        <v>373</v>
      </c>
      <c r="E746" s="42"/>
      <c r="F746" s="7">
        <f>F747</f>
        <v>0</v>
      </c>
      <c r="G746" s="7">
        <f aca="true" t="shared" si="298" ref="G746:L746">G747</f>
        <v>0</v>
      </c>
      <c r="H746" s="7">
        <f t="shared" si="298"/>
        <v>0</v>
      </c>
      <c r="I746" s="7">
        <f t="shared" si="298"/>
        <v>0</v>
      </c>
      <c r="J746" s="7">
        <f t="shared" si="298"/>
        <v>0</v>
      </c>
      <c r="K746" s="7">
        <f t="shared" si="298"/>
        <v>0</v>
      </c>
      <c r="L746" s="7">
        <f t="shared" si="298"/>
        <v>0</v>
      </c>
      <c r="M746" s="7" t="e">
        <f t="shared" si="287"/>
        <v>#DIV/0!</v>
      </c>
    </row>
    <row r="747" spans="1:13" ht="47.25" customHeight="1" hidden="1">
      <c r="A747" s="31" t="s">
        <v>323</v>
      </c>
      <c r="B747" s="42" t="s">
        <v>350</v>
      </c>
      <c r="C747" s="42" t="s">
        <v>169</v>
      </c>
      <c r="D747" s="42" t="s">
        <v>373</v>
      </c>
      <c r="E747" s="42" t="s">
        <v>324</v>
      </c>
      <c r="F747" s="7">
        <f aca="true" t="shared" si="299" ref="F747:L747">F751</f>
        <v>0</v>
      </c>
      <c r="G747" s="7">
        <f t="shared" si="299"/>
        <v>0</v>
      </c>
      <c r="H747" s="7">
        <f t="shared" si="299"/>
        <v>0</v>
      </c>
      <c r="I747" s="7">
        <f t="shared" si="299"/>
        <v>0</v>
      </c>
      <c r="J747" s="7">
        <f t="shared" si="299"/>
        <v>0</v>
      </c>
      <c r="K747" s="7">
        <f t="shared" si="299"/>
        <v>0</v>
      </c>
      <c r="L747" s="7">
        <f t="shared" si="299"/>
        <v>0</v>
      </c>
      <c r="M747" s="7" t="e">
        <f t="shared" si="287"/>
        <v>#DIV/0!</v>
      </c>
    </row>
    <row r="748" spans="1:13" ht="15.75">
      <c r="A748" s="26" t="s">
        <v>761</v>
      </c>
      <c r="B748" s="42" t="s">
        <v>350</v>
      </c>
      <c r="C748" s="42" t="s">
        <v>169</v>
      </c>
      <c r="D748" s="21" t="s">
        <v>1029</v>
      </c>
      <c r="E748" s="42"/>
      <c r="F748" s="7" t="e">
        <f>F749</f>
        <v>#REF!</v>
      </c>
      <c r="G748" s="7" t="e">
        <f aca="true" t="shared" si="300" ref="G748:L749">G749</f>
        <v>#REF!</v>
      </c>
      <c r="H748" s="7" t="e">
        <f t="shared" si="300"/>
        <v>#REF!</v>
      </c>
      <c r="I748" s="7" t="e">
        <f t="shared" si="300"/>
        <v>#REF!</v>
      </c>
      <c r="J748" s="7" t="e">
        <f t="shared" si="300"/>
        <v>#REF!</v>
      </c>
      <c r="K748" s="7">
        <f t="shared" si="300"/>
        <v>3.8</v>
      </c>
      <c r="L748" s="7">
        <f t="shared" si="300"/>
        <v>3.8</v>
      </c>
      <c r="M748" s="7">
        <f t="shared" si="287"/>
        <v>100</v>
      </c>
    </row>
    <row r="749" spans="1:13" ht="47.25">
      <c r="A749" s="26" t="s">
        <v>323</v>
      </c>
      <c r="B749" s="42" t="s">
        <v>350</v>
      </c>
      <c r="C749" s="42" t="s">
        <v>169</v>
      </c>
      <c r="D749" s="21" t="s">
        <v>1029</v>
      </c>
      <c r="E749" s="42" t="s">
        <v>324</v>
      </c>
      <c r="F749" s="7" t="e">
        <f>F750</f>
        <v>#REF!</v>
      </c>
      <c r="G749" s="7" t="e">
        <f t="shared" si="300"/>
        <v>#REF!</v>
      </c>
      <c r="H749" s="7" t="e">
        <f t="shared" si="300"/>
        <v>#REF!</v>
      </c>
      <c r="I749" s="7" t="e">
        <f t="shared" si="300"/>
        <v>#REF!</v>
      </c>
      <c r="J749" s="7" t="e">
        <f t="shared" si="300"/>
        <v>#REF!</v>
      </c>
      <c r="K749" s="7">
        <f t="shared" si="300"/>
        <v>3.8</v>
      </c>
      <c r="L749" s="7">
        <f t="shared" si="300"/>
        <v>3.8</v>
      </c>
      <c r="M749" s="7">
        <f t="shared" si="287"/>
        <v>100</v>
      </c>
    </row>
    <row r="750" spans="1:13" ht="15.75">
      <c r="A750" s="26" t="s">
        <v>325</v>
      </c>
      <c r="B750" s="42" t="s">
        <v>350</v>
      </c>
      <c r="C750" s="42" t="s">
        <v>169</v>
      </c>
      <c r="D750" s="21" t="s">
        <v>1029</v>
      </c>
      <c r="E750" s="42" t="s">
        <v>326</v>
      </c>
      <c r="F750" s="7" t="e">
        <f>#REF!</f>
        <v>#REF!</v>
      </c>
      <c r="G750" s="7" t="e">
        <f>#REF!</f>
        <v>#REF!</v>
      </c>
      <c r="H750" s="7" t="e">
        <f>#REF!</f>
        <v>#REF!</v>
      </c>
      <c r="I750" s="7" t="e">
        <f>#REF!</f>
        <v>#REF!</v>
      </c>
      <c r="J750" s="7" t="e">
        <f>#REF!</f>
        <v>#REF!</v>
      </c>
      <c r="K750" s="7">
        <f>'Прил.№4 ведомств.'!G371</f>
        <v>3.8</v>
      </c>
      <c r="L750" s="7">
        <f>'Прил.№4 ведомств.'!H371</f>
        <v>3.8</v>
      </c>
      <c r="M750" s="7">
        <f t="shared" si="287"/>
        <v>100</v>
      </c>
    </row>
    <row r="751" spans="1:13" ht="15.75" hidden="1">
      <c r="A751" s="31" t="s">
        <v>325</v>
      </c>
      <c r="B751" s="42" t="s">
        <v>350</v>
      </c>
      <c r="C751" s="42" t="s">
        <v>169</v>
      </c>
      <c r="D751" s="42" t="s">
        <v>373</v>
      </c>
      <c r="E751" s="42" t="s">
        <v>326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 t="e">
        <f t="shared" si="287"/>
        <v>#DIV/0!</v>
      </c>
    </row>
    <row r="752" spans="1:13" ht="31.5" hidden="1">
      <c r="A752" s="26" t="s">
        <v>335</v>
      </c>
      <c r="B752" s="21" t="s">
        <v>350</v>
      </c>
      <c r="C752" s="21" t="s">
        <v>169</v>
      </c>
      <c r="D752" s="21" t="s">
        <v>371</v>
      </c>
      <c r="E752" s="21"/>
      <c r="F752" s="7" t="e">
        <f>F753</f>
        <v>#REF!</v>
      </c>
      <c r="G752" s="7" t="e">
        <f aca="true" t="shared" si="301" ref="G752:L753">G753</f>
        <v>#REF!</v>
      </c>
      <c r="H752" s="7" t="e">
        <f t="shared" si="301"/>
        <v>#REF!</v>
      </c>
      <c r="I752" s="7" t="e">
        <f t="shared" si="301"/>
        <v>#REF!</v>
      </c>
      <c r="J752" s="7" t="e">
        <f t="shared" si="301"/>
        <v>#REF!</v>
      </c>
      <c r="K752" s="7">
        <f t="shared" si="301"/>
        <v>0</v>
      </c>
      <c r="L752" s="7">
        <f t="shared" si="301"/>
        <v>0</v>
      </c>
      <c r="M752" s="7" t="e">
        <f t="shared" si="287"/>
        <v>#DIV/0!</v>
      </c>
    </row>
    <row r="753" spans="1:13" ht="47.25" hidden="1">
      <c r="A753" s="26" t="s">
        <v>323</v>
      </c>
      <c r="B753" s="21" t="s">
        <v>350</v>
      </c>
      <c r="C753" s="21" t="s">
        <v>169</v>
      </c>
      <c r="D753" s="21" t="s">
        <v>371</v>
      </c>
      <c r="E753" s="21" t="s">
        <v>324</v>
      </c>
      <c r="F753" s="7" t="e">
        <f>F754</f>
        <v>#REF!</v>
      </c>
      <c r="G753" s="7" t="e">
        <f t="shared" si="301"/>
        <v>#REF!</v>
      </c>
      <c r="H753" s="7" t="e">
        <f t="shared" si="301"/>
        <v>#REF!</v>
      </c>
      <c r="I753" s="7" t="e">
        <f t="shared" si="301"/>
        <v>#REF!</v>
      </c>
      <c r="J753" s="7" t="e">
        <f t="shared" si="301"/>
        <v>#REF!</v>
      </c>
      <c r="K753" s="7">
        <f t="shared" si="301"/>
        <v>0</v>
      </c>
      <c r="L753" s="7">
        <f t="shared" si="301"/>
        <v>0</v>
      </c>
      <c r="M753" s="7" t="e">
        <f t="shared" si="287"/>
        <v>#DIV/0!</v>
      </c>
    </row>
    <row r="754" spans="1:13" ht="15.75" hidden="1">
      <c r="A754" s="26" t="s">
        <v>325</v>
      </c>
      <c r="B754" s="21" t="s">
        <v>350</v>
      </c>
      <c r="C754" s="21" t="s">
        <v>169</v>
      </c>
      <c r="D754" s="21" t="s">
        <v>371</v>
      </c>
      <c r="E754" s="21" t="s">
        <v>326</v>
      </c>
      <c r="F754" s="7" t="e">
        <f>#REF!</f>
        <v>#REF!</v>
      </c>
      <c r="G754" s="7" t="e">
        <f>#REF!</f>
        <v>#REF!</v>
      </c>
      <c r="H754" s="7" t="e">
        <f>#REF!</f>
        <v>#REF!</v>
      </c>
      <c r="I754" s="7" t="e">
        <f>#REF!</f>
        <v>#REF!</v>
      </c>
      <c r="J754" s="7" t="e">
        <f>#REF!</f>
        <v>#REF!</v>
      </c>
      <c r="K754" s="7">
        <f>'Прил.№4 ведомств.'!G383</f>
        <v>0</v>
      </c>
      <c r="L754" s="7">
        <f>'Прил.№4 ведомств.'!H383</f>
        <v>0</v>
      </c>
      <c r="M754" s="7" t="e">
        <f t="shared" si="287"/>
        <v>#DIV/0!</v>
      </c>
    </row>
    <row r="755" spans="1:13" ht="31.5">
      <c r="A755" s="37" t="s">
        <v>372</v>
      </c>
      <c r="B755" s="21" t="s">
        <v>350</v>
      </c>
      <c r="C755" s="21" t="s">
        <v>169</v>
      </c>
      <c r="D755" s="21" t="s">
        <v>373</v>
      </c>
      <c r="E755" s="21"/>
      <c r="F755" s="7"/>
      <c r="G755" s="7"/>
      <c r="H755" s="7"/>
      <c r="I755" s="7"/>
      <c r="J755" s="7"/>
      <c r="K755" s="7">
        <f>K756</f>
        <v>180</v>
      </c>
      <c r="L755" s="7">
        <f>L756</f>
        <v>180</v>
      </c>
      <c r="M755" s="7">
        <f t="shared" si="287"/>
        <v>100</v>
      </c>
    </row>
    <row r="756" spans="1:13" ht="47.25">
      <c r="A756" s="26" t="s">
        <v>323</v>
      </c>
      <c r="B756" s="21" t="s">
        <v>350</v>
      </c>
      <c r="C756" s="21" t="s">
        <v>169</v>
      </c>
      <c r="D756" s="21" t="s">
        <v>373</v>
      </c>
      <c r="E756" s="21" t="s">
        <v>324</v>
      </c>
      <c r="F756" s="7"/>
      <c r="G756" s="7"/>
      <c r="H756" s="7"/>
      <c r="I756" s="7"/>
      <c r="J756" s="7"/>
      <c r="K756" s="7">
        <f>K757</f>
        <v>180</v>
      </c>
      <c r="L756" s="7">
        <f>L757</f>
        <v>180</v>
      </c>
      <c r="M756" s="7">
        <f t="shared" si="287"/>
        <v>100</v>
      </c>
    </row>
    <row r="757" spans="1:13" ht="15.75">
      <c r="A757" s="26" t="s">
        <v>325</v>
      </c>
      <c r="B757" s="21" t="s">
        <v>350</v>
      </c>
      <c r="C757" s="21" t="s">
        <v>169</v>
      </c>
      <c r="D757" s="21" t="s">
        <v>373</v>
      </c>
      <c r="E757" s="21" t="s">
        <v>326</v>
      </c>
      <c r="F757" s="7"/>
      <c r="G757" s="7"/>
      <c r="H757" s="7"/>
      <c r="I757" s="7"/>
      <c r="J757" s="7"/>
      <c r="K757" s="7">
        <f>'Прил.№4 ведомств.'!G386</f>
        <v>180</v>
      </c>
      <c r="L757" s="7">
        <f>'Прил.№4 ведомств.'!H386</f>
        <v>180</v>
      </c>
      <c r="M757" s="7">
        <f t="shared" si="287"/>
        <v>100</v>
      </c>
    </row>
    <row r="758" spans="1:13" ht="31.5">
      <c r="A758" s="210" t="s">
        <v>857</v>
      </c>
      <c r="B758" s="21" t="s">
        <v>350</v>
      </c>
      <c r="C758" s="21" t="s">
        <v>169</v>
      </c>
      <c r="D758" s="21" t="s">
        <v>870</v>
      </c>
      <c r="E758" s="21"/>
      <c r="F758" s="7" t="e">
        <f>F759</f>
        <v>#REF!</v>
      </c>
      <c r="G758" s="7" t="e">
        <f aca="true" t="shared" si="302" ref="G758:L759">G759</f>
        <v>#REF!</v>
      </c>
      <c r="H758" s="7" t="e">
        <f t="shared" si="302"/>
        <v>#REF!</v>
      </c>
      <c r="I758" s="7" t="e">
        <f t="shared" si="302"/>
        <v>#REF!</v>
      </c>
      <c r="J758" s="7" t="e">
        <f t="shared" si="302"/>
        <v>#REF!</v>
      </c>
      <c r="K758" s="7">
        <f t="shared" si="302"/>
        <v>407.00000000000006</v>
      </c>
      <c r="L758" s="7">
        <f t="shared" si="302"/>
        <v>402</v>
      </c>
      <c r="M758" s="7">
        <f t="shared" si="287"/>
        <v>98.77149877149876</v>
      </c>
    </row>
    <row r="759" spans="1:13" ht="47.25">
      <c r="A759" s="110" t="s">
        <v>323</v>
      </c>
      <c r="B759" s="21" t="s">
        <v>350</v>
      </c>
      <c r="C759" s="21" t="s">
        <v>169</v>
      </c>
      <c r="D759" s="21" t="s">
        <v>870</v>
      </c>
      <c r="E759" s="21" t="s">
        <v>324</v>
      </c>
      <c r="F759" s="7" t="e">
        <f>F760</f>
        <v>#REF!</v>
      </c>
      <c r="G759" s="7" t="e">
        <f t="shared" si="302"/>
        <v>#REF!</v>
      </c>
      <c r="H759" s="7" t="e">
        <f t="shared" si="302"/>
        <v>#REF!</v>
      </c>
      <c r="I759" s="7" t="e">
        <f t="shared" si="302"/>
        <v>#REF!</v>
      </c>
      <c r="J759" s="7" t="e">
        <f t="shared" si="302"/>
        <v>#REF!</v>
      </c>
      <c r="K759" s="7">
        <f t="shared" si="302"/>
        <v>407.00000000000006</v>
      </c>
      <c r="L759" s="7">
        <f t="shared" si="302"/>
        <v>402</v>
      </c>
      <c r="M759" s="7">
        <f t="shared" si="287"/>
        <v>98.77149877149876</v>
      </c>
    </row>
    <row r="760" spans="1:13" ht="15.75">
      <c r="A760" s="211" t="s">
        <v>325</v>
      </c>
      <c r="B760" s="21" t="s">
        <v>350</v>
      </c>
      <c r="C760" s="21" t="s">
        <v>169</v>
      </c>
      <c r="D760" s="21" t="s">
        <v>870</v>
      </c>
      <c r="E760" s="21" t="s">
        <v>326</v>
      </c>
      <c r="F760" s="7" t="e">
        <f>#REF!</f>
        <v>#REF!</v>
      </c>
      <c r="G760" s="7" t="e">
        <f>#REF!</f>
        <v>#REF!</v>
      </c>
      <c r="H760" s="7" t="e">
        <f>#REF!</f>
        <v>#REF!</v>
      </c>
      <c r="I760" s="7" t="e">
        <f>#REF!</f>
        <v>#REF!</v>
      </c>
      <c r="J760" s="7" t="e">
        <f>#REF!</f>
        <v>#REF!</v>
      </c>
      <c r="K760" s="7">
        <f>'Прил.№4 ведомств.'!G389</f>
        <v>407.00000000000006</v>
      </c>
      <c r="L760" s="7">
        <f>'Прил.№4 ведомств.'!H389</f>
        <v>402</v>
      </c>
      <c r="M760" s="7">
        <f t="shared" si="287"/>
        <v>98.77149877149876</v>
      </c>
    </row>
    <row r="761" spans="1:13" ht="63" hidden="1">
      <c r="A761" s="31" t="s">
        <v>374</v>
      </c>
      <c r="B761" s="42" t="s">
        <v>350</v>
      </c>
      <c r="C761" s="42" t="s">
        <v>169</v>
      </c>
      <c r="D761" s="42" t="s">
        <v>375</v>
      </c>
      <c r="E761" s="21"/>
      <c r="F761" s="7" t="e">
        <f>F762</f>
        <v>#REF!</v>
      </c>
      <c r="G761" s="7" t="e">
        <f aca="true" t="shared" si="303" ref="G761:L763">G762</f>
        <v>#REF!</v>
      </c>
      <c r="H761" s="7" t="e">
        <f t="shared" si="303"/>
        <v>#REF!</v>
      </c>
      <c r="I761" s="7" t="e">
        <f t="shared" si="303"/>
        <v>#REF!</v>
      </c>
      <c r="J761" s="7" t="e">
        <f t="shared" si="303"/>
        <v>#REF!</v>
      </c>
      <c r="K761" s="7">
        <f t="shared" si="303"/>
        <v>0</v>
      </c>
      <c r="L761" s="7">
        <f t="shared" si="303"/>
        <v>0</v>
      </c>
      <c r="M761" s="7" t="e">
        <f t="shared" si="287"/>
        <v>#DIV/0!</v>
      </c>
    </row>
    <row r="762" spans="1:13" ht="47.25" hidden="1">
      <c r="A762" s="26" t="s">
        <v>684</v>
      </c>
      <c r="B762" s="42" t="s">
        <v>350</v>
      </c>
      <c r="C762" s="42" t="s">
        <v>169</v>
      </c>
      <c r="D762" s="42" t="s">
        <v>377</v>
      </c>
      <c r="E762" s="21"/>
      <c r="F762" s="7" t="e">
        <f>F763</f>
        <v>#REF!</v>
      </c>
      <c r="G762" s="7" t="e">
        <f t="shared" si="303"/>
        <v>#REF!</v>
      </c>
      <c r="H762" s="7" t="e">
        <f t="shared" si="303"/>
        <v>#REF!</v>
      </c>
      <c r="I762" s="7" t="e">
        <f t="shared" si="303"/>
        <v>#REF!</v>
      </c>
      <c r="J762" s="7" t="e">
        <f t="shared" si="303"/>
        <v>#REF!</v>
      </c>
      <c r="K762" s="7">
        <f t="shared" si="303"/>
        <v>0</v>
      </c>
      <c r="L762" s="7">
        <f t="shared" si="303"/>
        <v>0</v>
      </c>
      <c r="M762" s="7" t="e">
        <f t="shared" si="287"/>
        <v>#DIV/0!</v>
      </c>
    </row>
    <row r="763" spans="1:13" ht="47.25" hidden="1">
      <c r="A763" s="31" t="s">
        <v>323</v>
      </c>
      <c r="B763" s="42" t="s">
        <v>350</v>
      </c>
      <c r="C763" s="42" t="s">
        <v>169</v>
      </c>
      <c r="D763" s="42" t="s">
        <v>377</v>
      </c>
      <c r="E763" s="21" t="s">
        <v>324</v>
      </c>
      <c r="F763" s="7" t="e">
        <f>F764</f>
        <v>#REF!</v>
      </c>
      <c r="G763" s="7" t="e">
        <f t="shared" si="303"/>
        <v>#REF!</v>
      </c>
      <c r="H763" s="7" t="e">
        <f t="shared" si="303"/>
        <v>#REF!</v>
      </c>
      <c r="I763" s="7" t="e">
        <f t="shared" si="303"/>
        <v>#REF!</v>
      </c>
      <c r="J763" s="7" t="e">
        <f t="shared" si="303"/>
        <v>#REF!</v>
      </c>
      <c r="K763" s="7">
        <f t="shared" si="303"/>
        <v>0</v>
      </c>
      <c r="L763" s="7">
        <f t="shared" si="303"/>
        <v>0</v>
      </c>
      <c r="M763" s="7" t="e">
        <f t="shared" si="287"/>
        <v>#DIV/0!</v>
      </c>
    </row>
    <row r="764" spans="1:13" ht="15.75" hidden="1">
      <c r="A764" s="31" t="s">
        <v>325</v>
      </c>
      <c r="B764" s="42" t="s">
        <v>350</v>
      </c>
      <c r="C764" s="42" t="s">
        <v>169</v>
      </c>
      <c r="D764" s="42" t="s">
        <v>377</v>
      </c>
      <c r="E764" s="21" t="s">
        <v>326</v>
      </c>
      <c r="F764" s="7" t="e">
        <f>#REF!</f>
        <v>#REF!</v>
      </c>
      <c r="G764" s="7" t="e">
        <f>#REF!</f>
        <v>#REF!</v>
      </c>
      <c r="H764" s="7" t="e">
        <f>#REF!</f>
        <v>#REF!</v>
      </c>
      <c r="I764" s="7" t="e">
        <f>#REF!</f>
        <v>#REF!</v>
      </c>
      <c r="J764" s="7" t="e">
        <f>#REF!</f>
        <v>#REF!</v>
      </c>
      <c r="K764" s="7">
        <f>'Прил.№4 ведомств.'!G393</f>
        <v>0</v>
      </c>
      <c r="L764" s="7">
        <f>'Прил.№4 ведомств.'!H393</f>
        <v>0</v>
      </c>
      <c r="M764" s="7" t="e">
        <f t="shared" si="287"/>
        <v>#DIV/0!</v>
      </c>
    </row>
    <row r="765" spans="1:13" ht="15.75">
      <c r="A765" s="31" t="s">
        <v>172</v>
      </c>
      <c r="B765" s="42" t="s">
        <v>350</v>
      </c>
      <c r="C765" s="42" t="s">
        <v>169</v>
      </c>
      <c r="D765" s="42" t="s">
        <v>173</v>
      </c>
      <c r="E765" s="42"/>
      <c r="F765" s="7" t="e">
        <f>F766</f>
        <v>#REF!</v>
      </c>
      <c r="G765" s="7" t="e">
        <f aca="true" t="shared" si="304" ref="G765:L765">G766</f>
        <v>#REF!</v>
      </c>
      <c r="H765" s="7" t="e">
        <f t="shared" si="304"/>
        <v>#REF!</v>
      </c>
      <c r="I765" s="7" t="e">
        <f t="shared" si="304"/>
        <v>#REF!</v>
      </c>
      <c r="J765" s="7" t="e">
        <f t="shared" si="304"/>
        <v>#REF!</v>
      </c>
      <c r="K765" s="7">
        <f t="shared" si="304"/>
        <v>2099.8</v>
      </c>
      <c r="L765" s="7">
        <f t="shared" si="304"/>
        <v>2079.5</v>
      </c>
      <c r="M765" s="7">
        <f t="shared" si="287"/>
        <v>99.03324126107248</v>
      </c>
    </row>
    <row r="766" spans="1:13" ht="31.5">
      <c r="A766" s="31" t="s">
        <v>236</v>
      </c>
      <c r="B766" s="42" t="s">
        <v>350</v>
      </c>
      <c r="C766" s="42" t="s">
        <v>169</v>
      </c>
      <c r="D766" s="42" t="s">
        <v>237</v>
      </c>
      <c r="E766" s="42"/>
      <c r="F766" s="7" t="e">
        <f aca="true" t="shared" si="305" ref="F766:L766">F769+F771+F774+F776+F779+F780+F783</f>
        <v>#REF!</v>
      </c>
      <c r="G766" s="7" t="e">
        <f t="shared" si="305"/>
        <v>#REF!</v>
      </c>
      <c r="H766" s="7" t="e">
        <f t="shared" si="305"/>
        <v>#REF!</v>
      </c>
      <c r="I766" s="7" t="e">
        <f t="shared" si="305"/>
        <v>#REF!</v>
      </c>
      <c r="J766" s="7" t="e">
        <f t="shared" si="305"/>
        <v>#REF!</v>
      </c>
      <c r="K766" s="7">
        <f t="shared" si="305"/>
        <v>2099.8</v>
      </c>
      <c r="L766" s="7">
        <f t="shared" si="305"/>
        <v>2079.5</v>
      </c>
      <c r="M766" s="7">
        <f t="shared" si="287"/>
        <v>99.03324126107248</v>
      </c>
    </row>
    <row r="767" spans="1:13" ht="31.5" customHeight="1" hidden="1">
      <c r="A767" s="69" t="s">
        <v>378</v>
      </c>
      <c r="B767" s="42" t="s">
        <v>350</v>
      </c>
      <c r="C767" s="42" t="s">
        <v>169</v>
      </c>
      <c r="D767" s="42" t="s">
        <v>379</v>
      </c>
      <c r="E767" s="42"/>
      <c r="F767" s="7">
        <f aca="true" t="shared" si="306" ref="F767:L767">F768+F770</f>
        <v>0</v>
      </c>
      <c r="G767" s="7">
        <f t="shared" si="306"/>
        <v>0</v>
      </c>
      <c r="H767" s="7">
        <f t="shared" si="306"/>
        <v>0</v>
      </c>
      <c r="I767" s="7">
        <f t="shared" si="306"/>
        <v>0</v>
      </c>
      <c r="J767" s="7">
        <f t="shared" si="306"/>
        <v>0</v>
      </c>
      <c r="K767" s="7">
        <f t="shared" si="306"/>
        <v>0</v>
      </c>
      <c r="L767" s="7">
        <f t="shared" si="306"/>
        <v>0</v>
      </c>
      <c r="M767" s="7" t="e">
        <f t="shared" si="287"/>
        <v>#DIV/0!</v>
      </c>
    </row>
    <row r="768" spans="1:13" ht="31.5" customHeight="1" hidden="1">
      <c r="A768" s="31" t="s">
        <v>182</v>
      </c>
      <c r="B768" s="42" t="s">
        <v>350</v>
      </c>
      <c r="C768" s="42" t="s">
        <v>169</v>
      </c>
      <c r="D768" s="42" t="s">
        <v>379</v>
      </c>
      <c r="E768" s="42" t="s">
        <v>183</v>
      </c>
      <c r="F768" s="7">
        <f>F769</f>
        <v>0</v>
      </c>
      <c r="G768" s="7">
        <f aca="true" t="shared" si="307" ref="G768:L768">G769</f>
        <v>0</v>
      </c>
      <c r="H768" s="7">
        <f t="shared" si="307"/>
        <v>0</v>
      </c>
      <c r="I768" s="7">
        <f t="shared" si="307"/>
        <v>0</v>
      </c>
      <c r="J768" s="7">
        <f t="shared" si="307"/>
        <v>0</v>
      </c>
      <c r="K768" s="7">
        <f t="shared" si="307"/>
        <v>0</v>
      </c>
      <c r="L768" s="7">
        <f t="shared" si="307"/>
        <v>0</v>
      </c>
      <c r="M768" s="7" t="e">
        <f t="shared" si="287"/>
        <v>#DIV/0!</v>
      </c>
    </row>
    <row r="769" spans="1:13" ht="47.25" customHeight="1" hidden="1">
      <c r="A769" s="31" t="s">
        <v>184</v>
      </c>
      <c r="B769" s="42" t="s">
        <v>350</v>
      </c>
      <c r="C769" s="42" t="s">
        <v>169</v>
      </c>
      <c r="D769" s="42" t="s">
        <v>379</v>
      </c>
      <c r="E769" s="42" t="s">
        <v>185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 t="e">
        <f t="shared" si="287"/>
        <v>#DIV/0!</v>
      </c>
    </row>
    <row r="770" spans="1:13" ht="47.25" customHeight="1" hidden="1">
      <c r="A770" s="31" t="s">
        <v>323</v>
      </c>
      <c r="B770" s="42" t="s">
        <v>350</v>
      </c>
      <c r="C770" s="42" t="s">
        <v>169</v>
      </c>
      <c r="D770" s="42" t="s">
        <v>379</v>
      </c>
      <c r="E770" s="42" t="s">
        <v>324</v>
      </c>
      <c r="F770" s="7">
        <f>F771</f>
        <v>0</v>
      </c>
      <c r="G770" s="7">
        <f aca="true" t="shared" si="308" ref="G770:L770">G771</f>
        <v>0</v>
      </c>
      <c r="H770" s="7">
        <f t="shared" si="308"/>
        <v>0</v>
      </c>
      <c r="I770" s="7">
        <f t="shared" si="308"/>
        <v>0</v>
      </c>
      <c r="J770" s="7">
        <f t="shared" si="308"/>
        <v>0</v>
      </c>
      <c r="K770" s="7">
        <f t="shared" si="308"/>
        <v>0</v>
      </c>
      <c r="L770" s="7">
        <f t="shared" si="308"/>
        <v>0</v>
      </c>
      <c r="M770" s="7" t="e">
        <f t="shared" si="287"/>
        <v>#DIV/0!</v>
      </c>
    </row>
    <row r="771" spans="1:13" ht="15.75" customHeight="1" hidden="1">
      <c r="A771" s="31" t="s">
        <v>325</v>
      </c>
      <c r="B771" s="42" t="s">
        <v>350</v>
      </c>
      <c r="C771" s="42" t="s">
        <v>169</v>
      </c>
      <c r="D771" s="42" t="s">
        <v>379</v>
      </c>
      <c r="E771" s="42" t="s">
        <v>326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 t="e">
        <f t="shared" si="287"/>
        <v>#DIV/0!</v>
      </c>
    </row>
    <row r="772" spans="1:13" ht="31.5">
      <c r="A772" s="31" t="s">
        <v>366</v>
      </c>
      <c r="B772" s="42" t="s">
        <v>350</v>
      </c>
      <c r="C772" s="42" t="s">
        <v>169</v>
      </c>
      <c r="D772" s="42" t="s">
        <v>381</v>
      </c>
      <c r="E772" s="42"/>
      <c r="F772" s="7" t="e">
        <f aca="true" t="shared" si="309" ref="F772:L772">F775+F773</f>
        <v>#REF!</v>
      </c>
      <c r="G772" s="7" t="e">
        <f t="shared" si="309"/>
        <v>#REF!</v>
      </c>
      <c r="H772" s="7" t="e">
        <f t="shared" si="309"/>
        <v>#REF!</v>
      </c>
      <c r="I772" s="7" t="e">
        <f t="shared" si="309"/>
        <v>#REF!</v>
      </c>
      <c r="J772" s="7" t="e">
        <f t="shared" si="309"/>
        <v>#REF!</v>
      </c>
      <c r="K772" s="7">
        <f t="shared" si="309"/>
        <v>177.3</v>
      </c>
      <c r="L772" s="7">
        <f t="shared" si="309"/>
        <v>177.3</v>
      </c>
      <c r="M772" s="7">
        <f t="shared" si="287"/>
        <v>100</v>
      </c>
    </row>
    <row r="773" spans="1:13" ht="31.5" customHeight="1" hidden="1">
      <c r="A773" s="31" t="s">
        <v>182</v>
      </c>
      <c r="B773" s="42" t="s">
        <v>350</v>
      </c>
      <c r="C773" s="42" t="s">
        <v>169</v>
      </c>
      <c r="D773" s="42" t="s">
        <v>381</v>
      </c>
      <c r="E773" s="42" t="s">
        <v>183</v>
      </c>
      <c r="F773" s="7">
        <f>F774</f>
        <v>0</v>
      </c>
      <c r="G773" s="7">
        <f aca="true" t="shared" si="310" ref="G773:L773">G774</f>
        <v>0</v>
      </c>
      <c r="H773" s="7">
        <f t="shared" si="310"/>
        <v>0</v>
      </c>
      <c r="I773" s="7">
        <f t="shared" si="310"/>
        <v>0</v>
      </c>
      <c r="J773" s="7">
        <f t="shared" si="310"/>
        <v>0</v>
      </c>
      <c r="K773" s="7">
        <f t="shared" si="310"/>
        <v>0</v>
      </c>
      <c r="L773" s="7">
        <f t="shared" si="310"/>
        <v>0</v>
      </c>
      <c r="M773" s="7" t="e">
        <f t="shared" si="287"/>
        <v>#DIV/0!</v>
      </c>
    </row>
    <row r="774" spans="1:13" ht="47.25" customHeight="1" hidden="1">
      <c r="A774" s="31" t="s">
        <v>184</v>
      </c>
      <c r="B774" s="42" t="s">
        <v>350</v>
      </c>
      <c r="C774" s="42" t="s">
        <v>169</v>
      </c>
      <c r="D774" s="42" t="s">
        <v>381</v>
      </c>
      <c r="E774" s="42" t="s">
        <v>185</v>
      </c>
      <c r="F774" s="7"/>
      <c r="G774" s="7"/>
      <c r="H774" s="7"/>
      <c r="I774" s="7"/>
      <c r="J774" s="7"/>
      <c r="K774" s="7"/>
      <c r="L774" s="7"/>
      <c r="M774" s="7" t="e">
        <f t="shared" si="287"/>
        <v>#DIV/0!</v>
      </c>
    </row>
    <row r="775" spans="1:13" ht="47.25">
      <c r="A775" s="31" t="s">
        <v>323</v>
      </c>
      <c r="B775" s="42" t="s">
        <v>350</v>
      </c>
      <c r="C775" s="42" t="s">
        <v>169</v>
      </c>
      <c r="D775" s="42" t="s">
        <v>381</v>
      </c>
      <c r="E775" s="42" t="s">
        <v>324</v>
      </c>
      <c r="F775" s="7" t="e">
        <f>F776</f>
        <v>#REF!</v>
      </c>
      <c r="G775" s="7" t="e">
        <f aca="true" t="shared" si="311" ref="G775:L775">G776</f>
        <v>#REF!</v>
      </c>
      <c r="H775" s="7" t="e">
        <f t="shared" si="311"/>
        <v>#REF!</v>
      </c>
      <c r="I775" s="7" t="e">
        <f t="shared" si="311"/>
        <v>#REF!</v>
      </c>
      <c r="J775" s="7" t="e">
        <f t="shared" si="311"/>
        <v>#REF!</v>
      </c>
      <c r="K775" s="7">
        <f t="shared" si="311"/>
        <v>177.3</v>
      </c>
      <c r="L775" s="7">
        <f t="shared" si="311"/>
        <v>177.3</v>
      </c>
      <c r="M775" s="7">
        <f t="shared" si="287"/>
        <v>100</v>
      </c>
    </row>
    <row r="776" spans="1:13" ht="15.75">
      <c r="A776" s="31" t="s">
        <v>325</v>
      </c>
      <c r="B776" s="42" t="s">
        <v>350</v>
      </c>
      <c r="C776" s="42" t="s">
        <v>169</v>
      </c>
      <c r="D776" s="42" t="s">
        <v>381</v>
      </c>
      <c r="E776" s="42" t="s">
        <v>326</v>
      </c>
      <c r="F776" s="7" t="e">
        <f>#REF!</f>
        <v>#REF!</v>
      </c>
      <c r="G776" s="7" t="e">
        <f>#REF!</f>
        <v>#REF!</v>
      </c>
      <c r="H776" s="7" t="e">
        <f>#REF!</f>
        <v>#REF!</v>
      </c>
      <c r="I776" s="7" t="e">
        <f>#REF!</f>
        <v>#REF!</v>
      </c>
      <c r="J776" s="7" t="e">
        <f>#REF!</f>
        <v>#REF!</v>
      </c>
      <c r="K776" s="7">
        <f>'Прил.№4 ведомств.'!G405</f>
        <v>177.3</v>
      </c>
      <c r="L776" s="7">
        <f>'Прил.№4 ведомств.'!H405</f>
        <v>177.3</v>
      </c>
      <c r="M776" s="7">
        <f t="shared" si="287"/>
        <v>100</v>
      </c>
    </row>
    <row r="777" spans="1:13" ht="94.5">
      <c r="A777" s="31" t="s">
        <v>685</v>
      </c>
      <c r="B777" s="42" t="s">
        <v>350</v>
      </c>
      <c r="C777" s="42" t="s">
        <v>169</v>
      </c>
      <c r="D777" s="42" t="s">
        <v>383</v>
      </c>
      <c r="E777" s="42"/>
      <c r="F777" s="7" t="e">
        <f>F778</f>
        <v>#REF!</v>
      </c>
      <c r="G777" s="7" t="e">
        <f aca="true" t="shared" si="312" ref="G777:L778">G778</f>
        <v>#REF!</v>
      </c>
      <c r="H777" s="7" t="e">
        <f t="shared" si="312"/>
        <v>#REF!</v>
      </c>
      <c r="I777" s="7" t="e">
        <f t="shared" si="312"/>
        <v>#REF!</v>
      </c>
      <c r="J777" s="7" t="e">
        <f t="shared" si="312"/>
        <v>#REF!</v>
      </c>
      <c r="K777" s="7">
        <f t="shared" si="312"/>
        <v>273.7</v>
      </c>
      <c r="L777" s="7">
        <f t="shared" si="312"/>
        <v>253.4</v>
      </c>
      <c r="M777" s="7">
        <f t="shared" si="287"/>
        <v>92.58312020460359</v>
      </c>
    </row>
    <row r="778" spans="1:13" ht="47.25">
      <c r="A778" s="31" t="s">
        <v>323</v>
      </c>
      <c r="B778" s="42" t="s">
        <v>350</v>
      </c>
      <c r="C778" s="42" t="s">
        <v>169</v>
      </c>
      <c r="D778" s="42" t="s">
        <v>383</v>
      </c>
      <c r="E778" s="42" t="s">
        <v>324</v>
      </c>
      <c r="F778" s="7" t="e">
        <f>F779</f>
        <v>#REF!</v>
      </c>
      <c r="G778" s="7" t="e">
        <f t="shared" si="312"/>
        <v>#REF!</v>
      </c>
      <c r="H778" s="7" t="e">
        <f t="shared" si="312"/>
        <v>#REF!</v>
      </c>
      <c r="I778" s="7" t="e">
        <f t="shared" si="312"/>
        <v>#REF!</v>
      </c>
      <c r="J778" s="7" t="e">
        <f t="shared" si="312"/>
        <v>#REF!</v>
      </c>
      <c r="K778" s="7">
        <f t="shared" si="312"/>
        <v>273.7</v>
      </c>
      <c r="L778" s="7">
        <f t="shared" si="312"/>
        <v>253.4</v>
      </c>
      <c r="M778" s="7">
        <f t="shared" si="287"/>
        <v>92.58312020460359</v>
      </c>
    </row>
    <row r="779" spans="1:13" ht="15.75">
      <c r="A779" s="31" t="s">
        <v>325</v>
      </c>
      <c r="B779" s="42" t="s">
        <v>350</v>
      </c>
      <c r="C779" s="42" t="s">
        <v>169</v>
      </c>
      <c r="D779" s="42" t="s">
        <v>383</v>
      </c>
      <c r="E779" s="42" t="s">
        <v>326</v>
      </c>
      <c r="F779" s="7" t="e">
        <f>#REF!</f>
        <v>#REF!</v>
      </c>
      <c r="G779" s="7" t="e">
        <f>#REF!</f>
        <v>#REF!</v>
      </c>
      <c r="H779" s="7" t="e">
        <f>#REF!</f>
        <v>#REF!</v>
      </c>
      <c r="I779" s="7" t="e">
        <f>#REF!</f>
        <v>#REF!</v>
      </c>
      <c r="J779" s="7" t="e">
        <f>#REF!</f>
        <v>#REF!</v>
      </c>
      <c r="K779" s="7">
        <f>'Прил.№4 ведомств.'!G408</f>
        <v>273.7</v>
      </c>
      <c r="L779" s="7">
        <f>'Прил.№4 ведомств.'!H408</f>
        <v>253.4</v>
      </c>
      <c r="M779" s="7">
        <f t="shared" si="287"/>
        <v>92.58312020460359</v>
      </c>
    </row>
    <row r="780" spans="1:13" ht="94.5">
      <c r="A780" s="33" t="s">
        <v>344</v>
      </c>
      <c r="B780" s="42" t="s">
        <v>350</v>
      </c>
      <c r="C780" s="42" t="s">
        <v>169</v>
      </c>
      <c r="D780" s="21" t="s">
        <v>345</v>
      </c>
      <c r="E780" s="42"/>
      <c r="F780" s="7" t="e">
        <f>F781</f>
        <v>#REF!</v>
      </c>
      <c r="G780" s="7" t="e">
        <f aca="true" t="shared" si="313" ref="G780:L781">G781</f>
        <v>#REF!</v>
      </c>
      <c r="H780" s="7" t="e">
        <f t="shared" si="313"/>
        <v>#REF!</v>
      </c>
      <c r="I780" s="7" t="e">
        <f t="shared" si="313"/>
        <v>#REF!</v>
      </c>
      <c r="J780" s="7" t="e">
        <f t="shared" si="313"/>
        <v>#REF!</v>
      </c>
      <c r="K780" s="7">
        <f t="shared" si="313"/>
        <v>1648.8000000000002</v>
      </c>
      <c r="L780" s="7">
        <f t="shared" si="313"/>
        <v>1648.8</v>
      </c>
      <c r="M780" s="7">
        <f aca="true" t="shared" si="314" ref="M780:M843">L780/K780*100</f>
        <v>99.99999999999999</v>
      </c>
    </row>
    <row r="781" spans="1:13" ht="47.25">
      <c r="A781" s="31" t="s">
        <v>323</v>
      </c>
      <c r="B781" s="42" t="s">
        <v>350</v>
      </c>
      <c r="C781" s="42" t="s">
        <v>169</v>
      </c>
      <c r="D781" s="21" t="s">
        <v>345</v>
      </c>
      <c r="E781" s="42" t="s">
        <v>324</v>
      </c>
      <c r="F781" s="7" t="e">
        <f>F782</f>
        <v>#REF!</v>
      </c>
      <c r="G781" s="7" t="e">
        <f t="shared" si="313"/>
        <v>#REF!</v>
      </c>
      <c r="H781" s="7" t="e">
        <f t="shared" si="313"/>
        <v>#REF!</v>
      </c>
      <c r="I781" s="7" t="e">
        <f t="shared" si="313"/>
        <v>#REF!</v>
      </c>
      <c r="J781" s="7" t="e">
        <f t="shared" si="313"/>
        <v>#REF!</v>
      </c>
      <c r="K781" s="7">
        <f t="shared" si="313"/>
        <v>1648.8000000000002</v>
      </c>
      <c r="L781" s="7">
        <f t="shared" si="313"/>
        <v>1648.8</v>
      </c>
      <c r="M781" s="7">
        <f t="shared" si="314"/>
        <v>99.99999999999999</v>
      </c>
    </row>
    <row r="782" spans="1:13" ht="15.75">
      <c r="A782" s="31" t="s">
        <v>325</v>
      </c>
      <c r="B782" s="42" t="s">
        <v>350</v>
      </c>
      <c r="C782" s="42" t="s">
        <v>169</v>
      </c>
      <c r="D782" s="21" t="s">
        <v>345</v>
      </c>
      <c r="E782" s="42" t="s">
        <v>326</v>
      </c>
      <c r="F782" s="7" t="e">
        <f>#REF!</f>
        <v>#REF!</v>
      </c>
      <c r="G782" s="7" t="e">
        <f>#REF!</f>
        <v>#REF!</v>
      </c>
      <c r="H782" s="7" t="e">
        <f>#REF!</f>
        <v>#REF!</v>
      </c>
      <c r="I782" s="7" t="e">
        <f>#REF!</f>
        <v>#REF!</v>
      </c>
      <c r="J782" s="7" t="e">
        <f>#REF!</f>
        <v>#REF!</v>
      </c>
      <c r="K782" s="7">
        <f>'Прил.№4 ведомств.'!G409</f>
        <v>1648.8000000000002</v>
      </c>
      <c r="L782" s="7">
        <f>'Прил.№4 ведомств.'!H409</f>
        <v>1648.8</v>
      </c>
      <c r="M782" s="7">
        <f t="shared" si="314"/>
        <v>99.99999999999999</v>
      </c>
    </row>
    <row r="783" spans="1:13" ht="15.75" hidden="1">
      <c r="A783" s="33" t="s">
        <v>763</v>
      </c>
      <c r="B783" s="42" t="s">
        <v>350</v>
      </c>
      <c r="C783" s="42" t="s">
        <v>169</v>
      </c>
      <c r="D783" s="21" t="s">
        <v>764</v>
      </c>
      <c r="E783" s="42"/>
      <c r="F783" s="7" t="e">
        <f>F784</f>
        <v>#REF!</v>
      </c>
      <c r="G783" s="7" t="e">
        <f aca="true" t="shared" si="315" ref="G783:L784">G784</f>
        <v>#REF!</v>
      </c>
      <c r="H783" s="7" t="e">
        <f t="shared" si="315"/>
        <v>#REF!</v>
      </c>
      <c r="I783" s="7" t="e">
        <f t="shared" si="315"/>
        <v>#REF!</v>
      </c>
      <c r="J783" s="7" t="e">
        <f t="shared" si="315"/>
        <v>#REF!</v>
      </c>
      <c r="K783" s="7">
        <f t="shared" si="315"/>
        <v>0</v>
      </c>
      <c r="L783" s="7">
        <f t="shared" si="315"/>
        <v>0</v>
      </c>
      <c r="M783" s="4" t="e">
        <f t="shared" si="314"/>
        <v>#DIV/0!</v>
      </c>
    </row>
    <row r="784" spans="1:13" ht="47.25" hidden="1">
      <c r="A784" s="26" t="s">
        <v>323</v>
      </c>
      <c r="B784" s="42" t="s">
        <v>350</v>
      </c>
      <c r="C784" s="42" t="s">
        <v>169</v>
      </c>
      <c r="D784" s="21" t="s">
        <v>764</v>
      </c>
      <c r="E784" s="42" t="s">
        <v>324</v>
      </c>
      <c r="F784" s="7" t="e">
        <f>F785</f>
        <v>#REF!</v>
      </c>
      <c r="G784" s="7" t="e">
        <f t="shared" si="315"/>
        <v>#REF!</v>
      </c>
      <c r="H784" s="7" t="e">
        <f t="shared" si="315"/>
        <v>#REF!</v>
      </c>
      <c r="I784" s="7" t="e">
        <f t="shared" si="315"/>
        <v>#REF!</v>
      </c>
      <c r="J784" s="7" t="e">
        <f t="shared" si="315"/>
        <v>#REF!</v>
      </c>
      <c r="K784" s="7">
        <f t="shared" si="315"/>
        <v>0</v>
      </c>
      <c r="L784" s="7">
        <f t="shared" si="315"/>
        <v>0</v>
      </c>
      <c r="M784" s="4" t="e">
        <f t="shared" si="314"/>
        <v>#DIV/0!</v>
      </c>
    </row>
    <row r="785" spans="1:13" ht="15.75" hidden="1">
      <c r="A785" s="26" t="s">
        <v>325</v>
      </c>
      <c r="B785" s="42" t="s">
        <v>350</v>
      </c>
      <c r="C785" s="42" t="s">
        <v>169</v>
      </c>
      <c r="D785" s="21" t="s">
        <v>764</v>
      </c>
      <c r="E785" s="42" t="s">
        <v>326</v>
      </c>
      <c r="F785" s="7" t="e">
        <f>#REF!</f>
        <v>#REF!</v>
      </c>
      <c r="G785" s="7" t="e">
        <f>#REF!</f>
        <v>#REF!</v>
      </c>
      <c r="H785" s="7" t="e">
        <f>#REF!</f>
        <v>#REF!</v>
      </c>
      <c r="I785" s="7" t="e">
        <f>#REF!</f>
        <v>#REF!</v>
      </c>
      <c r="J785" s="7" t="e">
        <f>#REF!</f>
        <v>#REF!</v>
      </c>
      <c r="K785" s="7">
        <f>'Прил.№4 ведомств.'!G414</f>
        <v>0</v>
      </c>
      <c r="L785" s="7">
        <f>'Прил.№4 ведомств.'!H414</f>
        <v>0</v>
      </c>
      <c r="M785" s="4" t="e">
        <f t="shared" si="314"/>
        <v>#DIV/0!</v>
      </c>
    </row>
    <row r="786" spans="1:13" ht="31.5">
      <c r="A786" s="43" t="s">
        <v>384</v>
      </c>
      <c r="B786" s="8" t="s">
        <v>350</v>
      </c>
      <c r="C786" s="8" t="s">
        <v>201</v>
      </c>
      <c r="D786" s="8"/>
      <c r="E786" s="8"/>
      <c r="F786" s="4" t="e">
        <f aca="true" t="shared" si="316" ref="F786:L786">F801+F787+F797</f>
        <v>#REF!</v>
      </c>
      <c r="G786" s="4" t="e">
        <f t="shared" si="316"/>
        <v>#REF!</v>
      </c>
      <c r="H786" s="4" t="e">
        <f t="shared" si="316"/>
        <v>#REF!</v>
      </c>
      <c r="I786" s="4" t="e">
        <f t="shared" si="316"/>
        <v>#REF!</v>
      </c>
      <c r="J786" s="4" t="e">
        <f t="shared" si="316"/>
        <v>#REF!</v>
      </c>
      <c r="K786" s="4">
        <f t="shared" si="316"/>
        <v>18285.7</v>
      </c>
      <c r="L786" s="4">
        <f t="shared" si="316"/>
        <v>18284.9</v>
      </c>
      <c r="M786" s="4">
        <f t="shared" si="314"/>
        <v>99.99562499658204</v>
      </c>
    </row>
    <row r="787" spans="1:13" ht="47.25" hidden="1">
      <c r="A787" s="26" t="s">
        <v>385</v>
      </c>
      <c r="B787" s="42" t="s">
        <v>350</v>
      </c>
      <c r="C787" s="42" t="s">
        <v>201</v>
      </c>
      <c r="D787" s="21" t="s">
        <v>386</v>
      </c>
      <c r="E787" s="21"/>
      <c r="F787" s="7" t="e">
        <f aca="true" t="shared" si="317" ref="F787:L787">F788+F791+F794</f>
        <v>#REF!</v>
      </c>
      <c r="G787" s="7" t="e">
        <f t="shared" si="317"/>
        <v>#REF!</v>
      </c>
      <c r="H787" s="7" t="e">
        <f t="shared" si="317"/>
        <v>#REF!</v>
      </c>
      <c r="I787" s="7" t="e">
        <f t="shared" si="317"/>
        <v>#REF!</v>
      </c>
      <c r="J787" s="7" t="e">
        <f t="shared" si="317"/>
        <v>#REF!</v>
      </c>
      <c r="K787" s="7">
        <f t="shared" si="317"/>
        <v>0</v>
      </c>
      <c r="L787" s="7">
        <f t="shared" si="317"/>
        <v>0</v>
      </c>
      <c r="M787" s="4" t="e">
        <f t="shared" si="314"/>
        <v>#DIV/0!</v>
      </c>
    </row>
    <row r="788" spans="1:13" ht="31.5" customHeight="1" hidden="1">
      <c r="A788" s="26" t="s">
        <v>387</v>
      </c>
      <c r="B788" s="42" t="s">
        <v>350</v>
      </c>
      <c r="C788" s="42" t="s">
        <v>201</v>
      </c>
      <c r="D788" s="21" t="s">
        <v>388</v>
      </c>
      <c r="E788" s="21"/>
      <c r="F788" s="7" t="e">
        <f>F789</f>
        <v>#REF!</v>
      </c>
      <c r="G788" s="7" t="e">
        <f aca="true" t="shared" si="318" ref="G788:L789">G789</f>
        <v>#REF!</v>
      </c>
      <c r="H788" s="7" t="e">
        <f t="shared" si="318"/>
        <v>#REF!</v>
      </c>
      <c r="I788" s="7" t="e">
        <f t="shared" si="318"/>
        <v>#REF!</v>
      </c>
      <c r="J788" s="7" t="e">
        <f t="shared" si="318"/>
        <v>#REF!</v>
      </c>
      <c r="K788" s="7">
        <f t="shared" si="318"/>
        <v>0</v>
      </c>
      <c r="L788" s="7">
        <f t="shared" si="318"/>
        <v>0</v>
      </c>
      <c r="M788" s="4" t="e">
        <f t="shared" si="314"/>
        <v>#DIV/0!</v>
      </c>
    </row>
    <row r="789" spans="1:13" ht="31.5" customHeight="1" hidden="1">
      <c r="A789" s="26" t="s">
        <v>182</v>
      </c>
      <c r="B789" s="42" t="s">
        <v>350</v>
      </c>
      <c r="C789" s="42" t="s">
        <v>201</v>
      </c>
      <c r="D789" s="21" t="s">
        <v>388</v>
      </c>
      <c r="E789" s="21" t="s">
        <v>183</v>
      </c>
      <c r="F789" s="7" t="e">
        <f>F790</f>
        <v>#REF!</v>
      </c>
      <c r="G789" s="7" t="e">
        <f t="shared" si="318"/>
        <v>#REF!</v>
      </c>
      <c r="H789" s="7" t="e">
        <f t="shared" si="318"/>
        <v>#REF!</v>
      </c>
      <c r="I789" s="7" t="e">
        <f t="shared" si="318"/>
        <v>#REF!</v>
      </c>
      <c r="J789" s="7" t="e">
        <f t="shared" si="318"/>
        <v>#REF!</v>
      </c>
      <c r="K789" s="7">
        <f t="shared" si="318"/>
        <v>0</v>
      </c>
      <c r="L789" s="7">
        <f t="shared" si="318"/>
        <v>0</v>
      </c>
      <c r="M789" s="4" t="e">
        <f t="shared" si="314"/>
        <v>#DIV/0!</v>
      </c>
    </row>
    <row r="790" spans="1:13" ht="47.25" customHeight="1" hidden="1">
      <c r="A790" s="26" t="s">
        <v>184</v>
      </c>
      <c r="B790" s="42" t="s">
        <v>350</v>
      </c>
      <c r="C790" s="42" t="s">
        <v>201</v>
      </c>
      <c r="D790" s="21" t="s">
        <v>388</v>
      </c>
      <c r="E790" s="21" t="s">
        <v>185</v>
      </c>
      <c r="F790" s="7" t="e">
        <f>#REF!</f>
        <v>#REF!</v>
      </c>
      <c r="G790" s="7" t="e">
        <f>#REF!</f>
        <v>#REF!</v>
      </c>
      <c r="H790" s="7" t="e">
        <f>#REF!</f>
        <v>#REF!</v>
      </c>
      <c r="I790" s="7" t="e">
        <f>#REF!</f>
        <v>#REF!</v>
      </c>
      <c r="J790" s="7" t="e">
        <f>#REF!</f>
        <v>#REF!</v>
      </c>
      <c r="K790" s="7">
        <f>'Прил.№4 ведомств.'!G419</f>
        <v>0</v>
      </c>
      <c r="L790" s="7">
        <f>'Прил.№4 ведомств.'!H419</f>
        <v>0</v>
      </c>
      <c r="M790" s="4" t="e">
        <f t="shared" si="314"/>
        <v>#DIV/0!</v>
      </c>
    </row>
    <row r="791" spans="1:13" ht="31.5" hidden="1">
      <c r="A791" s="26" t="s">
        <v>389</v>
      </c>
      <c r="B791" s="42" t="s">
        <v>350</v>
      </c>
      <c r="C791" s="42" t="s">
        <v>201</v>
      </c>
      <c r="D791" s="21" t="s">
        <v>390</v>
      </c>
      <c r="E791" s="21"/>
      <c r="F791" s="7" t="e">
        <f>F792</f>
        <v>#REF!</v>
      </c>
      <c r="G791" s="7" t="e">
        <f aca="true" t="shared" si="319" ref="G791:L792">G792</f>
        <v>#REF!</v>
      </c>
      <c r="H791" s="7" t="e">
        <f t="shared" si="319"/>
        <v>#REF!</v>
      </c>
      <c r="I791" s="7" t="e">
        <f t="shared" si="319"/>
        <v>#REF!</v>
      </c>
      <c r="J791" s="7" t="e">
        <f t="shared" si="319"/>
        <v>#REF!</v>
      </c>
      <c r="K791" s="7">
        <f t="shared" si="319"/>
        <v>0</v>
      </c>
      <c r="L791" s="7">
        <f t="shared" si="319"/>
        <v>0</v>
      </c>
      <c r="M791" s="4" t="e">
        <f t="shared" si="314"/>
        <v>#DIV/0!</v>
      </c>
    </row>
    <row r="792" spans="1:13" ht="31.5" hidden="1">
      <c r="A792" s="26" t="s">
        <v>182</v>
      </c>
      <c r="B792" s="42" t="s">
        <v>350</v>
      </c>
      <c r="C792" s="42" t="s">
        <v>201</v>
      </c>
      <c r="D792" s="21" t="s">
        <v>390</v>
      </c>
      <c r="E792" s="21" t="s">
        <v>183</v>
      </c>
      <c r="F792" s="7" t="e">
        <f>F793</f>
        <v>#REF!</v>
      </c>
      <c r="G792" s="7" t="e">
        <f t="shared" si="319"/>
        <v>#REF!</v>
      </c>
      <c r="H792" s="7" t="e">
        <f t="shared" si="319"/>
        <v>#REF!</v>
      </c>
      <c r="I792" s="7" t="e">
        <f t="shared" si="319"/>
        <v>#REF!</v>
      </c>
      <c r="J792" s="7" t="e">
        <f t="shared" si="319"/>
        <v>#REF!</v>
      </c>
      <c r="K792" s="7">
        <f t="shared" si="319"/>
        <v>0</v>
      </c>
      <c r="L792" s="7">
        <f t="shared" si="319"/>
        <v>0</v>
      </c>
      <c r="M792" s="4" t="e">
        <f t="shared" si="314"/>
        <v>#DIV/0!</v>
      </c>
    </row>
    <row r="793" spans="1:13" ht="47.25" hidden="1">
      <c r="A793" s="26" t="s">
        <v>184</v>
      </c>
      <c r="B793" s="42" t="s">
        <v>350</v>
      </c>
      <c r="C793" s="42" t="s">
        <v>201</v>
      </c>
      <c r="D793" s="21" t="s">
        <v>390</v>
      </c>
      <c r="E793" s="21" t="s">
        <v>185</v>
      </c>
      <c r="F793" s="7" t="e">
        <f>#REF!</f>
        <v>#REF!</v>
      </c>
      <c r="G793" s="7" t="e">
        <f>#REF!</f>
        <v>#REF!</v>
      </c>
      <c r="H793" s="7" t="e">
        <f>#REF!</f>
        <v>#REF!</v>
      </c>
      <c r="I793" s="7" t="e">
        <f>#REF!</f>
        <v>#REF!</v>
      </c>
      <c r="J793" s="7" t="e">
        <f>#REF!</f>
        <v>#REF!</v>
      </c>
      <c r="K793" s="7">
        <f>'Прил.№4 ведомств.'!G425</f>
        <v>0</v>
      </c>
      <c r="L793" s="7">
        <f>'Прил.№4 ведомств.'!H425</f>
        <v>0</v>
      </c>
      <c r="M793" s="4" t="e">
        <f t="shared" si="314"/>
        <v>#DIV/0!</v>
      </c>
    </row>
    <row r="794" spans="1:13" ht="47.25" hidden="1">
      <c r="A794" s="26" t="s">
        <v>798</v>
      </c>
      <c r="B794" s="42" t="s">
        <v>350</v>
      </c>
      <c r="C794" s="42" t="s">
        <v>201</v>
      </c>
      <c r="D794" s="21" t="s">
        <v>758</v>
      </c>
      <c r="E794" s="21"/>
      <c r="F794" s="7" t="e">
        <f>F795</f>
        <v>#REF!</v>
      </c>
      <c r="G794" s="7" t="e">
        <f aca="true" t="shared" si="320" ref="G794:L795">G795</f>
        <v>#REF!</v>
      </c>
      <c r="H794" s="7" t="e">
        <f t="shared" si="320"/>
        <v>#REF!</v>
      </c>
      <c r="I794" s="7" t="e">
        <f t="shared" si="320"/>
        <v>#REF!</v>
      </c>
      <c r="J794" s="7" t="e">
        <f t="shared" si="320"/>
        <v>#REF!</v>
      </c>
      <c r="K794" s="7">
        <f t="shared" si="320"/>
        <v>0</v>
      </c>
      <c r="L794" s="7">
        <f t="shared" si="320"/>
        <v>0</v>
      </c>
      <c r="M794" s="4" t="e">
        <f t="shared" si="314"/>
        <v>#DIV/0!</v>
      </c>
    </row>
    <row r="795" spans="1:13" ht="31.5" hidden="1">
      <c r="A795" s="26" t="s">
        <v>182</v>
      </c>
      <c r="B795" s="42" t="s">
        <v>350</v>
      </c>
      <c r="C795" s="42" t="s">
        <v>201</v>
      </c>
      <c r="D795" s="21" t="s">
        <v>758</v>
      </c>
      <c r="E795" s="21" t="s">
        <v>179</v>
      </c>
      <c r="F795" s="7" t="e">
        <f>F796</f>
        <v>#REF!</v>
      </c>
      <c r="G795" s="7" t="e">
        <f t="shared" si="320"/>
        <v>#REF!</v>
      </c>
      <c r="H795" s="7" t="e">
        <f t="shared" si="320"/>
        <v>#REF!</v>
      </c>
      <c r="I795" s="7" t="e">
        <f t="shared" si="320"/>
        <v>#REF!</v>
      </c>
      <c r="J795" s="7" t="e">
        <f t="shared" si="320"/>
        <v>#REF!</v>
      </c>
      <c r="K795" s="7">
        <f t="shared" si="320"/>
        <v>0</v>
      </c>
      <c r="L795" s="7">
        <f t="shared" si="320"/>
        <v>0</v>
      </c>
      <c r="M795" s="4" t="e">
        <f t="shared" si="314"/>
        <v>#DIV/0!</v>
      </c>
    </row>
    <row r="796" spans="1:13" ht="47.25" hidden="1">
      <c r="A796" s="26" t="s">
        <v>184</v>
      </c>
      <c r="B796" s="42" t="s">
        <v>350</v>
      </c>
      <c r="C796" s="42" t="s">
        <v>201</v>
      </c>
      <c r="D796" s="21" t="s">
        <v>758</v>
      </c>
      <c r="E796" s="21" t="s">
        <v>181</v>
      </c>
      <c r="F796" s="7" t="e">
        <f>#REF!</f>
        <v>#REF!</v>
      </c>
      <c r="G796" s="7" t="e">
        <f>#REF!</f>
        <v>#REF!</v>
      </c>
      <c r="H796" s="7" t="e">
        <f>#REF!</f>
        <v>#REF!</v>
      </c>
      <c r="I796" s="7" t="e">
        <f>#REF!</f>
        <v>#REF!</v>
      </c>
      <c r="J796" s="7" t="e">
        <f>#REF!</f>
        <v>#REF!</v>
      </c>
      <c r="K796" s="7">
        <f>'Прил.№4 ведомств.'!G431</f>
        <v>0</v>
      </c>
      <c r="L796" s="7">
        <f>'Прил.№4 ведомств.'!H431</f>
        <v>0</v>
      </c>
      <c r="M796" s="4" t="e">
        <f t="shared" si="314"/>
        <v>#DIV/0!</v>
      </c>
    </row>
    <row r="797" spans="1:13" ht="63" hidden="1">
      <c r="A797" s="31" t="s">
        <v>797</v>
      </c>
      <c r="B797" s="42" t="s">
        <v>350</v>
      </c>
      <c r="C797" s="42" t="s">
        <v>201</v>
      </c>
      <c r="D797" s="21" t="s">
        <v>795</v>
      </c>
      <c r="E797" s="21"/>
      <c r="F797" s="7" t="e">
        <f>F798</f>
        <v>#REF!</v>
      </c>
      <c r="G797" s="7" t="e">
        <f aca="true" t="shared" si="321" ref="G797:L799">G798</f>
        <v>#REF!</v>
      </c>
      <c r="H797" s="7" t="e">
        <f t="shared" si="321"/>
        <v>#REF!</v>
      </c>
      <c r="I797" s="7" t="e">
        <f t="shared" si="321"/>
        <v>#REF!</v>
      </c>
      <c r="J797" s="7" t="e">
        <f t="shared" si="321"/>
        <v>#REF!</v>
      </c>
      <c r="K797" s="7">
        <f t="shared" si="321"/>
        <v>0</v>
      </c>
      <c r="L797" s="7">
        <f t="shared" si="321"/>
        <v>0</v>
      </c>
      <c r="M797" s="4" t="e">
        <f t="shared" si="314"/>
        <v>#DIV/0!</v>
      </c>
    </row>
    <row r="798" spans="1:13" ht="31.5" hidden="1">
      <c r="A798" s="26" t="s">
        <v>420</v>
      </c>
      <c r="B798" s="42" t="s">
        <v>350</v>
      </c>
      <c r="C798" s="42" t="s">
        <v>201</v>
      </c>
      <c r="D798" s="21" t="s">
        <v>803</v>
      </c>
      <c r="E798" s="21"/>
      <c r="F798" s="7" t="e">
        <f>F799</f>
        <v>#REF!</v>
      </c>
      <c r="G798" s="7" t="e">
        <f t="shared" si="321"/>
        <v>#REF!</v>
      </c>
      <c r="H798" s="7" t="e">
        <f t="shared" si="321"/>
        <v>#REF!</v>
      </c>
      <c r="I798" s="7" t="e">
        <f t="shared" si="321"/>
        <v>#REF!</v>
      </c>
      <c r="J798" s="7" t="e">
        <f t="shared" si="321"/>
        <v>#REF!</v>
      </c>
      <c r="K798" s="7">
        <f t="shared" si="321"/>
        <v>0</v>
      </c>
      <c r="L798" s="7">
        <f t="shared" si="321"/>
        <v>0</v>
      </c>
      <c r="M798" s="4" t="e">
        <f t="shared" si="314"/>
        <v>#DIV/0!</v>
      </c>
    </row>
    <row r="799" spans="1:13" ht="31.5" hidden="1">
      <c r="A799" s="26" t="s">
        <v>182</v>
      </c>
      <c r="B799" s="42" t="s">
        <v>350</v>
      </c>
      <c r="C799" s="42" t="s">
        <v>201</v>
      </c>
      <c r="D799" s="21" t="s">
        <v>803</v>
      </c>
      <c r="E799" s="21" t="s">
        <v>183</v>
      </c>
      <c r="F799" s="7" t="e">
        <f>F800</f>
        <v>#REF!</v>
      </c>
      <c r="G799" s="7" t="e">
        <f t="shared" si="321"/>
        <v>#REF!</v>
      </c>
      <c r="H799" s="7" t="e">
        <f t="shared" si="321"/>
        <v>#REF!</v>
      </c>
      <c r="I799" s="7" t="e">
        <f t="shared" si="321"/>
        <v>#REF!</v>
      </c>
      <c r="J799" s="7" t="e">
        <f t="shared" si="321"/>
        <v>#REF!</v>
      </c>
      <c r="K799" s="7">
        <f t="shared" si="321"/>
        <v>0</v>
      </c>
      <c r="L799" s="7">
        <f t="shared" si="321"/>
        <v>0</v>
      </c>
      <c r="M799" s="4" t="e">
        <f t="shared" si="314"/>
        <v>#DIV/0!</v>
      </c>
    </row>
    <row r="800" spans="1:13" ht="47.25" hidden="1">
      <c r="A800" s="26" t="s">
        <v>184</v>
      </c>
      <c r="B800" s="42" t="s">
        <v>350</v>
      </c>
      <c r="C800" s="42" t="s">
        <v>201</v>
      </c>
      <c r="D800" s="21" t="s">
        <v>803</v>
      </c>
      <c r="E800" s="21" t="s">
        <v>185</v>
      </c>
      <c r="F800" s="7" t="e">
        <f>#REF!</f>
        <v>#REF!</v>
      </c>
      <c r="G800" s="7" t="e">
        <f>#REF!</f>
        <v>#REF!</v>
      </c>
      <c r="H800" s="7" t="e">
        <f>#REF!</f>
        <v>#REF!</v>
      </c>
      <c r="I800" s="7" t="e">
        <f>#REF!</f>
        <v>#REF!</v>
      </c>
      <c r="J800" s="7" t="e">
        <f>#REF!</f>
        <v>#REF!</v>
      </c>
      <c r="K800" s="7">
        <f>'Прил.№4 ведомств.'!G438</f>
        <v>0</v>
      </c>
      <c r="L800" s="7">
        <f>'Прил.№4 ведомств.'!H438</f>
        <v>0</v>
      </c>
      <c r="M800" s="4" t="e">
        <f t="shared" si="314"/>
        <v>#DIV/0!</v>
      </c>
    </row>
    <row r="801" spans="1:13" ht="15.75">
      <c r="A801" s="31" t="s">
        <v>172</v>
      </c>
      <c r="B801" s="42" t="s">
        <v>350</v>
      </c>
      <c r="C801" s="42" t="s">
        <v>201</v>
      </c>
      <c r="D801" s="42" t="s">
        <v>173</v>
      </c>
      <c r="E801" s="42"/>
      <c r="F801" s="7" t="e">
        <f aca="true" t="shared" si="322" ref="F801:L801">F808+F802</f>
        <v>#REF!</v>
      </c>
      <c r="G801" s="7" t="e">
        <f t="shared" si="322"/>
        <v>#REF!</v>
      </c>
      <c r="H801" s="7" t="e">
        <f t="shared" si="322"/>
        <v>#REF!</v>
      </c>
      <c r="I801" s="7" t="e">
        <f t="shared" si="322"/>
        <v>#REF!</v>
      </c>
      <c r="J801" s="7" t="e">
        <f t="shared" si="322"/>
        <v>#REF!</v>
      </c>
      <c r="K801" s="7">
        <f t="shared" si="322"/>
        <v>18285.7</v>
      </c>
      <c r="L801" s="7">
        <f t="shared" si="322"/>
        <v>18284.9</v>
      </c>
      <c r="M801" s="7">
        <f t="shared" si="314"/>
        <v>99.99562499658204</v>
      </c>
    </row>
    <row r="802" spans="1:13" ht="31.5">
      <c r="A802" s="31" t="s">
        <v>174</v>
      </c>
      <c r="B802" s="42" t="s">
        <v>350</v>
      </c>
      <c r="C802" s="42" t="s">
        <v>201</v>
      </c>
      <c r="D802" s="42" t="s">
        <v>175</v>
      </c>
      <c r="E802" s="42"/>
      <c r="F802" s="7" t="e">
        <f>F803</f>
        <v>#REF!</v>
      </c>
      <c r="G802" s="7" t="e">
        <f aca="true" t="shared" si="323" ref="G802:L802">G803</f>
        <v>#REF!</v>
      </c>
      <c r="H802" s="7" t="e">
        <f t="shared" si="323"/>
        <v>#REF!</v>
      </c>
      <c r="I802" s="7" t="e">
        <f t="shared" si="323"/>
        <v>#REF!</v>
      </c>
      <c r="J802" s="7" t="e">
        <f t="shared" si="323"/>
        <v>#REF!</v>
      </c>
      <c r="K802" s="7">
        <f t="shared" si="323"/>
        <v>8162</v>
      </c>
      <c r="L802" s="7">
        <f t="shared" si="323"/>
        <v>8161.5</v>
      </c>
      <c r="M802" s="7">
        <f t="shared" si="314"/>
        <v>99.99387405047783</v>
      </c>
    </row>
    <row r="803" spans="1:13" ht="47.25">
      <c r="A803" s="31" t="s">
        <v>176</v>
      </c>
      <c r="B803" s="42" t="s">
        <v>350</v>
      </c>
      <c r="C803" s="42" t="s">
        <v>201</v>
      </c>
      <c r="D803" s="42" t="s">
        <v>177</v>
      </c>
      <c r="E803" s="42"/>
      <c r="F803" s="7" t="e">
        <f aca="true" t="shared" si="324" ref="F803:L803">F804+F806</f>
        <v>#REF!</v>
      </c>
      <c r="G803" s="7" t="e">
        <f t="shared" si="324"/>
        <v>#REF!</v>
      </c>
      <c r="H803" s="7" t="e">
        <f t="shared" si="324"/>
        <v>#REF!</v>
      </c>
      <c r="I803" s="7" t="e">
        <f t="shared" si="324"/>
        <v>#REF!</v>
      </c>
      <c r="J803" s="7" t="e">
        <f t="shared" si="324"/>
        <v>#REF!</v>
      </c>
      <c r="K803" s="7">
        <f t="shared" si="324"/>
        <v>8162</v>
      </c>
      <c r="L803" s="7">
        <f t="shared" si="324"/>
        <v>8161.5</v>
      </c>
      <c r="M803" s="7">
        <f t="shared" si="314"/>
        <v>99.99387405047783</v>
      </c>
    </row>
    <row r="804" spans="1:13" ht="78.75">
      <c r="A804" s="31" t="s">
        <v>178</v>
      </c>
      <c r="B804" s="42" t="s">
        <v>350</v>
      </c>
      <c r="C804" s="42" t="s">
        <v>201</v>
      </c>
      <c r="D804" s="42" t="s">
        <v>177</v>
      </c>
      <c r="E804" s="42" t="s">
        <v>179</v>
      </c>
      <c r="F804" s="63" t="e">
        <f>F805</f>
        <v>#REF!</v>
      </c>
      <c r="G804" s="63" t="e">
        <f aca="true" t="shared" si="325" ref="G804:L804">G805</f>
        <v>#REF!</v>
      </c>
      <c r="H804" s="63" t="e">
        <f t="shared" si="325"/>
        <v>#REF!</v>
      </c>
      <c r="I804" s="63" t="e">
        <f t="shared" si="325"/>
        <v>#REF!</v>
      </c>
      <c r="J804" s="63" t="e">
        <f t="shared" si="325"/>
        <v>#REF!</v>
      </c>
      <c r="K804" s="63">
        <f t="shared" si="325"/>
        <v>8162</v>
      </c>
      <c r="L804" s="63">
        <f t="shared" si="325"/>
        <v>8161.5</v>
      </c>
      <c r="M804" s="7">
        <f t="shared" si="314"/>
        <v>99.99387405047783</v>
      </c>
    </row>
    <row r="805" spans="1:13" ht="31.5">
      <c r="A805" s="31" t="s">
        <v>180</v>
      </c>
      <c r="B805" s="42" t="s">
        <v>350</v>
      </c>
      <c r="C805" s="42" t="s">
        <v>201</v>
      </c>
      <c r="D805" s="42" t="s">
        <v>177</v>
      </c>
      <c r="E805" s="42" t="s">
        <v>181</v>
      </c>
      <c r="F805" s="63" t="e">
        <f>#REF!</f>
        <v>#REF!</v>
      </c>
      <c r="G805" s="63" t="e">
        <f>#REF!</f>
        <v>#REF!</v>
      </c>
      <c r="H805" s="63" t="e">
        <f>#REF!</f>
        <v>#REF!</v>
      </c>
      <c r="I805" s="63" t="e">
        <f>#REF!</f>
        <v>#REF!</v>
      </c>
      <c r="J805" s="63" t="e">
        <f>#REF!</f>
        <v>#REF!</v>
      </c>
      <c r="K805" s="63">
        <f>'Прил.№4 ведомств.'!G443</f>
        <v>8162</v>
      </c>
      <c r="L805" s="63">
        <f>'Прил.№4 ведомств.'!H443</f>
        <v>8161.5</v>
      </c>
      <c r="M805" s="7">
        <f t="shared" si="314"/>
        <v>99.99387405047783</v>
      </c>
    </row>
    <row r="806" spans="1:13" ht="31.5" customHeight="1" hidden="1">
      <c r="A806" s="31" t="s">
        <v>182</v>
      </c>
      <c r="B806" s="42" t="s">
        <v>350</v>
      </c>
      <c r="C806" s="42" t="s">
        <v>201</v>
      </c>
      <c r="D806" s="42" t="s">
        <v>177</v>
      </c>
      <c r="E806" s="42" t="s">
        <v>183</v>
      </c>
      <c r="F806" s="63">
        <f>F807</f>
        <v>0</v>
      </c>
      <c r="G806" s="63">
        <f aca="true" t="shared" si="326" ref="G806:L806">G807</f>
        <v>0</v>
      </c>
      <c r="H806" s="63" t="e">
        <f t="shared" si="326"/>
        <v>#REF!</v>
      </c>
      <c r="I806" s="63" t="e">
        <f t="shared" si="326"/>
        <v>#REF!</v>
      </c>
      <c r="J806" s="63" t="e">
        <f t="shared" si="326"/>
        <v>#REF!</v>
      </c>
      <c r="K806" s="63">
        <f t="shared" si="326"/>
        <v>0</v>
      </c>
      <c r="L806" s="63">
        <f t="shared" si="326"/>
        <v>0</v>
      </c>
      <c r="M806" s="7" t="e">
        <f t="shared" si="314"/>
        <v>#DIV/0!</v>
      </c>
    </row>
    <row r="807" spans="1:13" ht="47.25" customHeight="1" hidden="1">
      <c r="A807" s="31" t="s">
        <v>184</v>
      </c>
      <c r="B807" s="42" t="s">
        <v>350</v>
      </c>
      <c r="C807" s="42" t="s">
        <v>201</v>
      </c>
      <c r="D807" s="42" t="s">
        <v>177</v>
      </c>
      <c r="E807" s="42" t="s">
        <v>185</v>
      </c>
      <c r="F807" s="63"/>
      <c r="G807" s="63"/>
      <c r="H807" s="63" t="e">
        <f>#REF!</f>
        <v>#REF!</v>
      </c>
      <c r="I807" s="63" t="e">
        <f>#REF!</f>
        <v>#REF!</v>
      </c>
      <c r="J807" s="63" t="e">
        <f>#REF!</f>
        <v>#REF!</v>
      </c>
      <c r="K807" s="63">
        <f>'Прил.№4 ведомств.'!G445</f>
        <v>0</v>
      </c>
      <c r="L807" s="63">
        <f>'Прил.№4 ведомств.'!H445</f>
        <v>0</v>
      </c>
      <c r="M807" s="7" t="e">
        <f t="shared" si="314"/>
        <v>#DIV/0!</v>
      </c>
    </row>
    <row r="808" spans="1:13" ht="15.75">
      <c r="A808" s="31" t="s">
        <v>192</v>
      </c>
      <c r="B808" s="42" t="s">
        <v>350</v>
      </c>
      <c r="C808" s="42" t="s">
        <v>201</v>
      </c>
      <c r="D808" s="42" t="s">
        <v>193</v>
      </c>
      <c r="E808" s="42"/>
      <c r="F808" s="7" t="e">
        <f>F809</f>
        <v>#REF!</v>
      </c>
      <c r="G808" s="7" t="e">
        <f aca="true" t="shared" si="327" ref="G808:L808">G809</f>
        <v>#REF!</v>
      </c>
      <c r="H808" s="7" t="e">
        <f t="shared" si="327"/>
        <v>#REF!</v>
      </c>
      <c r="I808" s="7" t="e">
        <f t="shared" si="327"/>
        <v>#REF!</v>
      </c>
      <c r="J808" s="7" t="e">
        <f t="shared" si="327"/>
        <v>#REF!</v>
      </c>
      <c r="K808" s="7">
        <f t="shared" si="327"/>
        <v>10123.7</v>
      </c>
      <c r="L808" s="7">
        <f t="shared" si="327"/>
        <v>10123.400000000001</v>
      </c>
      <c r="M808" s="7">
        <f t="shared" si="314"/>
        <v>99.99703665655838</v>
      </c>
    </row>
    <row r="809" spans="1:13" ht="31.5">
      <c r="A809" s="26" t="s">
        <v>391</v>
      </c>
      <c r="B809" s="42" t="s">
        <v>350</v>
      </c>
      <c r="C809" s="42" t="s">
        <v>201</v>
      </c>
      <c r="D809" s="42" t="s">
        <v>392</v>
      </c>
      <c r="E809" s="42"/>
      <c r="F809" s="7" t="e">
        <f aca="true" t="shared" si="328" ref="F809:L809">F810+F812+F814</f>
        <v>#REF!</v>
      </c>
      <c r="G809" s="7" t="e">
        <f t="shared" si="328"/>
        <v>#REF!</v>
      </c>
      <c r="H809" s="7" t="e">
        <f t="shared" si="328"/>
        <v>#REF!</v>
      </c>
      <c r="I809" s="7" t="e">
        <f t="shared" si="328"/>
        <v>#REF!</v>
      </c>
      <c r="J809" s="7" t="e">
        <f t="shared" si="328"/>
        <v>#REF!</v>
      </c>
      <c r="K809" s="7">
        <f t="shared" si="328"/>
        <v>10123.7</v>
      </c>
      <c r="L809" s="7">
        <f t="shared" si="328"/>
        <v>10123.400000000001</v>
      </c>
      <c r="M809" s="7">
        <f t="shared" si="314"/>
        <v>99.99703665655838</v>
      </c>
    </row>
    <row r="810" spans="1:13" ht="78.75">
      <c r="A810" s="31" t="s">
        <v>178</v>
      </c>
      <c r="B810" s="42" t="s">
        <v>350</v>
      </c>
      <c r="C810" s="42" t="s">
        <v>201</v>
      </c>
      <c r="D810" s="42" t="s">
        <v>392</v>
      </c>
      <c r="E810" s="42" t="s">
        <v>179</v>
      </c>
      <c r="F810" s="63" t="e">
        <f>F811</f>
        <v>#REF!</v>
      </c>
      <c r="G810" s="63" t="e">
        <f aca="true" t="shared" si="329" ref="G810:L810">G811</f>
        <v>#REF!</v>
      </c>
      <c r="H810" s="63" t="e">
        <f t="shared" si="329"/>
        <v>#REF!</v>
      </c>
      <c r="I810" s="63" t="e">
        <f t="shared" si="329"/>
        <v>#REF!</v>
      </c>
      <c r="J810" s="63" t="e">
        <f t="shared" si="329"/>
        <v>#REF!</v>
      </c>
      <c r="K810" s="63">
        <f t="shared" si="329"/>
        <v>8832.800000000001</v>
      </c>
      <c r="L810" s="63">
        <f t="shared" si="329"/>
        <v>8832.7</v>
      </c>
      <c r="M810" s="7">
        <f t="shared" si="314"/>
        <v>99.99886785617245</v>
      </c>
    </row>
    <row r="811" spans="1:13" ht="31.5">
      <c r="A811" s="48" t="s">
        <v>393</v>
      </c>
      <c r="B811" s="42" t="s">
        <v>350</v>
      </c>
      <c r="C811" s="42" t="s">
        <v>201</v>
      </c>
      <c r="D811" s="42" t="s">
        <v>392</v>
      </c>
      <c r="E811" s="42" t="s">
        <v>260</v>
      </c>
      <c r="F811" s="63" t="e">
        <f>#REF!</f>
        <v>#REF!</v>
      </c>
      <c r="G811" s="63" t="e">
        <f>#REF!</f>
        <v>#REF!</v>
      </c>
      <c r="H811" s="63" t="e">
        <f>#REF!</f>
        <v>#REF!</v>
      </c>
      <c r="I811" s="63" t="e">
        <f>#REF!</f>
        <v>#REF!</v>
      </c>
      <c r="J811" s="63" t="e">
        <f>#REF!</f>
        <v>#REF!</v>
      </c>
      <c r="K811" s="63">
        <f>'Прил.№4 ведомств.'!G449</f>
        <v>8832.800000000001</v>
      </c>
      <c r="L811" s="63">
        <f>'Прил.№4 ведомств.'!H449</f>
        <v>8832.7</v>
      </c>
      <c r="M811" s="7">
        <f t="shared" si="314"/>
        <v>99.99886785617245</v>
      </c>
    </row>
    <row r="812" spans="1:13" ht="31.5">
      <c r="A812" s="31" t="s">
        <v>182</v>
      </c>
      <c r="B812" s="42" t="s">
        <v>350</v>
      </c>
      <c r="C812" s="42" t="s">
        <v>201</v>
      </c>
      <c r="D812" s="42" t="s">
        <v>392</v>
      </c>
      <c r="E812" s="42" t="s">
        <v>183</v>
      </c>
      <c r="F812" s="63" t="e">
        <f>F813</f>
        <v>#REF!</v>
      </c>
      <c r="G812" s="63" t="e">
        <f aca="true" t="shared" si="330" ref="G812:L812">G813</f>
        <v>#REF!</v>
      </c>
      <c r="H812" s="63" t="e">
        <f t="shared" si="330"/>
        <v>#REF!</v>
      </c>
      <c r="I812" s="63" t="e">
        <f t="shared" si="330"/>
        <v>#REF!</v>
      </c>
      <c r="J812" s="63" t="e">
        <f t="shared" si="330"/>
        <v>#REF!</v>
      </c>
      <c r="K812" s="63">
        <f t="shared" si="330"/>
        <v>1280.1</v>
      </c>
      <c r="L812" s="63">
        <f t="shared" si="330"/>
        <v>1280.1</v>
      </c>
      <c r="M812" s="7">
        <f t="shared" si="314"/>
        <v>100</v>
      </c>
    </row>
    <row r="813" spans="1:13" ht="47.25">
      <c r="A813" s="31" t="s">
        <v>184</v>
      </c>
      <c r="B813" s="42" t="s">
        <v>350</v>
      </c>
      <c r="C813" s="42" t="s">
        <v>201</v>
      </c>
      <c r="D813" s="42" t="s">
        <v>392</v>
      </c>
      <c r="E813" s="42" t="s">
        <v>185</v>
      </c>
      <c r="F813" s="63" t="e">
        <f>#REF!</f>
        <v>#REF!</v>
      </c>
      <c r="G813" s="63" t="e">
        <f>#REF!</f>
        <v>#REF!</v>
      </c>
      <c r="H813" s="63" t="e">
        <f>#REF!</f>
        <v>#REF!</v>
      </c>
      <c r="I813" s="63" t="e">
        <f>#REF!</f>
        <v>#REF!</v>
      </c>
      <c r="J813" s="63" t="e">
        <f>#REF!</f>
        <v>#REF!</v>
      </c>
      <c r="K813" s="63">
        <f>'Прил.№4 ведомств.'!G451</f>
        <v>1280.1</v>
      </c>
      <c r="L813" s="63">
        <f>'Прил.№4 ведомств.'!H451</f>
        <v>1280.1</v>
      </c>
      <c r="M813" s="7">
        <f t="shared" si="314"/>
        <v>100</v>
      </c>
    </row>
    <row r="814" spans="1:13" ht="15.75">
      <c r="A814" s="31" t="s">
        <v>186</v>
      </c>
      <c r="B814" s="42" t="s">
        <v>350</v>
      </c>
      <c r="C814" s="42" t="s">
        <v>201</v>
      </c>
      <c r="D814" s="42" t="s">
        <v>392</v>
      </c>
      <c r="E814" s="42" t="s">
        <v>196</v>
      </c>
      <c r="F814" s="63" t="e">
        <f>F815</f>
        <v>#REF!</v>
      </c>
      <c r="G814" s="63" t="e">
        <f aca="true" t="shared" si="331" ref="G814:L814">G815</f>
        <v>#REF!</v>
      </c>
      <c r="H814" s="63" t="e">
        <f t="shared" si="331"/>
        <v>#REF!</v>
      </c>
      <c r="I814" s="63" t="e">
        <f t="shared" si="331"/>
        <v>#REF!</v>
      </c>
      <c r="J814" s="63" t="e">
        <f t="shared" si="331"/>
        <v>#REF!</v>
      </c>
      <c r="K814" s="63">
        <f t="shared" si="331"/>
        <v>10.8</v>
      </c>
      <c r="L814" s="63">
        <f t="shared" si="331"/>
        <v>10.6</v>
      </c>
      <c r="M814" s="7">
        <f t="shared" si="314"/>
        <v>98.14814814814814</v>
      </c>
    </row>
    <row r="815" spans="1:13" ht="15.75">
      <c r="A815" s="31" t="s">
        <v>620</v>
      </c>
      <c r="B815" s="42" t="s">
        <v>350</v>
      </c>
      <c r="C815" s="42" t="s">
        <v>201</v>
      </c>
      <c r="D815" s="42" t="s">
        <v>392</v>
      </c>
      <c r="E815" s="42" t="s">
        <v>189</v>
      </c>
      <c r="F815" s="63" t="e">
        <f>#REF!</f>
        <v>#REF!</v>
      </c>
      <c r="G815" s="63" t="e">
        <f>#REF!</f>
        <v>#REF!</v>
      </c>
      <c r="H815" s="63" t="e">
        <f>#REF!</f>
        <v>#REF!</v>
      </c>
      <c r="I815" s="63" t="e">
        <f>#REF!</f>
        <v>#REF!</v>
      </c>
      <c r="J815" s="63" t="e">
        <f>#REF!</f>
        <v>#REF!</v>
      </c>
      <c r="K815" s="63">
        <f>'Прил.№4 ведомств.'!G453</f>
        <v>10.8</v>
      </c>
      <c r="L815" s="63">
        <f>'Прил.№4 ведомств.'!H453</f>
        <v>10.6</v>
      </c>
      <c r="M815" s="7">
        <f t="shared" si="314"/>
        <v>98.14814814814814</v>
      </c>
    </row>
    <row r="816" spans="1:13" ht="15.75">
      <c r="A816" s="43" t="s">
        <v>294</v>
      </c>
      <c r="B816" s="8" t="s">
        <v>295</v>
      </c>
      <c r="C816" s="8"/>
      <c r="D816" s="8"/>
      <c r="E816" s="8"/>
      <c r="F816" s="4" t="e">
        <f aca="true" t="shared" si="332" ref="F816:L816">F817+F823+F909+F901</f>
        <v>#REF!</v>
      </c>
      <c r="G816" s="4" t="e">
        <f t="shared" si="332"/>
        <v>#REF!</v>
      </c>
      <c r="H816" s="4" t="e">
        <f t="shared" si="332"/>
        <v>#REF!</v>
      </c>
      <c r="I816" s="4" t="e">
        <f t="shared" si="332"/>
        <v>#REF!</v>
      </c>
      <c r="J816" s="4" t="e">
        <f t="shared" si="332"/>
        <v>#REF!</v>
      </c>
      <c r="K816" s="4">
        <f t="shared" si="332"/>
        <v>16611.2</v>
      </c>
      <c r="L816" s="4">
        <f t="shared" si="332"/>
        <v>15948.2</v>
      </c>
      <c r="M816" s="4">
        <f t="shared" si="314"/>
        <v>96.00871701020998</v>
      </c>
    </row>
    <row r="817" spans="1:13" ht="15.75">
      <c r="A817" s="43" t="s">
        <v>296</v>
      </c>
      <c r="B817" s="8" t="s">
        <v>295</v>
      </c>
      <c r="C817" s="8" t="s">
        <v>169</v>
      </c>
      <c r="D817" s="8"/>
      <c r="E817" s="8"/>
      <c r="F817" s="4" t="e">
        <f aca="true" t="shared" si="333" ref="F817:L817">F819</f>
        <v>#REF!</v>
      </c>
      <c r="G817" s="4" t="e">
        <f t="shared" si="333"/>
        <v>#REF!</v>
      </c>
      <c r="H817" s="4" t="e">
        <f t="shared" si="333"/>
        <v>#REF!</v>
      </c>
      <c r="I817" s="4" t="e">
        <f t="shared" si="333"/>
        <v>#REF!</v>
      </c>
      <c r="J817" s="4" t="e">
        <f t="shared" si="333"/>
        <v>#REF!</v>
      </c>
      <c r="K817" s="4">
        <f t="shared" si="333"/>
        <v>9133.1</v>
      </c>
      <c r="L817" s="4">
        <f t="shared" si="333"/>
        <v>9133.1</v>
      </c>
      <c r="M817" s="4">
        <f t="shared" si="314"/>
        <v>100</v>
      </c>
    </row>
    <row r="818" spans="1:13" ht="15.75">
      <c r="A818" s="31" t="s">
        <v>172</v>
      </c>
      <c r="B818" s="42" t="s">
        <v>295</v>
      </c>
      <c r="C818" s="42" t="s">
        <v>169</v>
      </c>
      <c r="D818" s="42" t="s">
        <v>173</v>
      </c>
      <c r="E818" s="42"/>
      <c r="F818" s="7" t="e">
        <f>F819</f>
        <v>#REF!</v>
      </c>
      <c r="G818" s="7" t="e">
        <f aca="true" t="shared" si="334" ref="G818:L821">G819</f>
        <v>#REF!</v>
      </c>
      <c r="H818" s="7" t="e">
        <f t="shared" si="334"/>
        <v>#REF!</v>
      </c>
      <c r="I818" s="7" t="e">
        <f t="shared" si="334"/>
        <v>#REF!</v>
      </c>
      <c r="J818" s="7" t="e">
        <f t="shared" si="334"/>
        <v>#REF!</v>
      </c>
      <c r="K818" s="7">
        <f t="shared" si="334"/>
        <v>9133.1</v>
      </c>
      <c r="L818" s="7">
        <f t="shared" si="334"/>
        <v>9133.1</v>
      </c>
      <c r="M818" s="7">
        <f t="shared" si="314"/>
        <v>100</v>
      </c>
    </row>
    <row r="819" spans="1:13" ht="15.75">
      <c r="A819" s="31" t="s">
        <v>192</v>
      </c>
      <c r="B819" s="42" t="s">
        <v>295</v>
      </c>
      <c r="C819" s="42" t="s">
        <v>169</v>
      </c>
      <c r="D819" s="42" t="s">
        <v>193</v>
      </c>
      <c r="E819" s="42"/>
      <c r="F819" s="7" t="e">
        <f>F820</f>
        <v>#REF!</v>
      </c>
      <c r="G819" s="7" t="e">
        <f t="shared" si="334"/>
        <v>#REF!</v>
      </c>
      <c r="H819" s="7" t="e">
        <f t="shared" si="334"/>
        <v>#REF!</v>
      </c>
      <c r="I819" s="7" t="e">
        <f t="shared" si="334"/>
        <v>#REF!</v>
      </c>
      <c r="J819" s="7" t="e">
        <f t="shared" si="334"/>
        <v>#REF!</v>
      </c>
      <c r="K819" s="7">
        <f t="shared" si="334"/>
        <v>9133.1</v>
      </c>
      <c r="L819" s="7">
        <f t="shared" si="334"/>
        <v>9133.1</v>
      </c>
      <c r="M819" s="7">
        <f t="shared" si="314"/>
        <v>100</v>
      </c>
    </row>
    <row r="820" spans="1:13" ht="15.75">
      <c r="A820" s="31" t="s">
        <v>297</v>
      </c>
      <c r="B820" s="42" t="s">
        <v>295</v>
      </c>
      <c r="C820" s="42" t="s">
        <v>169</v>
      </c>
      <c r="D820" s="42" t="s">
        <v>298</v>
      </c>
      <c r="E820" s="42"/>
      <c r="F820" s="7" t="e">
        <f>F821</f>
        <v>#REF!</v>
      </c>
      <c r="G820" s="7" t="e">
        <f t="shared" si="334"/>
        <v>#REF!</v>
      </c>
      <c r="H820" s="7" t="e">
        <f t="shared" si="334"/>
        <v>#REF!</v>
      </c>
      <c r="I820" s="7" t="e">
        <f t="shared" si="334"/>
        <v>#REF!</v>
      </c>
      <c r="J820" s="7" t="e">
        <f t="shared" si="334"/>
        <v>#REF!</v>
      </c>
      <c r="K820" s="7">
        <f t="shared" si="334"/>
        <v>9133.1</v>
      </c>
      <c r="L820" s="7">
        <f t="shared" si="334"/>
        <v>9133.1</v>
      </c>
      <c r="M820" s="7">
        <f t="shared" si="314"/>
        <v>100</v>
      </c>
    </row>
    <row r="821" spans="1:13" ht="31.5">
      <c r="A821" s="31" t="s">
        <v>299</v>
      </c>
      <c r="B821" s="42" t="s">
        <v>295</v>
      </c>
      <c r="C821" s="42" t="s">
        <v>169</v>
      </c>
      <c r="D821" s="42" t="s">
        <v>298</v>
      </c>
      <c r="E821" s="42" t="s">
        <v>300</v>
      </c>
      <c r="F821" s="7" t="e">
        <f>F822</f>
        <v>#REF!</v>
      </c>
      <c r="G821" s="7" t="e">
        <f t="shared" si="334"/>
        <v>#REF!</v>
      </c>
      <c r="H821" s="7" t="e">
        <f t="shared" si="334"/>
        <v>#REF!</v>
      </c>
      <c r="I821" s="7" t="e">
        <f t="shared" si="334"/>
        <v>#REF!</v>
      </c>
      <c r="J821" s="7" t="e">
        <f t="shared" si="334"/>
        <v>#REF!</v>
      </c>
      <c r="K821" s="7">
        <f t="shared" si="334"/>
        <v>9133.1</v>
      </c>
      <c r="L821" s="7">
        <f t="shared" si="334"/>
        <v>9133.1</v>
      </c>
      <c r="M821" s="7">
        <f t="shared" si="314"/>
        <v>100</v>
      </c>
    </row>
    <row r="822" spans="1:13" ht="31.5">
      <c r="A822" s="31" t="s">
        <v>301</v>
      </c>
      <c r="B822" s="42" t="s">
        <v>295</v>
      </c>
      <c r="C822" s="42" t="s">
        <v>169</v>
      </c>
      <c r="D822" s="42" t="s">
        <v>298</v>
      </c>
      <c r="E822" s="42" t="s">
        <v>302</v>
      </c>
      <c r="F822" s="63" t="e">
        <f>#REF!</f>
        <v>#REF!</v>
      </c>
      <c r="G822" s="63" t="e">
        <f>#REF!</f>
        <v>#REF!</v>
      </c>
      <c r="H822" s="63" t="e">
        <f>#REF!</f>
        <v>#REF!</v>
      </c>
      <c r="I822" s="63" t="e">
        <f>#REF!</f>
        <v>#REF!</v>
      </c>
      <c r="J822" s="63" t="e">
        <f>#REF!</f>
        <v>#REF!</v>
      </c>
      <c r="K822" s="63">
        <f>'Прил.№4 ведомств.'!G224</f>
        <v>9133.1</v>
      </c>
      <c r="L822" s="63">
        <f>'Прил.№4 ведомств.'!H224</f>
        <v>9133.1</v>
      </c>
      <c r="M822" s="7">
        <f t="shared" si="314"/>
        <v>100</v>
      </c>
    </row>
    <row r="823" spans="1:13" ht="15.75">
      <c r="A823" s="43" t="s">
        <v>303</v>
      </c>
      <c r="B823" s="8" t="s">
        <v>295</v>
      </c>
      <c r="C823" s="8" t="s">
        <v>266</v>
      </c>
      <c r="D823" s="8"/>
      <c r="E823" s="8"/>
      <c r="F823" s="4" t="e">
        <f aca="true" t="shared" si="335" ref="F823:L823">F824+F881+F877</f>
        <v>#REF!</v>
      </c>
      <c r="G823" s="4" t="e">
        <f t="shared" si="335"/>
        <v>#REF!</v>
      </c>
      <c r="H823" s="4" t="e">
        <f t="shared" si="335"/>
        <v>#REF!</v>
      </c>
      <c r="I823" s="4" t="e">
        <f t="shared" si="335"/>
        <v>#REF!</v>
      </c>
      <c r="J823" s="4" t="e">
        <f t="shared" si="335"/>
        <v>#REF!</v>
      </c>
      <c r="K823" s="4">
        <f t="shared" si="335"/>
        <v>4342.7</v>
      </c>
      <c r="L823" s="4">
        <f t="shared" si="335"/>
        <v>3770.6000000000004</v>
      </c>
      <c r="M823" s="4">
        <f t="shared" si="314"/>
        <v>86.82616805213348</v>
      </c>
    </row>
    <row r="824" spans="1:13" ht="47.25">
      <c r="A824" s="31" t="s">
        <v>394</v>
      </c>
      <c r="B824" s="42" t="s">
        <v>295</v>
      </c>
      <c r="C824" s="42" t="s">
        <v>266</v>
      </c>
      <c r="D824" s="42" t="s">
        <v>395</v>
      </c>
      <c r="E824" s="42"/>
      <c r="F824" s="7" t="e">
        <f aca="true" t="shared" si="336" ref="F824:L824">F825+F836+F840+F844+F850+F854+F858+F873</f>
        <v>#REF!</v>
      </c>
      <c r="G824" s="7" t="e">
        <f t="shared" si="336"/>
        <v>#REF!</v>
      </c>
      <c r="H824" s="7" t="e">
        <f t="shared" si="336"/>
        <v>#REF!</v>
      </c>
      <c r="I824" s="7" t="e">
        <f t="shared" si="336"/>
        <v>#REF!</v>
      </c>
      <c r="J824" s="7" t="e">
        <f t="shared" si="336"/>
        <v>#REF!</v>
      </c>
      <c r="K824" s="7">
        <f t="shared" si="336"/>
        <v>4342.7</v>
      </c>
      <c r="L824" s="7">
        <f t="shared" si="336"/>
        <v>3770.6000000000004</v>
      </c>
      <c r="M824" s="7">
        <f t="shared" si="314"/>
        <v>86.82616805213348</v>
      </c>
    </row>
    <row r="825" spans="1:13" ht="31.5">
      <c r="A825" s="31" t="s">
        <v>396</v>
      </c>
      <c r="B825" s="42" t="s">
        <v>295</v>
      </c>
      <c r="C825" s="42" t="s">
        <v>266</v>
      </c>
      <c r="D825" s="42" t="s">
        <v>397</v>
      </c>
      <c r="E825" s="42"/>
      <c r="F825" s="7" t="e">
        <f>F826+F833+F831</f>
        <v>#REF!</v>
      </c>
      <c r="G825" s="7" t="e">
        <f>G826+G833+G831</f>
        <v>#REF!</v>
      </c>
      <c r="H825" s="7" t="e">
        <f>H826+H833+H831</f>
        <v>#REF!</v>
      </c>
      <c r="I825" s="7" t="e">
        <f>I826+I833+I831</f>
        <v>#REF!</v>
      </c>
      <c r="J825" s="7" t="e">
        <f>J826+J833+J831</f>
        <v>#REF!</v>
      </c>
      <c r="K825" s="7">
        <f>K826+K833</f>
        <v>927.2</v>
      </c>
      <c r="L825" s="7">
        <f>L826+L833</f>
        <v>920.7</v>
      </c>
      <c r="M825" s="7">
        <f t="shared" si="314"/>
        <v>99.29896462467644</v>
      </c>
    </row>
    <row r="826" spans="1:13" ht="31.5">
      <c r="A826" s="31" t="s">
        <v>208</v>
      </c>
      <c r="B826" s="42" t="s">
        <v>295</v>
      </c>
      <c r="C826" s="42" t="s">
        <v>266</v>
      </c>
      <c r="D826" s="42" t="s">
        <v>398</v>
      </c>
      <c r="E826" s="42"/>
      <c r="F826" s="7" t="e">
        <f>F829</f>
        <v>#REF!</v>
      </c>
      <c r="G826" s="7" t="e">
        <f>G829</f>
        <v>#REF!</v>
      </c>
      <c r="H826" s="7" t="e">
        <f>H829</f>
        <v>#REF!</v>
      </c>
      <c r="I826" s="7" t="e">
        <f>I829</f>
        <v>#REF!</v>
      </c>
      <c r="J826" s="7" t="e">
        <f>J829</f>
        <v>#REF!</v>
      </c>
      <c r="K826" s="7">
        <f>K829+K827+K831</f>
        <v>658.6</v>
      </c>
      <c r="L826" s="7">
        <f>L829+L827+L831</f>
        <v>658.6</v>
      </c>
      <c r="M826" s="7">
        <f t="shared" si="314"/>
        <v>100</v>
      </c>
    </row>
    <row r="827" spans="1:13" ht="78.75">
      <c r="A827" s="26" t="s">
        <v>178</v>
      </c>
      <c r="B827" s="42" t="s">
        <v>295</v>
      </c>
      <c r="C827" s="42" t="s">
        <v>266</v>
      </c>
      <c r="D827" s="42" t="s">
        <v>398</v>
      </c>
      <c r="E827" s="42" t="s">
        <v>179</v>
      </c>
      <c r="F827" s="7"/>
      <c r="G827" s="7"/>
      <c r="H827" s="7"/>
      <c r="I827" s="7"/>
      <c r="J827" s="7"/>
      <c r="K827" s="7">
        <f>K828</f>
        <v>58</v>
      </c>
      <c r="L827" s="7">
        <f>L828</f>
        <v>58</v>
      </c>
      <c r="M827" s="7">
        <f t="shared" si="314"/>
        <v>100</v>
      </c>
    </row>
    <row r="828" spans="1:13" ht="31.5">
      <c r="A828" s="26" t="s">
        <v>393</v>
      </c>
      <c r="B828" s="42" t="s">
        <v>295</v>
      </c>
      <c r="C828" s="42" t="s">
        <v>266</v>
      </c>
      <c r="D828" s="42" t="s">
        <v>398</v>
      </c>
      <c r="E828" s="42" t="s">
        <v>260</v>
      </c>
      <c r="F828" s="7"/>
      <c r="G828" s="7"/>
      <c r="H828" s="7"/>
      <c r="I828" s="7"/>
      <c r="J828" s="7"/>
      <c r="K828" s="7">
        <f>'Прил.№4 ведомств.'!G460</f>
        <v>58</v>
      </c>
      <c r="L828" s="7">
        <f>'Прил.№4 ведомств.'!H460</f>
        <v>58</v>
      </c>
      <c r="M828" s="7">
        <f t="shared" si="314"/>
        <v>100</v>
      </c>
    </row>
    <row r="829" spans="1:13" ht="31.5">
      <c r="A829" s="31" t="s">
        <v>182</v>
      </c>
      <c r="B829" s="42" t="s">
        <v>295</v>
      </c>
      <c r="C829" s="42" t="s">
        <v>266</v>
      </c>
      <c r="D829" s="42" t="s">
        <v>398</v>
      </c>
      <c r="E829" s="42" t="s">
        <v>183</v>
      </c>
      <c r="F829" s="7" t="e">
        <f>F830</f>
        <v>#REF!</v>
      </c>
      <c r="G829" s="7" t="e">
        <f aca="true" t="shared" si="337" ref="G829:L829">G830</f>
        <v>#REF!</v>
      </c>
      <c r="H829" s="7" t="e">
        <f t="shared" si="337"/>
        <v>#REF!</v>
      </c>
      <c r="I829" s="7" t="e">
        <f t="shared" si="337"/>
        <v>#REF!</v>
      </c>
      <c r="J829" s="7" t="e">
        <f t="shared" si="337"/>
        <v>#REF!</v>
      </c>
      <c r="K829" s="7">
        <f t="shared" si="337"/>
        <v>575.6</v>
      </c>
      <c r="L829" s="7">
        <f t="shared" si="337"/>
        <v>575.6</v>
      </c>
      <c r="M829" s="7">
        <f t="shared" si="314"/>
        <v>100</v>
      </c>
    </row>
    <row r="830" spans="1:13" ht="47.25">
      <c r="A830" s="31" t="s">
        <v>184</v>
      </c>
      <c r="B830" s="42" t="s">
        <v>295</v>
      </c>
      <c r="C830" s="42" t="s">
        <v>266</v>
      </c>
      <c r="D830" s="42" t="s">
        <v>398</v>
      </c>
      <c r="E830" s="42" t="s">
        <v>185</v>
      </c>
      <c r="F830" s="7" t="e">
        <f>#REF!</f>
        <v>#REF!</v>
      </c>
      <c r="G830" s="7" t="e">
        <f>#REF!</f>
        <v>#REF!</v>
      </c>
      <c r="H830" s="7" t="e">
        <f>#REF!</f>
        <v>#REF!</v>
      </c>
      <c r="I830" s="7" t="e">
        <f>#REF!</f>
        <v>#REF!</v>
      </c>
      <c r="J830" s="7" t="e">
        <f>#REF!</f>
        <v>#REF!</v>
      </c>
      <c r="K830" s="7">
        <f>'Прил.№4 ведомств.'!G462</f>
        <v>575.6</v>
      </c>
      <c r="L830" s="7">
        <f>'Прил.№4 ведомств.'!H462</f>
        <v>575.6</v>
      </c>
      <c r="M830" s="7">
        <f t="shared" si="314"/>
        <v>100</v>
      </c>
    </row>
    <row r="831" spans="1:13" ht="31.5">
      <c r="A831" s="31" t="s">
        <v>299</v>
      </c>
      <c r="B831" s="42" t="s">
        <v>295</v>
      </c>
      <c r="C831" s="42" t="s">
        <v>266</v>
      </c>
      <c r="D831" s="42" t="s">
        <v>398</v>
      </c>
      <c r="E831" s="42" t="s">
        <v>300</v>
      </c>
      <c r="F831" s="7" t="e">
        <f>F832</f>
        <v>#REF!</v>
      </c>
      <c r="G831" s="7" t="e">
        <f aca="true" t="shared" si="338" ref="G831:L831">G832</f>
        <v>#REF!</v>
      </c>
      <c r="H831" s="7" t="e">
        <f t="shared" si="338"/>
        <v>#REF!</v>
      </c>
      <c r="I831" s="7" t="e">
        <f t="shared" si="338"/>
        <v>#REF!</v>
      </c>
      <c r="J831" s="7" t="e">
        <f t="shared" si="338"/>
        <v>#REF!</v>
      </c>
      <c r="K831" s="7">
        <f t="shared" si="338"/>
        <v>25</v>
      </c>
      <c r="L831" s="7">
        <f t="shared" si="338"/>
        <v>25</v>
      </c>
      <c r="M831" s="7">
        <f t="shared" si="314"/>
        <v>100</v>
      </c>
    </row>
    <row r="832" spans="1:13" ht="31.5">
      <c r="A832" s="31" t="s">
        <v>399</v>
      </c>
      <c r="B832" s="42" t="s">
        <v>295</v>
      </c>
      <c r="C832" s="42" t="s">
        <v>266</v>
      </c>
      <c r="D832" s="42" t="s">
        <v>398</v>
      </c>
      <c r="E832" s="42" t="s">
        <v>400</v>
      </c>
      <c r="F832" s="7" t="e">
        <f>#REF!</f>
        <v>#REF!</v>
      </c>
      <c r="G832" s="7" t="e">
        <f>#REF!</f>
        <v>#REF!</v>
      </c>
      <c r="H832" s="7" t="e">
        <f>#REF!</f>
        <v>#REF!</v>
      </c>
      <c r="I832" s="7" t="e">
        <f>#REF!</f>
        <v>#REF!</v>
      </c>
      <c r="J832" s="7" t="e">
        <f>#REF!</f>
        <v>#REF!</v>
      </c>
      <c r="K832" s="7">
        <f>'Прил.№4 ведомств.'!G464</f>
        <v>25</v>
      </c>
      <c r="L832" s="7">
        <f>'Прил.№4 ведомств.'!H464</f>
        <v>25</v>
      </c>
      <c r="M832" s="7">
        <f t="shared" si="314"/>
        <v>100</v>
      </c>
    </row>
    <row r="833" spans="1:13" ht="31.5">
      <c r="A833" s="26" t="s">
        <v>401</v>
      </c>
      <c r="B833" s="42" t="s">
        <v>295</v>
      </c>
      <c r="C833" s="42" t="s">
        <v>266</v>
      </c>
      <c r="D833" s="21" t="s">
        <v>402</v>
      </c>
      <c r="E833" s="42"/>
      <c r="F833" s="7" t="e">
        <f>F834</f>
        <v>#REF!</v>
      </c>
      <c r="G833" s="7" t="e">
        <f aca="true" t="shared" si="339" ref="G833:L834">G834</f>
        <v>#REF!</v>
      </c>
      <c r="H833" s="7" t="e">
        <f t="shared" si="339"/>
        <v>#REF!</v>
      </c>
      <c r="I833" s="7" t="e">
        <f t="shared" si="339"/>
        <v>#REF!</v>
      </c>
      <c r="J833" s="7" t="e">
        <f t="shared" si="339"/>
        <v>#REF!</v>
      </c>
      <c r="K833" s="7">
        <f t="shared" si="339"/>
        <v>268.6</v>
      </c>
      <c r="L833" s="7">
        <f t="shared" si="339"/>
        <v>262.1</v>
      </c>
      <c r="M833" s="7">
        <f t="shared" si="314"/>
        <v>97.58004467609828</v>
      </c>
    </row>
    <row r="834" spans="1:13" ht="47.25">
      <c r="A834" s="26" t="s">
        <v>323</v>
      </c>
      <c r="B834" s="42" t="s">
        <v>295</v>
      </c>
      <c r="C834" s="42" t="s">
        <v>266</v>
      </c>
      <c r="D834" s="21" t="s">
        <v>402</v>
      </c>
      <c r="E834" s="42" t="s">
        <v>324</v>
      </c>
      <c r="F834" s="7" t="e">
        <f>F835</f>
        <v>#REF!</v>
      </c>
      <c r="G834" s="7" t="e">
        <f t="shared" si="339"/>
        <v>#REF!</v>
      </c>
      <c r="H834" s="7" t="e">
        <f t="shared" si="339"/>
        <v>#REF!</v>
      </c>
      <c r="I834" s="7" t="e">
        <f t="shared" si="339"/>
        <v>#REF!</v>
      </c>
      <c r="J834" s="7" t="e">
        <f t="shared" si="339"/>
        <v>#REF!</v>
      </c>
      <c r="K834" s="7">
        <f t="shared" si="339"/>
        <v>268.6</v>
      </c>
      <c r="L834" s="7">
        <f t="shared" si="339"/>
        <v>262.1</v>
      </c>
      <c r="M834" s="7">
        <f t="shared" si="314"/>
        <v>97.58004467609828</v>
      </c>
    </row>
    <row r="835" spans="1:13" ht="15.75">
      <c r="A835" s="26" t="s">
        <v>325</v>
      </c>
      <c r="B835" s="42" t="s">
        <v>295</v>
      </c>
      <c r="C835" s="42" t="s">
        <v>266</v>
      </c>
      <c r="D835" s="21" t="s">
        <v>402</v>
      </c>
      <c r="E835" s="42" t="s">
        <v>326</v>
      </c>
      <c r="F835" s="7" t="e">
        <f>#REF!</f>
        <v>#REF!</v>
      </c>
      <c r="G835" s="7" t="e">
        <f>#REF!</f>
        <v>#REF!</v>
      </c>
      <c r="H835" s="7" t="e">
        <f>#REF!</f>
        <v>#REF!</v>
      </c>
      <c r="I835" s="7" t="e">
        <f>#REF!</f>
        <v>#REF!</v>
      </c>
      <c r="J835" s="7" t="e">
        <f>#REF!</f>
        <v>#REF!</v>
      </c>
      <c r="K835" s="7">
        <f>'Прил.№4 ведомств.'!G467</f>
        <v>268.6</v>
      </c>
      <c r="L835" s="7">
        <f>'Прил.№4 ведомств.'!H467</f>
        <v>262.1</v>
      </c>
      <c r="M835" s="7">
        <f t="shared" si="314"/>
        <v>97.58004467609828</v>
      </c>
    </row>
    <row r="836" spans="1:13" ht="31.5">
      <c r="A836" s="31" t="s">
        <v>403</v>
      </c>
      <c r="B836" s="42" t="s">
        <v>295</v>
      </c>
      <c r="C836" s="42" t="s">
        <v>266</v>
      </c>
      <c r="D836" s="42" t="s">
        <v>404</v>
      </c>
      <c r="E836" s="42"/>
      <c r="F836" s="7" t="e">
        <f>F837</f>
        <v>#REF!</v>
      </c>
      <c r="G836" s="7" t="e">
        <f aca="true" t="shared" si="340" ref="G836:L838">G837</f>
        <v>#REF!</v>
      </c>
      <c r="H836" s="7" t="e">
        <f t="shared" si="340"/>
        <v>#REF!</v>
      </c>
      <c r="I836" s="7" t="e">
        <f t="shared" si="340"/>
        <v>#REF!</v>
      </c>
      <c r="J836" s="7" t="e">
        <f t="shared" si="340"/>
        <v>#REF!</v>
      </c>
      <c r="K836" s="7">
        <f t="shared" si="340"/>
        <v>921.1000000000001</v>
      </c>
      <c r="L836" s="7">
        <f t="shared" si="340"/>
        <v>724.5</v>
      </c>
      <c r="M836" s="7">
        <f t="shared" si="314"/>
        <v>78.65595483660839</v>
      </c>
    </row>
    <row r="837" spans="1:13" ht="31.5">
      <c r="A837" s="26" t="s">
        <v>981</v>
      </c>
      <c r="B837" s="42" t="s">
        <v>295</v>
      </c>
      <c r="C837" s="42" t="s">
        <v>266</v>
      </c>
      <c r="D837" s="21" t="s">
        <v>1027</v>
      </c>
      <c r="E837" s="42"/>
      <c r="F837" s="7" t="e">
        <f>F838</f>
        <v>#REF!</v>
      </c>
      <c r="G837" s="7" t="e">
        <f t="shared" si="340"/>
        <v>#REF!</v>
      </c>
      <c r="H837" s="7" t="e">
        <f t="shared" si="340"/>
        <v>#REF!</v>
      </c>
      <c r="I837" s="7" t="e">
        <f t="shared" si="340"/>
        <v>#REF!</v>
      </c>
      <c r="J837" s="7" t="e">
        <f t="shared" si="340"/>
        <v>#REF!</v>
      </c>
      <c r="K837" s="7">
        <f t="shared" si="340"/>
        <v>921.1000000000001</v>
      </c>
      <c r="L837" s="7">
        <f t="shared" si="340"/>
        <v>724.5</v>
      </c>
      <c r="M837" s="7">
        <f t="shared" si="314"/>
        <v>78.65595483660839</v>
      </c>
    </row>
    <row r="838" spans="1:13" ht="31.5">
      <c r="A838" s="31" t="s">
        <v>299</v>
      </c>
      <c r="B838" s="42" t="s">
        <v>295</v>
      </c>
      <c r="C838" s="42" t="s">
        <v>266</v>
      </c>
      <c r="D838" s="21" t="s">
        <v>1027</v>
      </c>
      <c r="E838" s="42" t="s">
        <v>300</v>
      </c>
      <c r="F838" s="7" t="e">
        <f>F839</f>
        <v>#REF!</v>
      </c>
      <c r="G838" s="7" t="e">
        <f t="shared" si="340"/>
        <v>#REF!</v>
      </c>
      <c r="H838" s="7" t="e">
        <f t="shared" si="340"/>
        <v>#REF!</v>
      </c>
      <c r="I838" s="7" t="e">
        <f t="shared" si="340"/>
        <v>#REF!</v>
      </c>
      <c r="J838" s="7" t="e">
        <f t="shared" si="340"/>
        <v>#REF!</v>
      </c>
      <c r="K838" s="7">
        <f t="shared" si="340"/>
        <v>921.1000000000001</v>
      </c>
      <c r="L838" s="7">
        <f t="shared" si="340"/>
        <v>724.5</v>
      </c>
      <c r="M838" s="7">
        <f t="shared" si="314"/>
        <v>78.65595483660839</v>
      </c>
    </row>
    <row r="839" spans="1:13" ht="31.5">
      <c r="A839" s="31" t="s">
        <v>301</v>
      </c>
      <c r="B839" s="42" t="s">
        <v>295</v>
      </c>
      <c r="C839" s="42" t="s">
        <v>266</v>
      </c>
      <c r="D839" s="21" t="s">
        <v>1027</v>
      </c>
      <c r="E839" s="42" t="s">
        <v>302</v>
      </c>
      <c r="F839" s="7" t="e">
        <f>#REF!</f>
        <v>#REF!</v>
      </c>
      <c r="G839" s="7" t="e">
        <f>#REF!</f>
        <v>#REF!</v>
      </c>
      <c r="H839" s="7" t="e">
        <f>#REF!</f>
        <v>#REF!</v>
      </c>
      <c r="I839" s="7" t="e">
        <f>#REF!</f>
        <v>#REF!</v>
      </c>
      <c r="J839" s="7" t="e">
        <f>#REF!</f>
        <v>#REF!</v>
      </c>
      <c r="K839" s="7">
        <f>'Прил.№4 ведомств.'!G471</f>
        <v>921.1000000000001</v>
      </c>
      <c r="L839" s="7">
        <f>'Прил.№4 ведомств.'!H471</f>
        <v>724.5</v>
      </c>
      <c r="M839" s="7">
        <f t="shared" si="314"/>
        <v>78.65595483660839</v>
      </c>
    </row>
    <row r="840" spans="1:13" ht="31.5">
      <c r="A840" s="31" t="s">
        <v>406</v>
      </c>
      <c r="B840" s="6">
        <v>10</v>
      </c>
      <c r="C840" s="42" t="s">
        <v>266</v>
      </c>
      <c r="D840" s="42" t="s">
        <v>407</v>
      </c>
      <c r="E840" s="42"/>
      <c r="F840" s="7" t="e">
        <f aca="true" t="shared" si="341" ref="F840:L840">F842</f>
        <v>#REF!</v>
      </c>
      <c r="G840" s="7" t="e">
        <f t="shared" si="341"/>
        <v>#REF!</v>
      </c>
      <c r="H840" s="7" t="e">
        <f t="shared" si="341"/>
        <v>#REF!</v>
      </c>
      <c r="I840" s="7" t="e">
        <f t="shared" si="341"/>
        <v>#REF!</v>
      </c>
      <c r="J840" s="7" t="e">
        <f t="shared" si="341"/>
        <v>#REF!</v>
      </c>
      <c r="K840" s="7">
        <f t="shared" si="341"/>
        <v>420</v>
      </c>
      <c r="L840" s="7">
        <f t="shared" si="341"/>
        <v>400</v>
      </c>
      <c r="M840" s="7">
        <f t="shared" si="314"/>
        <v>95.23809523809523</v>
      </c>
    </row>
    <row r="841" spans="1:13" ht="31.5">
      <c r="A841" s="31" t="s">
        <v>208</v>
      </c>
      <c r="B841" s="42" t="s">
        <v>295</v>
      </c>
      <c r="C841" s="42" t="s">
        <v>266</v>
      </c>
      <c r="D841" s="42" t="s">
        <v>408</v>
      </c>
      <c r="E841" s="42"/>
      <c r="F841" s="7" t="e">
        <f>F842</f>
        <v>#REF!</v>
      </c>
      <c r="G841" s="7" t="e">
        <f aca="true" t="shared" si="342" ref="G841:L842">G842</f>
        <v>#REF!</v>
      </c>
      <c r="H841" s="7" t="e">
        <f t="shared" si="342"/>
        <v>#REF!</v>
      </c>
      <c r="I841" s="7" t="e">
        <f t="shared" si="342"/>
        <v>#REF!</v>
      </c>
      <c r="J841" s="7" t="e">
        <f t="shared" si="342"/>
        <v>#REF!</v>
      </c>
      <c r="K841" s="7">
        <f t="shared" si="342"/>
        <v>420</v>
      </c>
      <c r="L841" s="7">
        <f t="shared" si="342"/>
        <v>400</v>
      </c>
      <c r="M841" s="7">
        <f t="shared" si="314"/>
        <v>95.23809523809523</v>
      </c>
    </row>
    <row r="842" spans="1:13" ht="31.5">
      <c r="A842" s="31" t="s">
        <v>299</v>
      </c>
      <c r="B842" s="42" t="s">
        <v>295</v>
      </c>
      <c r="C842" s="42" t="s">
        <v>266</v>
      </c>
      <c r="D842" s="42" t="s">
        <v>408</v>
      </c>
      <c r="E842" s="42" t="s">
        <v>300</v>
      </c>
      <c r="F842" s="7" t="e">
        <f>F843</f>
        <v>#REF!</v>
      </c>
      <c r="G842" s="7" t="e">
        <f t="shared" si="342"/>
        <v>#REF!</v>
      </c>
      <c r="H842" s="7" t="e">
        <f t="shared" si="342"/>
        <v>#REF!</v>
      </c>
      <c r="I842" s="7" t="e">
        <f t="shared" si="342"/>
        <v>#REF!</v>
      </c>
      <c r="J842" s="7" t="e">
        <f t="shared" si="342"/>
        <v>#REF!</v>
      </c>
      <c r="K842" s="7">
        <f t="shared" si="342"/>
        <v>420</v>
      </c>
      <c r="L842" s="7">
        <f t="shared" si="342"/>
        <v>400</v>
      </c>
      <c r="M842" s="7">
        <f t="shared" si="314"/>
        <v>95.23809523809523</v>
      </c>
    </row>
    <row r="843" spans="1:13" ht="31.5">
      <c r="A843" s="31" t="s">
        <v>399</v>
      </c>
      <c r="B843" s="42" t="s">
        <v>295</v>
      </c>
      <c r="C843" s="42" t="s">
        <v>266</v>
      </c>
      <c r="D843" s="42" t="s">
        <v>408</v>
      </c>
      <c r="E843" s="42" t="s">
        <v>400</v>
      </c>
      <c r="F843" s="7" t="e">
        <f>#REF!</f>
        <v>#REF!</v>
      </c>
      <c r="G843" s="7" t="e">
        <f>#REF!</f>
        <v>#REF!</v>
      </c>
      <c r="H843" s="7" t="e">
        <f>#REF!</f>
        <v>#REF!</v>
      </c>
      <c r="I843" s="7" t="e">
        <f>#REF!</f>
        <v>#REF!</v>
      </c>
      <c r="J843" s="7" t="e">
        <f>#REF!</f>
        <v>#REF!</v>
      </c>
      <c r="K843" s="7">
        <f>'Прил.№4 ведомств.'!G475</f>
        <v>420</v>
      </c>
      <c r="L843" s="7">
        <f>'Прил.№4 ведомств.'!H475</f>
        <v>400</v>
      </c>
      <c r="M843" s="7">
        <f t="shared" si="314"/>
        <v>95.23809523809523</v>
      </c>
    </row>
    <row r="844" spans="1:13" ht="15.75">
      <c r="A844" s="31" t="s">
        <v>409</v>
      </c>
      <c r="B844" s="6">
        <v>10</v>
      </c>
      <c r="C844" s="42" t="s">
        <v>266</v>
      </c>
      <c r="D844" s="42" t="s">
        <v>410</v>
      </c>
      <c r="E844" s="42"/>
      <c r="F844" s="7" t="e">
        <f>F845</f>
        <v>#REF!</v>
      </c>
      <c r="G844" s="7" t="e">
        <f aca="true" t="shared" si="343" ref="G844:L844">G845</f>
        <v>#REF!</v>
      </c>
      <c r="H844" s="7" t="e">
        <f t="shared" si="343"/>
        <v>#REF!</v>
      </c>
      <c r="I844" s="7" t="e">
        <f t="shared" si="343"/>
        <v>#REF!</v>
      </c>
      <c r="J844" s="7" t="e">
        <f t="shared" si="343"/>
        <v>#REF!</v>
      </c>
      <c r="K844" s="7">
        <f t="shared" si="343"/>
        <v>1368.6</v>
      </c>
      <c r="L844" s="7">
        <f t="shared" si="343"/>
        <v>1128.6</v>
      </c>
      <c r="M844" s="7">
        <f aca="true" t="shared" si="344" ref="M844:M907">L844/K844*100</f>
        <v>82.46383165278387</v>
      </c>
    </row>
    <row r="845" spans="1:13" ht="31.5">
      <c r="A845" s="31" t="s">
        <v>208</v>
      </c>
      <c r="B845" s="42" t="s">
        <v>295</v>
      </c>
      <c r="C845" s="42" t="s">
        <v>266</v>
      </c>
      <c r="D845" s="42" t="s">
        <v>411</v>
      </c>
      <c r="E845" s="42"/>
      <c r="F845" s="7" t="e">
        <f aca="true" t="shared" si="345" ref="F845:L845">F846+F848</f>
        <v>#REF!</v>
      </c>
      <c r="G845" s="7" t="e">
        <f t="shared" si="345"/>
        <v>#REF!</v>
      </c>
      <c r="H845" s="7" t="e">
        <f t="shared" si="345"/>
        <v>#REF!</v>
      </c>
      <c r="I845" s="7" t="e">
        <f t="shared" si="345"/>
        <v>#REF!</v>
      </c>
      <c r="J845" s="7" t="e">
        <f t="shared" si="345"/>
        <v>#REF!</v>
      </c>
      <c r="K845" s="7">
        <f t="shared" si="345"/>
        <v>1368.6</v>
      </c>
      <c r="L845" s="7">
        <f t="shared" si="345"/>
        <v>1128.6</v>
      </c>
      <c r="M845" s="7">
        <f t="shared" si="344"/>
        <v>82.46383165278387</v>
      </c>
    </row>
    <row r="846" spans="1:13" ht="31.5">
      <c r="A846" s="31" t="s">
        <v>182</v>
      </c>
      <c r="B846" s="42" t="s">
        <v>295</v>
      </c>
      <c r="C846" s="42" t="s">
        <v>266</v>
      </c>
      <c r="D846" s="42" t="s">
        <v>411</v>
      </c>
      <c r="E846" s="42" t="s">
        <v>183</v>
      </c>
      <c r="F846" s="7" t="e">
        <f>F847</f>
        <v>#REF!</v>
      </c>
      <c r="G846" s="7" t="e">
        <f aca="true" t="shared" si="346" ref="G846:L846">G847</f>
        <v>#REF!</v>
      </c>
      <c r="H846" s="7" t="e">
        <f t="shared" si="346"/>
        <v>#REF!</v>
      </c>
      <c r="I846" s="7" t="e">
        <f t="shared" si="346"/>
        <v>#REF!</v>
      </c>
      <c r="J846" s="7" t="e">
        <f t="shared" si="346"/>
        <v>#REF!</v>
      </c>
      <c r="K846" s="7">
        <f t="shared" si="346"/>
        <v>273.6</v>
      </c>
      <c r="L846" s="7">
        <f t="shared" si="346"/>
        <v>174.6</v>
      </c>
      <c r="M846" s="7">
        <f t="shared" si="344"/>
        <v>63.815789473684205</v>
      </c>
    </row>
    <row r="847" spans="1:13" ht="47.25">
      <c r="A847" s="31" t="s">
        <v>184</v>
      </c>
      <c r="B847" s="42" t="s">
        <v>295</v>
      </c>
      <c r="C847" s="42" t="s">
        <v>266</v>
      </c>
      <c r="D847" s="42" t="s">
        <v>411</v>
      </c>
      <c r="E847" s="42" t="s">
        <v>185</v>
      </c>
      <c r="F847" s="7" t="e">
        <f>#REF!</f>
        <v>#REF!</v>
      </c>
      <c r="G847" s="7" t="e">
        <f>#REF!</f>
        <v>#REF!</v>
      </c>
      <c r="H847" s="7" t="e">
        <f>#REF!</f>
        <v>#REF!</v>
      </c>
      <c r="I847" s="7" t="e">
        <f>#REF!</f>
        <v>#REF!</v>
      </c>
      <c r="J847" s="7" t="e">
        <f>#REF!</f>
        <v>#REF!</v>
      </c>
      <c r="K847" s="7">
        <f>'Прил.№4 ведомств.'!G479</f>
        <v>273.6</v>
      </c>
      <c r="L847" s="7">
        <f>'Прил.№4 ведомств.'!H479</f>
        <v>174.6</v>
      </c>
      <c r="M847" s="7">
        <f t="shared" si="344"/>
        <v>63.815789473684205</v>
      </c>
    </row>
    <row r="848" spans="1:13" ht="31.5">
      <c r="A848" s="31" t="s">
        <v>299</v>
      </c>
      <c r="B848" s="42" t="s">
        <v>295</v>
      </c>
      <c r="C848" s="42" t="s">
        <v>266</v>
      </c>
      <c r="D848" s="42" t="s">
        <v>411</v>
      </c>
      <c r="E848" s="42" t="s">
        <v>300</v>
      </c>
      <c r="F848" s="7" t="e">
        <f>F849</f>
        <v>#REF!</v>
      </c>
      <c r="G848" s="7" t="e">
        <f aca="true" t="shared" si="347" ref="G848:L848">G849</f>
        <v>#REF!</v>
      </c>
      <c r="H848" s="7" t="e">
        <f t="shared" si="347"/>
        <v>#REF!</v>
      </c>
      <c r="I848" s="7" t="e">
        <f t="shared" si="347"/>
        <v>#REF!</v>
      </c>
      <c r="J848" s="7" t="e">
        <f t="shared" si="347"/>
        <v>#REF!</v>
      </c>
      <c r="K848" s="7">
        <f t="shared" si="347"/>
        <v>1095</v>
      </c>
      <c r="L848" s="7">
        <f t="shared" si="347"/>
        <v>954</v>
      </c>
      <c r="M848" s="7">
        <f t="shared" si="344"/>
        <v>87.12328767123287</v>
      </c>
    </row>
    <row r="849" spans="1:13" ht="31.5">
      <c r="A849" s="31" t="s">
        <v>399</v>
      </c>
      <c r="B849" s="42" t="s">
        <v>295</v>
      </c>
      <c r="C849" s="42" t="s">
        <v>266</v>
      </c>
      <c r="D849" s="42" t="s">
        <v>411</v>
      </c>
      <c r="E849" s="42" t="s">
        <v>400</v>
      </c>
      <c r="F849" s="7" t="e">
        <f>#REF!</f>
        <v>#REF!</v>
      </c>
      <c r="G849" s="7" t="e">
        <f>#REF!</f>
        <v>#REF!</v>
      </c>
      <c r="H849" s="7" t="e">
        <f>#REF!</f>
        <v>#REF!</v>
      </c>
      <c r="I849" s="7" t="e">
        <f>#REF!</f>
        <v>#REF!</v>
      </c>
      <c r="J849" s="7" t="e">
        <f>#REF!</f>
        <v>#REF!</v>
      </c>
      <c r="K849" s="7">
        <f>'Прил.№4 ведомств.'!G481</f>
        <v>1095</v>
      </c>
      <c r="L849" s="7">
        <f>'Прил.№4 ведомств.'!H481</f>
        <v>954</v>
      </c>
      <c r="M849" s="7">
        <f t="shared" si="344"/>
        <v>87.12328767123287</v>
      </c>
    </row>
    <row r="850" spans="1:13" ht="31.5">
      <c r="A850" s="31" t="s">
        <v>412</v>
      </c>
      <c r="B850" s="42" t="s">
        <v>295</v>
      </c>
      <c r="C850" s="42" t="s">
        <v>266</v>
      </c>
      <c r="D850" s="42" t="s">
        <v>413</v>
      </c>
      <c r="E850" s="42"/>
      <c r="F850" s="7" t="e">
        <f>F851</f>
        <v>#REF!</v>
      </c>
      <c r="G850" s="7" t="e">
        <f aca="true" t="shared" si="348" ref="G850:L852">G851</f>
        <v>#REF!</v>
      </c>
      <c r="H850" s="7" t="e">
        <f t="shared" si="348"/>
        <v>#REF!</v>
      </c>
      <c r="I850" s="7" t="e">
        <f t="shared" si="348"/>
        <v>#REF!</v>
      </c>
      <c r="J850" s="7" t="e">
        <f t="shared" si="348"/>
        <v>#REF!</v>
      </c>
      <c r="K850" s="7">
        <f t="shared" si="348"/>
        <v>271.9</v>
      </c>
      <c r="L850" s="7">
        <f t="shared" si="348"/>
        <v>271.9</v>
      </c>
      <c r="M850" s="7">
        <f t="shared" si="344"/>
        <v>100</v>
      </c>
    </row>
    <row r="851" spans="1:13" ht="31.5">
      <c r="A851" s="31" t="s">
        <v>208</v>
      </c>
      <c r="B851" s="42" t="s">
        <v>295</v>
      </c>
      <c r="C851" s="42" t="s">
        <v>266</v>
      </c>
      <c r="D851" s="42" t="s">
        <v>414</v>
      </c>
      <c r="E851" s="42"/>
      <c r="F851" s="7" t="e">
        <f>F852</f>
        <v>#REF!</v>
      </c>
      <c r="G851" s="7" t="e">
        <f t="shared" si="348"/>
        <v>#REF!</v>
      </c>
      <c r="H851" s="7" t="e">
        <f t="shared" si="348"/>
        <v>#REF!</v>
      </c>
      <c r="I851" s="7" t="e">
        <f t="shared" si="348"/>
        <v>#REF!</v>
      </c>
      <c r="J851" s="7" t="e">
        <f t="shared" si="348"/>
        <v>#REF!</v>
      </c>
      <c r="K851" s="7">
        <f t="shared" si="348"/>
        <v>271.9</v>
      </c>
      <c r="L851" s="7">
        <f t="shared" si="348"/>
        <v>271.9</v>
      </c>
      <c r="M851" s="7">
        <f t="shared" si="344"/>
        <v>100</v>
      </c>
    </row>
    <row r="852" spans="1:13" ht="31.5">
      <c r="A852" s="31" t="s">
        <v>299</v>
      </c>
      <c r="B852" s="42" t="s">
        <v>295</v>
      </c>
      <c r="C852" s="42" t="s">
        <v>266</v>
      </c>
      <c r="D852" s="42" t="s">
        <v>414</v>
      </c>
      <c r="E852" s="42" t="s">
        <v>300</v>
      </c>
      <c r="F852" s="7" t="e">
        <f>F853</f>
        <v>#REF!</v>
      </c>
      <c r="G852" s="7" t="e">
        <f t="shared" si="348"/>
        <v>#REF!</v>
      </c>
      <c r="H852" s="7" t="e">
        <f t="shared" si="348"/>
        <v>#REF!</v>
      </c>
      <c r="I852" s="7" t="e">
        <f t="shared" si="348"/>
        <v>#REF!</v>
      </c>
      <c r="J852" s="7" t="e">
        <f t="shared" si="348"/>
        <v>#REF!</v>
      </c>
      <c r="K852" s="7">
        <f t="shared" si="348"/>
        <v>271.9</v>
      </c>
      <c r="L852" s="7">
        <f t="shared" si="348"/>
        <v>271.9</v>
      </c>
      <c r="M852" s="7">
        <f t="shared" si="344"/>
        <v>100</v>
      </c>
    </row>
    <row r="853" spans="1:13" ht="31.5">
      <c r="A853" s="31" t="s">
        <v>399</v>
      </c>
      <c r="B853" s="42" t="s">
        <v>295</v>
      </c>
      <c r="C853" s="42" t="s">
        <v>266</v>
      </c>
      <c r="D853" s="42" t="s">
        <v>414</v>
      </c>
      <c r="E853" s="42" t="s">
        <v>400</v>
      </c>
      <c r="F853" s="7" t="e">
        <f>#REF!</f>
        <v>#REF!</v>
      </c>
      <c r="G853" s="7" t="e">
        <f>#REF!</f>
        <v>#REF!</v>
      </c>
      <c r="H853" s="7" t="e">
        <f>#REF!</f>
        <v>#REF!</v>
      </c>
      <c r="I853" s="7" t="e">
        <f>#REF!</f>
        <v>#REF!</v>
      </c>
      <c r="J853" s="7" t="e">
        <f>#REF!</f>
        <v>#REF!</v>
      </c>
      <c r="K853" s="7">
        <f>'Прил.№4 ведомств.'!G485</f>
        <v>271.9</v>
      </c>
      <c r="L853" s="7">
        <f>'Прил.№4 ведомств.'!H485</f>
        <v>271.9</v>
      </c>
      <c r="M853" s="7">
        <f t="shared" si="344"/>
        <v>100</v>
      </c>
    </row>
    <row r="854" spans="1:13" ht="47.25">
      <c r="A854" s="31" t="s">
        <v>415</v>
      </c>
      <c r="B854" s="42" t="s">
        <v>295</v>
      </c>
      <c r="C854" s="42" t="s">
        <v>266</v>
      </c>
      <c r="D854" s="42" t="s">
        <v>416</v>
      </c>
      <c r="E854" s="42"/>
      <c r="F854" s="7" t="e">
        <f>F855</f>
        <v>#REF!</v>
      </c>
      <c r="G854" s="7" t="e">
        <f aca="true" t="shared" si="349" ref="G854:L856">G855</f>
        <v>#REF!</v>
      </c>
      <c r="H854" s="7" t="e">
        <f t="shared" si="349"/>
        <v>#REF!</v>
      </c>
      <c r="I854" s="7" t="e">
        <f t="shared" si="349"/>
        <v>#REF!</v>
      </c>
      <c r="J854" s="7" t="e">
        <f t="shared" si="349"/>
        <v>#REF!</v>
      </c>
      <c r="K854" s="7">
        <f t="shared" si="349"/>
        <v>260</v>
      </c>
      <c r="L854" s="7">
        <f t="shared" si="349"/>
        <v>192.3</v>
      </c>
      <c r="M854" s="7">
        <f t="shared" si="344"/>
        <v>73.96153846153847</v>
      </c>
    </row>
    <row r="855" spans="1:13" ht="31.5">
      <c r="A855" s="31" t="s">
        <v>208</v>
      </c>
      <c r="B855" s="42" t="s">
        <v>295</v>
      </c>
      <c r="C855" s="42" t="s">
        <v>266</v>
      </c>
      <c r="D855" s="42" t="s">
        <v>417</v>
      </c>
      <c r="E855" s="42"/>
      <c r="F855" s="7" t="e">
        <f>F856</f>
        <v>#REF!</v>
      </c>
      <c r="G855" s="7" t="e">
        <f t="shared" si="349"/>
        <v>#REF!</v>
      </c>
      <c r="H855" s="7" t="e">
        <f t="shared" si="349"/>
        <v>#REF!</v>
      </c>
      <c r="I855" s="7" t="e">
        <f t="shared" si="349"/>
        <v>#REF!</v>
      </c>
      <c r="J855" s="7" t="e">
        <f t="shared" si="349"/>
        <v>#REF!</v>
      </c>
      <c r="K855" s="7">
        <f t="shared" si="349"/>
        <v>260</v>
      </c>
      <c r="L855" s="7">
        <f t="shared" si="349"/>
        <v>192.3</v>
      </c>
      <c r="M855" s="7">
        <f t="shared" si="344"/>
        <v>73.96153846153847</v>
      </c>
    </row>
    <row r="856" spans="1:13" ht="31.5">
      <c r="A856" s="31" t="s">
        <v>182</v>
      </c>
      <c r="B856" s="42" t="s">
        <v>295</v>
      </c>
      <c r="C856" s="42" t="s">
        <v>266</v>
      </c>
      <c r="D856" s="42" t="s">
        <v>417</v>
      </c>
      <c r="E856" s="42" t="s">
        <v>183</v>
      </c>
      <c r="F856" s="7" t="e">
        <f>F857</f>
        <v>#REF!</v>
      </c>
      <c r="G856" s="7" t="e">
        <f t="shared" si="349"/>
        <v>#REF!</v>
      </c>
      <c r="H856" s="7" t="e">
        <f t="shared" si="349"/>
        <v>#REF!</v>
      </c>
      <c r="I856" s="7" t="e">
        <f t="shared" si="349"/>
        <v>#REF!</v>
      </c>
      <c r="J856" s="7" t="e">
        <f t="shared" si="349"/>
        <v>#REF!</v>
      </c>
      <c r="K856" s="7">
        <f t="shared" si="349"/>
        <v>260</v>
      </c>
      <c r="L856" s="7">
        <f t="shared" si="349"/>
        <v>192.3</v>
      </c>
      <c r="M856" s="7">
        <f t="shared" si="344"/>
        <v>73.96153846153847</v>
      </c>
    </row>
    <row r="857" spans="1:13" ht="47.25">
      <c r="A857" s="31" t="s">
        <v>184</v>
      </c>
      <c r="B857" s="42" t="s">
        <v>295</v>
      </c>
      <c r="C857" s="42" t="s">
        <v>266</v>
      </c>
      <c r="D857" s="42" t="s">
        <v>417</v>
      </c>
      <c r="E857" s="42" t="s">
        <v>185</v>
      </c>
      <c r="F857" s="7" t="e">
        <f>#REF!</f>
        <v>#REF!</v>
      </c>
      <c r="G857" s="7" t="e">
        <f>#REF!</f>
        <v>#REF!</v>
      </c>
      <c r="H857" s="7" t="e">
        <f>#REF!</f>
        <v>#REF!</v>
      </c>
      <c r="I857" s="7" t="e">
        <f>#REF!</f>
        <v>#REF!</v>
      </c>
      <c r="J857" s="7" t="e">
        <f>#REF!</f>
        <v>#REF!</v>
      </c>
      <c r="K857" s="7">
        <f>'Прил.№4 ведомств.'!G489</f>
        <v>260</v>
      </c>
      <c r="L857" s="7">
        <f>'Прил.№4 ведомств.'!H489</f>
        <v>192.3</v>
      </c>
      <c r="M857" s="7">
        <f t="shared" si="344"/>
        <v>73.96153846153847</v>
      </c>
    </row>
    <row r="858" spans="1:13" ht="47.25">
      <c r="A858" s="31" t="s">
        <v>418</v>
      </c>
      <c r="B858" s="42" t="s">
        <v>295</v>
      </c>
      <c r="C858" s="42" t="s">
        <v>266</v>
      </c>
      <c r="D858" s="42" t="s">
        <v>419</v>
      </c>
      <c r="E858" s="42"/>
      <c r="F858" s="7" t="e">
        <f aca="true" t="shared" si="350" ref="F858:L858">F859+F864+F867+F870</f>
        <v>#REF!</v>
      </c>
      <c r="G858" s="7" t="e">
        <f t="shared" si="350"/>
        <v>#REF!</v>
      </c>
      <c r="H858" s="7" t="e">
        <f t="shared" si="350"/>
        <v>#REF!</v>
      </c>
      <c r="I858" s="7" t="e">
        <f t="shared" si="350"/>
        <v>#REF!</v>
      </c>
      <c r="J858" s="7" t="e">
        <f t="shared" si="350"/>
        <v>#REF!</v>
      </c>
      <c r="K858" s="7">
        <f t="shared" si="350"/>
        <v>20</v>
      </c>
      <c r="L858" s="7">
        <f t="shared" si="350"/>
        <v>0</v>
      </c>
      <c r="M858" s="7">
        <f t="shared" si="344"/>
        <v>0</v>
      </c>
    </row>
    <row r="859" spans="1:13" ht="31.5">
      <c r="A859" s="31" t="s">
        <v>208</v>
      </c>
      <c r="B859" s="42" t="s">
        <v>295</v>
      </c>
      <c r="C859" s="42" t="s">
        <v>266</v>
      </c>
      <c r="D859" s="42" t="s">
        <v>421</v>
      </c>
      <c r="E859" s="42"/>
      <c r="F859" s="7" t="e">
        <f aca="true" t="shared" si="351" ref="F859:L859">F862+F860</f>
        <v>#REF!</v>
      </c>
      <c r="G859" s="7" t="e">
        <f t="shared" si="351"/>
        <v>#REF!</v>
      </c>
      <c r="H859" s="7" t="e">
        <f t="shared" si="351"/>
        <v>#REF!</v>
      </c>
      <c r="I859" s="7" t="e">
        <f t="shared" si="351"/>
        <v>#REF!</v>
      </c>
      <c r="J859" s="7" t="e">
        <f t="shared" si="351"/>
        <v>#REF!</v>
      </c>
      <c r="K859" s="7">
        <f t="shared" si="351"/>
        <v>10</v>
      </c>
      <c r="L859" s="7">
        <f t="shared" si="351"/>
        <v>0</v>
      </c>
      <c r="M859" s="7">
        <f t="shared" si="344"/>
        <v>0</v>
      </c>
    </row>
    <row r="860" spans="1:13" ht="31.5" customHeight="1" hidden="1">
      <c r="A860" s="31" t="s">
        <v>182</v>
      </c>
      <c r="B860" s="42" t="s">
        <v>295</v>
      </c>
      <c r="C860" s="42" t="s">
        <v>266</v>
      </c>
      <c r="D860" s="42" t="s">
        <v>421</v>
      </c>
      <c r="E860" s="42" t="s">
        <v>183</v>
      </c>
      <c r="F860" s="7">
        <f>F861</f>
        <v>0</v>
      </c>
      <c r="G860" s="7">
        <f aca="true" t="shared" si="352" ref="G860:L860">G861</f>
        <v>0</v>
      </c>
      <c r="H860" s="7">
        <f t="shared" si="352"/>
        <v>0</v>
      </c>
      <c r="I860" s="7">
        <f t="shared" si="352"/>
        <v>0</v>
      </c>
      <c r="J860" s="7">
        <f t="shared" si="352"/>
        <v>0</v>
      </c>
      <c r="K860" s="7">
        <f t="shared" si="352"/>
        <v>0</v>
      </c>
      <c r="L860" s="7">
        <f t="shared" si="352"/>
        <v>0</v>
      </c>
      <c r="M860" s="7" t="e">
        <f t="shared" si="344"/>
        <v>#DIV/0!</v>
      </c>
    </row>
    <row r="861" spans="1:13" ht="47.25" customHeight="1" hidden="1">
      <c r="A861" s="31" t="s">
        <v>184</v>
      </c>
      <c r="B861" s="42" t="s">
        <v>295</v>
      </c>
      <c r="C861" s="42" t="s">
        <v>266</v>
      </c>
      <c r="D861" s="42" t="s">
        <v>421</v>
      </c>
      <c r="E861" s="42" t="s">
        <v>185</v>
      </c>
      <c r="F861" s="7"/>
      <c r="G861" s="7"/>
      <c r="H861" s="7"/>
      <c r="I861" s="7"/>
      <c r="J861" s="7"/>
      <c r="K861" s="7"/>
      <c r="L861" s="7"/>
      <c r="M861" s="7" t="e">
        <f t="shared" si="344"/>
        <v>#DIV/0!</v>
      </c>
    </row>
    <row r="862" spans="1:13" ht="47.25">
      <c r="A862" s="26" t="s">
        <v>323</v>
      </c>
      <c r="B862" s="42" t="s">
        <v>295</v>
      </c>
      <c r="C862" s="42" t="s">
        <v>266</v>
      </c>
      <c r="D862" s="42" t="s">
        <v>421</v>
      </c>
      <c r="E862" s="42" t="s">
        <v>324</v>
      </c>
      <c r="F862" s="7" t="e">
        <f>F863</f>
        <v>#REF!</v>
      </c>
      <c r="G862" s="7" t="e">
        <f aca="true" t="shared" si="353" ref="G862:L862">G863</f>
        <v>#REF!</v>
      </c>
      <c r="H862" s="7" t="e">
        <f t="shared" si="353"/>
        <v>#REF!</v>
      </c>
      <c r="I862" s="7" t="e">
        <f t="shared" si="353"/>
        <v>#REF!</v>
      </c>
      <c r="J862" s="7" t="e">
        <f t="shared" si="353"/>
        <v>#REF!</v>
      </c>
      <c r="K862" s="7">
        <f t="shared" si="353"/>
        <v>10</v>
      </c>
      <c r="L862" s="7">
        <f t="shared" si="353"/>
        <v>0</v>
      </c>
      <c r="M862" s="7">
        <f t="shared" si="344"/>
        <v>0</v>
      </c>
    </row>
    <row r="863" spans="1:13" ht="63">
      <c r="A863" s="41" t="s">
        <v>422</v>
      </c>
      <c r="B863" s="42" t="s">
        <v>295</v>
      </c>
      <c r="C863" s="42" t="s">
        <v>266</v>
      </c>
      <c r="D863" s="42" t="s">
        <v>421</v>
      </c>
      <c r="E863" s="42" t="s">
        <v>423</v>
      </c>
      <c r="F863" s="7" t="e">
        <f>#REF!</f>
        <v>#REF!</v>
      </c>
      <c r="G863" s="7" t="e">
        <f>#REF!</f>
        <v>#REF!</v>
      </c>
      <c r="H863" s="7" t="e">
        <f>#REF!</f>
        <v>#REF!</v>
      </c>
      <c r="I863" s="7" t="e">
        <f>#REF!</f>
        <v>#REF!</v>
      </c>
      <c r="J863" s="7" t="e">
        <f>#REF!</f>
        <v>#REF!</v>
      </c>
      <c r="K863" s="7">
        <f>'Прил.№4 ведомств.'!G493</f>
        <v>10</v>
      </c>
      <c r="L863" s="7">
        <f>'Прил.№4 ведомств.'!H493</f>
        <v>0</v>
      </c>
      <c r="M863" s="7">
        <f t="shared" si="344"/>
        <v>0</v>
      </c>
    </row>
    <row r="864" spans="1:13" ht="110.25" customHeight="1" hidden="1">
      <c r="A864" s="26" t="s">
        <v>424</v>
      </c>
      <c r="B864" s="21" t="s">
        <v>295</v>
      </c>
      <c r="C864" s="21" t="s">
        <v>266</v>
      </c>
      <c r="D864" s="21" t="s">
        <v>425</v>
      </c>
      <c r="E864" s="42"/>
      <c r="F864" s="7">
        <f>F865</f>
        <v>0</v>
      </c>
      <c r="G864" s="7">
        <f aca="true" t="shared" si="354" ref="G864:L865">G865</f>
        <v>0</v>
      </c>
      <c r="H864" s="7">
        <f t="shared" si="354"/>
        <v>0</v>
      </c>
      <c r="I864" s="7">
        <f t="shared" si="354"/>
        <v>0</v>
      </c>
      <c r="J864" s="7">
        <f t="shared" si="354"/>
        <v>0</v>
      </c>
      <c r="K864" s="7">
        <f t="shared" si="354"/>
        <v>0</v>
      </c>
      <c r="L864" s="7">
        <f t="shared" si="354"/>
        <v>0</v>
      </c>
      <c r="M864" s="7" t="e">
        <f t="shared" si="344"/>
        <v>#DIV/0!</v>
      </c>
    </row>
    <row r="865" spans="1:13" ht="15.75" customHeight="1" hidden="1">
      <c r="A865" s="26" t="s">
        <v>186</v>
      </c>
      <c r="B865" s="21" t="s">
        <v>295</v>
      </c>
      <c r="C865" s="21" t="s">
        <v>266</v>
      </c>
      <c r="D865" s="21" t="s">
        <v>425</v>
      </c>
      <c r="E865" s="42" t="s">
        <v>196</v>
      </c>
      <c r="F865" s="7">
        <f>F866</f>
        <v>0</v>
      </c>
      <c r="G865" s="7">
        <f t="shared" si="354"/>
        <v>0</v>
      </c>
      <c r="H865" s="7">
        <f t="shared" si="354"/>
        <v>0</v>
      </c>
      <c r="I865" s="7">
        <f t="shared" si="354"/>
        <v>0</v>
      </c>
      <c r="J865" s="7">
        <f t="shared" si="354"/>
        <v>0</v>
      </c>
      <c r="K865" s="7">
        <f t="shared" si="354"/>
        <v>0</v>
      </c>
      <c r="L865" s="7">
        <f t="shared" si="354"/>
        <v>0</v>
      </c>
      <c r="M865" s="7" t="e">
        <f t="shared" si="344"/>
        <v>#DIV/0!</v>
      </c>
    </row>
    <row r="866" spans="1:13" ht="47.25" customHeight="1" hidden="1">
      <c r="A866" s="26" t="s">
        <v>235</v>
      </c>
      <c r="B866" s="21" t="s">
        <v>295</v>
      </c>
      <c r="C866" s="21" t="s">
        <v>266</v>
      </c>
      <c r="D866" s="21" t="s">
        <v>425</v>
      </c>
      <c r="E866" s="42" t="s">
        <v>211</v>
      </c>
      <c r="F866" s="7"/>
      <c r="G866" s="7"/>
      <c r="H866" s="7"/>
      <c r="I866" s="7"/>
      <c r="J866" s="7"/>
      <c r="K866" s="7"/>
      <c r="L866" s="7"/>
      <c r="M866" s="7" t="e">
        <f t="shared" si="344"/>
        <v>#DIV/0!</v>
      </c>
    </row>
    <row r="867" spans="1:13" ht="47.25">
      <c r="A867" s="26" t="s">
        <v>426</v>
      </c>
      <c r="B867" s="21" t="s">
        <v>295</v>
      </c>
      <c r="C867" s="21" t="s">
        <v>266</v>
      </c>
      <c r="D867" s="21" t="s">
        <v>427</v>
      </c>
      <c r="E867" s="42"/>
      <c r="F867" s="7">
        <f>F868</f>
        <v>10</v>
      </c>
      <c r="G867" s="7">
        <f aca="true" t="shared" si="355" ref="G867:L868">G868</f>
        <v>10</v>
      </c>
      <c r="H867" s="7">
        <f t="shared" si="355"/>
        <v>10</v>
      </c>
      <c r="I867" s="7">
        <f t="shared" si="355"/>
        <v>10</v>
      </c>
      <c r="J867" s="7">
        <f t="shared" si="355"/>
        <v>10</v>
      </c>
      <c r="K867" s="7">
        <f t="shared" si="355"/>
        <v>10</v>
      </c>
      <c r="L867" s="7">
        <f t="shared" si="355"/>
        <v>0</v>
      </c>
      <c r="M867" s="7">
        <f t="shared" si="344"/>
        <v>0</v>
      </c>
    </row>
    <row r="868" spans="1:13" ht="31.5">
      <c r="A868" s="26" t="s">
        <v>299</v>
      </c>
      <c r="B868" s="21" t="s">
        <v>295</v>
      </c>
      <c r="C868" s="21" t="s">
        <v>266</v>
      </c>
      <c r="D868" s="21" t="s">
        <v>427</v>
      </c>
      <c r="E868" s="42" t="s">
        <v>300</v>
      </c>
      <c r="F868" s="7">
        <f>F869</f>
        <v>10</v>
      </c>
      <c r="G868" s="7">
        <f t="shared" si="355"/>
        <v>10</v>
      </c>
      <c r="H868" s="7">
        <f t="shared" si="355"/>
        <v>10</v>
      </c>
      <c r="I868" s="7">
        <f t="shared" si="355"/>
        <v>10</v>
      </c>
      <c r="J868" s="7">
        <f t="shared" si="355"/>
        <v>10</v>
      </c>
      <c r="K868" s="7">
        <f t="shared" si="355"/>
        <v>10</v>
      </c>
      <c r="L868" s="7">
        <f t="shared" si="355"/>
        <v>0</v>
      </c>
      <c r="M868" s="7">
        <f t="shared" si="344"/>
        <v>0</v>
      </c>
    </row>
    <row r="869" spans="1:13" ht="31.5">
      <c r="A869" s="26" t="s">
        <v>301</v>
      </c>
      <c r="B869" s="21" t="s">
        <v>295</v>
      </c>
      <c r="C869" s="21" t="s">
        <v>266</v>
      </c>
      <c r="D869" s="21" t="s">
        <v>427</v>
      </c>
      <c r="E869" s="42" t="s">
        <v>302</v>
      </c>
      <c r="F869" s="7">
        <v>10</v>
      </c>
      <c r="G869" s="7">
        <v>10</v>
      </c>
      <c r="H869" s="7">
        <v>10</v>
      </c>
      <c r="I869" s="7">
        <v>10</v>
      </c>
      <c r="J869" s="7">
        <v>10</v>
      </c>
      <c r="K869" s="7">
        <f>'Прил.№4 ведомств.'!G502</f>
        <v>10</v>
      </c>
      <c r="L869" s="7">
        <f>'Прил.№4 ведомств.'!H502</f>
        <v>0</v>
      </c>
      <c r="M869" s="7">
        <f t="shared" si="344"/>
        <v>0</v>
      </c>
    </row>
    <row r="870" spans="1:13" ht="31.5" customHeight="1" hidden="1">
      <c r="A870" s="31" t="s">
        <v>428</v>
      </c>
      <c r="B870" s="42" t="s">
        <v>295</v>
      </c>
      <c r="C870" s="42" t="s">
        <v>266</v>
      </c>
      <c r="D870" s="21" t="s">
        <v>429</v>
      </c>
      <c r="E870" s="42"/>
      <c r="F870" s="7">
        <f>F871</f>
        <v>0</v>
      </c>
      <c r="G870" s="7">
        <f aca="true" t="shared" si="356" ref="G870:L871">G871</f>
        <v>0</v>
      </c>
      <c r="H870" s="7">
        <f t="shared" si="356"/>
        <v>0</v>
      </c>
      <c r="I870" s="7">
        <f t="shared" si="356"/>
        <v>0</v>
      </c>
      <c r="J870" s="7">
        <f t="shared" si="356"/>
        <v>0</v>
      </c>
      <c r="K870" s="7">
        <f t="shared" si="356"/>
        <v>0</v>
      </c>
      <c r="L870" s="7">
        <f t="shared" si="356"/>
        <v>0</v>
      </c>
      <c r="M870" s="7" t="e">
        <f t="shared" si="344"/>
        <v>#DIV/0!</v>
      </c>
    </row>
    <row r="871" spans="1:13" ht="31.5" customHeight="1" hidden="1">
      <c r="A871" s="31" t="s">
        <v>182</v>
      </c>
      <c r="B871" s="42" t="s">
        <v>295</v>
      </c>
      <c r="C871" s="42" t="s">
        <v>266</v>
      </c>
      <c r="D871" s="21" t="s">
        <v>429</v>
      </c>
      <c r="E871" s="42" t="s">
        <v>183</v>
      </c>
      <c r="F871" s="7">
        <f>F872</f>
        <v>0</v>
      </c>
      <c r="G871" s="7">
        <f t="shared" si="356"/>
        <v>0</v>
      </c>
      <c r="H871" s="7">
        <f t="shared" si="356"/>
        <v>0</v>
      </c>
      <c r="I871" s="7">
        <f t="shared" si="356"/>
        <v>0</v>
      </c>
      <c r="J871" s="7">
        <f t="shared" si="356"/>
        <v>0</v>
      </c>
      <c r="K871" s="7">
        <f t="shared" si="356"/>
        <v>0</v>
      </c>
      <c r="L871" s="7">
        <f t="shared" si="356"/>
        <v>0</v>
      </c>
      <c r="M871" s="7" t="e">
        <f t="shared" si="344"/>
        <v>#DIV/0!</v>
      </c>
    </row>
    <row r="872" spans="1:13" ht="47.25" customHeight="1" hidden="1">
      <c r="A872" s="31" t="s">
        <v>184</v>
      </c>
      <c r="B872" s="42" t="s">
        <v>295</v>
      </c>
      <c r="C872" s="42" t="s">
        <v>266</v>
      </c>
      <c r="D872" s="21" t="s">
        <v>429</v>
      </c>
      <c r="E872" s="42" t="s">
        <v>185</v>
      </c>
      <c r="F872" s="7">
        <f>4.5-4.5</f>
        <v>0</v>
      </c>
      <c r="G872" s="7">
        <f aca="true" t="shared" si="357" ref="G872:L872">4.5-4.5</f>
        <v>0</v>
      </c>
      <c r="H872" s="7">
        <f t="shared" si="357"/>
        <v>0</v>
      </c>
      <c r="I872" s="7">
        <f t="shared" si="357"/>
        <v>0</v>
      </c>
      <c r="J872" s="7">
        <f t="shared" si="357"/>
        <v>0</v>
      </c>
      <c r="K872" s="7">
        <f t="shared" si="357"/>
        <v>0</v>
      </c>
      <c r="L872" s="7">
        <f t="shared" si="357"/>
        <v>0</v>
      </c>
      <c r="M872" s="7" t="e">
        <f t="shared" si="344"/>
        <v>#DIV/0!</v>
      </c>
    </row>
    <row r="873" spans="1:13" ht="94.5">
      <c r="A873" s="31" t="s">
        <v>431</v>
      </c>
      <c r="B873" s="42" t="s">
        <v>295</v>
      </c>
      <c r="C873" s="42" t="s">
        <v>266</v>
      </c>
      <c r="D873" s="42" t="s">
        <v>432</v>
      </c>
      <c r="E873" s="42"/>
      <c r="F873" s="7" t="e">
        <f>F874</f>
        <v>#REF!</v>
      </c>
      <c r="G873" s="7" t="e">
        <f aca="true" t="shared" si="358" ref="G873:L875">G874</f>
        <v>#REF!</v>
      </c>
      <c r="H873" s="7" t="e">
        <f t="shared" si="358"/>
        <v>#REF!</v>
      </c>
      <c r="I873" s="7" t="e">
        <f t="shared" si="358"/>
        <v>#REF!</v>
      </c>
      <c r="J873" s="7" t="e">
        <f t="shared" si="358"/>
        <v>#REF!</v>
      </c>
      <c r="K873" s="7">
        <f t="shared" si="358"/>
        <v>153.9</v>
      </c>
      <c r="L873" s="7">
        <f t="shared" si="358"/>
        <v>132.6</v>
      </c>
      <c r="M873" s="7">
        <f t="shared" si="344"/>
        <v>86.15984405458089</v>
      </c>
    </row>
    <row r="874" spans="1:13" ht="31.5">
      <c r="A874" s="31" t="s">
        <v>208</v>
      </c>
      <c r="B874" s="42" t="s">
        <v>295</v>
      </c>
      <c r="C874" s="42" t="s">
        <v>266</v>
      </c>
      <c r="D874" s="42" t="s">
        <v>433</v>
      </c>
      <c r="E874" s="42"/>
      <c r="F874" s="7" t="e">
        <f>F875</f>
        <v>#REF!</v>
      </c>
      <c r="G874" s="7" t="e">
        <f t="shared" si="358"/>
        <v>#REF!</v>
      </c>
      <c r="H874" s="7" t="e">
        <f t="shared" si="358"/>
        <v>#REF!</v>
      </c>
      <c r="I874" s="7" t="e">
        <f t="shared" si="358"/>
        <v>#REF!</v>
      </c>
      <c r="J874" s="7" t="e">
        <f t="shared" si="358"/>
        <v>#REF!</v>
      </c>
      <c r="K874" s="7">
        <f t="shared" si="358"/>
        <v>153.9</v>
      </c>
      <c r="L874" s="7">
        <f t="shared" si="358"/>
        <v>132.6</v>
      </c>
      <c r="M874" s="7">
        <f t="shared" si="344"/>
        <v>86.15984405458089</v>
      </c>
    </row>
    <row r="875" spans="1:13" ht="31.5">
      <c r="A875" s="31" t="s">
        <v>182</v>
      </c>
      <c r="B875" s="42" t="s">
        <v>295</v>
      </c>
      <c r="C875" s="42" t="s">
        <v>266</v>
      </c>
      <c r="D875" s="42" t="s">
        <v>433</v>
      </c>
      <c r="E875" s="42" t="s">
        <v>183</v>
      </c>
      <c r="F875" s="7" t="e">
        <f>F876</f>
        <v>#REF!</v>
      </c>
      <c r="G875" s="7" t="e">
        <f t="shared" si="358"/>
        <v>#REF!</v>
      </c>
      <c r="H875" s="7" t="e">
        <f t="shared" si="358"/>
        <v>#REF!</v>
      </c>
      <c r="I875" s="7" t="e">
        <f t="shared" si="358"/>
        <v>#REF!</v>
      </c>
      <c r="J875" s="7" t="e">
        <f t="shared" si="358"/>
        <v>#REF!</v>
      </c>
      <c r="K875" s="7">
        <f t="shared" si="358"/>
        <v>153.9</v>
      </c>
      <c r="L875" s="7">
        <f t="shared" si="358"/>
        <v>132.6</v>
      </c>
      <c r="M875" s="7">
        <f t="shared" si="344"/>
        <v>86.15984405458089</v>
      </c>
    </row>
    <row r="876" spans="1:13" ht="47.25">
      <c r="A876" s="31" t="s">
        <v>184</v>
      </c>
      <c r="B876" s="42" t="s">
        <v>295</v>
      </c>
      <c r="C876" s="42" t="s">
        <v>266</v>
      </c>
      <c r="D876" s="42" t="s">
        <v>433</v>
      </c>
      <c r="E876" s="42" t="s">
        <v>185</v>
      </c>
      <c r="F876" s="7" t="e">
        <f>#REF!</f>
        <v>#REF!</v>
      </c>
      <c r="G876" s="7" t="e">
        <f>#REF!</f>
        <v>#REF!</v>
      </c>
      <c r="H876" s="7" t="e">
        <f>#REF!</f>
        <v>#REF!</v>
      </c>
      <c r="I876" s="7" t="e">
        <f>#REF!</f>
        <v>#REF!</v>
      </c>
      <c r="J876" s="7" t="e">
        <f>#REF!</f>
        <v>#REF!</v>
      </c>
      <c r="K876" s="7">
        <f>'Прил.№4 ведомств.'!G511</f>
        <v>153.9</v>
      </c>
      <c r="L876" s="7">
        <f>'Прил.№4 ведомств.'!H511</f>
        <v>132.6</v>
      </c>
      <c r="M876" s="7">
        <f t="shared" si="344"/>
        <v>86.15984405458089</v>
      </c>
    </row>
    <row r="877" spans="1:13" ht="78.75" hidden="1">
      <c r="A877" s="26" t="s">
        <v>304</v>
      </c>
      <c r="B877" s="42" t="s">
        <v>295</v>
      </c>
      <c r="C877" s="42" t="s">
        <v>266</v>
      </c>
      <c r="D877" s="21" t="s">
        <v>305</v>
      </c>
      <c r="E877" s="21"/>
      <c r="F877" s="7" t="e">
        <f>F878</f>
        <v>#REF!</v>
      </c>
      <c r="G877" s="7" t="e">
        <f aca="true" t="shared" si="359" ref="G877:L879">G878</f>
        <v>#REF!</v>
      </c>
      <c r="H877" s="7">
        <f t="shared" si="359"/>
        <v>10</v>
      </c>
      <c r="I877" s="7">
        <f t="shared" si="359"/>
        <v>10</v>
      </c>
      <c r="J877" s="7">
        <f t="shared" si="359"/>
        <v>10</v>
      </c>
      <c r="K877" s="7">
        <f t="shared" si="359"/>
        <v>0</v>
      </c>
      <c r="L877" s="7">
        <f t="shared" si="359"/>
        <v>0</v>
      </c>
      <c r="M877" s="4" t="e">
        <f t="shared" si="344"/>
        <v>#DIV/0!</v>
      </c>
    </row>
    <row r="878" spans="1:13" ht="31.5" hidden="1">
      <c r="A878" s="26" t="s">
        <v>208</v>
      </c>
      <c r="B878" s="42" t="s">
        <v>295</v>
      </c>
      <c r="C878" s="42" t="s">
        <v>266</v>
      </c>
      <c r="D878" s="21" t="s">
        <v>306</v>
      </c>
      <c r="E878" s="21"/>
      <c r="F878" s="7" t="e">
        <f>F879</f>
        <v>#REF!</v>
      </c>
      <c r="G878" s="7" t="e">
        <f t="shared" si="359"/>
        <v>#REF!</v>
      </c>
      <c r="H878" s="7">
        <f t="shared" si="359"/>
        <v>10</v>
      </c>
      <c r="I878" s="7">
        <f t="shared" si="359"/>
        <v>10</v>
      </c>
      <c r="J878" s="7">
        <f t="shared" si="359"/>
        <v>10</v>
      </c>
      <c r="K878" s="7">
        <f t="shared" si="359"/>
        <v>0</v>
      </c>
      <c r="L878" s="7">
        <f t="shared" si="359"/>
        <v>0</v>
      </c>
      <c r="M878" s="4" t="e">
        <f t="shared" si="344"/>
        <v>#DIV/0!</v>
      </c>
    </row>
    <row r="879" spans="1:13" ht="31.5" hidden="1">
      <c r="A879" s="26" t="s">
        <v>299</v>
      </c>
      <c r="B879" s="42" t="s">
        <v>295</v>
      </c>
      <c r="C879" s="42" t="s">
        <v>266</v>
      </c>
      <c r="D879" s="21" t="s">
        <v>306</v>
      </c>
      <c r="E879" s="21" t="s">
        <v>300</v>
      </c>
      <c r="F879" s="7" t="e">
        <f>F880</f>
        <v>#REF!</v>
      </c>
      <c r="G879" s="7" t="e">
        <f t="shared" si="359"/>
        <v>#REF!</v>
      </c>
      <c r="H879" s="7">
        <f t="shared" si="359"/>
        <v>10</v>
      </c>
      <c r="I879" s="7">
        <f t="shared" si="359"/>
        <v>10</v>
      </c>
      <c r="J879" s="7">
        <f t="shared" si="359"/>
        <v>10</v>
      </c>
      <c r="K879" s="7">
        <f t="shared" si="359"/>
        <v>0</v>
      </c>
      <c r="L879" s="7">
        <f t="shared" si="359"/>
        <v>0</v>
      </c>
      <c r="M879" s="4" t="e">
        <f t="shared" si="344"/>
        <v>#DIV/0!</v>
      </c>
    </row>
    <row r="880" spans="1:13" ht="31.5" hidden="1">
      <c r="A880" s="26" t="s">
        <v>301</v>
      </c>
      <c r="B880" s="42" t="s">
        <v>295</v>
      </c>
      <c r="C880" s="42" t="s">
        <v>266</v>
      </c>
      <c r="D880" s="21" t="s">
        <v>306</v>
      </c>
      <c r="E880" s="21" t="s">
        <v>302</v>
      </c>
      <c r="F880" s="7" t="e">
        <f>#REF!</f>
        <v>#REF!</v>
      </c>
      <c r="G880" s="7" t="e">
        <f>#REF!</f>
        <v>#REF!</v>
      </c>
      <c r="H880" s="7">
        <v>10</v>
      </c>
      <c r="I880" s="7">
        <v>10</v>
      </c>
      <c r="J880" s="7">
        <v>10</v>
      </c>
      <c r="K880" s="7">
        <f>'Прил.№4 ведомств.'!G229</f>
        <v>0</v>
      </c>
      <c r="L880" s="7">
        <f>'Прил.№4 ведомств.'!H229</f>
        <v>0</v>
      </c>
      <c r="M880" s="4" t="e">
        <f t="shared" si="344"/>
        <v>#DIV/0!</v>
      </c>
    </row>
    <row r="881" spans="1:13" ht="15.75" hidden="1">
      <c r="A881" s="31" t="s">
        <v>172</v>
      </c>
      <c r="B881" s="42" t="s">
        <v>295</v>
      </c>
      <c r="C881" s="42" t="s">
        <v>266</v>
      </c>
      <c r="D881" s="42" t="s">
        <v>173</v>
      </c>
      <c r="E881" s="42"/>
      <c r="F881" s="7" t="e">
        <f aca="true" t="shared" si="360" ref="F881:L881">F897+F882</f>
        <v>#REF!</v>
      </c>
      <c r="G881" s="7" t="e">
        <f t="shared" si="360"/>
        <v>#REF!</v>
      </c>
      <c r="H881" s="7" t="e">
        <f t="shared" si="360"/>
        <v>#REF!</v>
      </c>
      <c r="I881" s="7" t="e">
        <f t="shared" si="360"/>
        <v>#REF!</v>
      </c>
      <c r="J881" s="7" t="e">
        <f t="shared" si="360"/>
        <v>#REF!</v>
      </c>
      <c r="K881" s="7">
        <f t="shared" si="360"/>
        <v>0</v>
      </c>
      <c r="L881" s="7">
        <f t="shared" si="360"/>
        <v>0</v>
      </c>
      <c r="M881" s="4" t="e">
        <f t="shared" si="344"/>
        <v>#DIV/0!</v>
      </c>
    </row>
    <row r="882" spans="1:13" ht="31.5" hidden="1">
      <c r="A882" s="31" t="s">
        <v>236</v>
      </c>
      <c r="B882" s="42" t="s">
        <v>295</v>
      </c>
      <c r="C882" s="42" t="s">
        <v>266</v>
      </c>
      <c r="D882" s="42" t="s">
        <v>237</v>
      </c>
      <c r="E882" s="42"/>
      <c r="F882" s="7" t="e">
        <f aca="true" t="shared" si="361" ref="F882:L882">F886+F889+F883+F906</f>
        <v>#REF!</v>
      </c>
      <c r="G882" s="7" t="e">
        <f t="shared" si="361"/>
        <v>#REF!</v>
      </c>
      <c r="H882" s="7" t="e">
        <f t="shared" si="361"/>
        <v>#REF!</v>
      </c>
      <c r="I882" s="7" t="e">
        <f t="shared" si="361"/>
        <v>#REF!</v>
      </c>
      <c r="J882" s="7" t="e">
        <f t="shared" si="361"/>
        <v>#REF!</v>
      </c>
      <c r="K882" s="7">
        <f t="shared" si="361"/>
        <v>0</v>
      </c>
      <c r="L882" s="7">
        <f t="shared" si="361"/>
        <v>0</v>
      </c>
      <c r="M882" s="4" t="e">
        <f t="shared" si="344"/>
        <v>#DIV/0!</v>
      </c>
    </row>
    <row r="883" spans="1:13" ht="34.5" customHeight="1" hidden="1">
      <c r="A883" s="26" t="s">
        <v>981</v>
      </c>
      <c r="B883" s="42" t="s">
        <v>295</v>
      </c>
      <c r="C883" s="42" t="s">
        <v>266</v>
      </c>
      <c r="D883" s="42" t="s">
        <v>980</v>
      </c>
      <c r="E883" s="42"/>
      <c r="F883" s="7" t="e">
        <f>F884</f>
        <v>#REF!</v>
      </c>
      <c r="G883" s="7" t="e">
        <f aca="true" t="shared" si="362" ref="G883:L884">G884</f>
        <v>#REF!</v>
      </c>
      <c r="H883" s="7" t="e">
        <f t="shared" si="362"/>
        <v>#REF!</v>
      </c>
      <c r="I883" s="7" t="e">
        <f t="shared" si="362"/>
        <v>#REF!</v>
      </c>
      <c r="J883" s="7" t="e">
        <f t="shared" si="362"/>
        <v>#REF!</v>
      </c>
      <c r="K883" s="7">
        <f t="shared" si="362"/>
        <v>0</v>
      </c>
      <c r="L883" s="7">
        <f t="shared" si="362"/>
        <v>0</v>
      </c>
      <c r="M883" s="4" t="e">
        <f t="shared" si="344"/>
        <v>#DIV/0!</v>
      </c>
    </row>
    <row r="884" spans="1:13" ht="31.5" hidden="1">
      <c r="A884" s="31" t="s">
        <v>299</v>
      </c>
      <c r="B884" s="42" t="s">
        <v>295</v>
      </c>
      <c r="C884" s="42" t="s">
        <v>266</v>
      </c>
      <c r="D884" s="42" t="s">
        <v>980</v>
      </c>
      <c r="E884" s="42" t="s">
        <v>300</v>
      </c>
      <c r="F884" s="7" t="e">
        <f>F885</f>
        <v>#REF!</v>
      </c>
      <c r="G884" s="7" t="e">
        <f t="shared" si="362"/>
        <v>#REF!</v>
      </c>
      <c r="H884" s="7" t="e">
        <f t="shared" si="362"/>
        <v>#REF!</v>
      </c>
      <c r="I884" s="7" t="e">
        <f t="shared" si="362"/>
        <v>#REF!</v>
      </c>
      <c r="J884" s="7" t="e">
        <f t="shared" si="362"/>
        <v>#REF!</v>
      </c>
      <c r="K884" s="7">
        <f t="shared" si="362"/>
        <v>0</v>
      </c>
      <c r="L884" s="7">
        <f t="shared" si="362"/>
        <v>0</v>
      </c>
      <c r="M884" s="4" t="e">
        <f t="shared" si="344"/>
        <v>#DIV/0!</v>
      </c>
    </row>
    <row r="885" spans="1:13" ht="31.5" hidden="1">
      <c r="A885" s="31" t="s">
        <v>301</v>
      </c>
      <c r="B885" s="42" t="s">
        <v>295</v>
      </c>
      <c r="C885" s="42" t="s">
        <v>266</v>
      </c>
      <c r="D885" s="42" t="s">
        <v>980</v>
      </c>
      <c r="E885" s="42" t="s">
        <v>302</v>
      </c>
      <c r="F885" s="7" t="e">
        <f>#REF!</f>
        <v>#REF!</v>
      </c>
      <c r="G885" s="7" t="e">
        <f>#REF!</f>
        <v>#REF!</v>
      </c>
      <c r="H885" s="7" t="e">
        <f>#REF!</f>
        <v>#REF!</v>
      </c>
      <c r="I885" s="7" t="e">
        <f>#REF!</f>
        <v>#REF!</v>
      </c>
      <c r="J885" s="7" t="e">
        <f>#REF!</f>
        <v>#REF!</v>
      </c>
      <c r="K885" s="7">
        <f>'Прил.№4 ведомств.'!G516</f>
        <v>0</v>
      </c>
      <c r="L885" s="7">
        <f>'Прил.№4 ведомств.'!H516</f>
        <v>0</v>
      </c>
      <c r="M885" s="4" t="e">
        <f t="shared" si="344"/>
        <v>#DIV/0!</v>
      </c>
    </row>
    <row r="886" spans="1:13" ht="47.25" customHeight="1" hidden="1">
      <c r="A886" s="26" t="s">
        <v>307</v>
      </c>
      <c r="B886" s="42" t="s">
        <v>295</v>
      </c>
      <c r="C886" s="42" t="s">
        <v>266</v>
      </c>
      <c r="D886" s="42" t="s">
        <v>308</v>
      </c>
      <c r="E886" s="42"/>
      <c r="F886" s="7" t="e">
        <f>F887</f>
        <v>#REF!</v>
      </c>
      <c r="G886" s="7" t="e">
        <f aca="true" t="shared" si="363" ref="G886:L887">G887</f>
        <v>#REF!</v>
      </c>
      <c r="H886" s="7" t="e">
        <f t="shared" si="363"/>
        <v>#REF!</v>
      </c>
      <c r="I886" s="7" t="e">
        <f t="shared" si="363"/>
        <v>#REF!</v>
      </c>
      <c r="J886" s="7" t="e">
        <f t="shared" si="363"/>
        <v>#REF!</v>
      </c>
      <c r="K886" s="7">
        <f t="shared" si="363"/>
        <v>0</v>
      </c>
      <c r="L886" s="7">
        <f t="shared" si="363"/>
        <v>0</v>
      </c>
      <c r="M886" s="4" t="e">
        <f t="shared" si="344"/>
        <v>#DIV/0!</v>
      </c>
    </row>
    <row r="887" spans="1:13" ht="31.5" customHeight="1" hidden="1">
      <c r="A887" s="31" t="s">
        <v>299</v>
      </c>
      <c r="B887" s="42" t="s">
        <v>295</v>
      </c>
      <c r="C887" s="42" t="s">
        <v>266</v>
      </c>
      <c r="D887" s="42" t="s">
        <v>308</v>
      </c>
      <c r="E887" s="42" t="s">
        <v>300</v>
      </c>
      <c r="F887" s="7" t="e">
        <f>F888</f>
        <v>#REF!</v>
      </c>
      <c r="G887" s="7" t="e">
        <f t="shared" si="363"/>
        <v>#REF!</v>
      </c>
      <c r="H887" s="7" t="e">
        <f t="shared" si="363"/>
        <v>#REF!</v>
      </c>
      <c r="I887" s="7" t="e">
        <f t="shared" si="363"/>
        <v>#REF!</v>
      </c>
      <c r="J887" s="7" t="e">
        <f t="shared" si="363"/>
        <v>#REF!</v>
      </c>
      <c r="K887" s="7">
        <f t="shared" si="363"/>
        <v>0</v>
      </c>
      <c r="L887" s="7">
        <f t="shared" si="363"/>
        <v>0</v>
      </c>
      <c r="M887" s="4" t="e">
        <f t="shared" si="344"/>
        <v>#DIV/0!</v>
      </c>
    </row>
    <row r="888" spans="1:13" ht="31.5" customHeight="1" hidden="1">
      <c r="A888" s="31" t="s">
        <v>301</v>
      </c>
      <c r="B888" s="42" t="s">
        <v>295</v>
      </c>
      <c r="C888" s="42" t="s">
        <v>266</v>
      </c>
      <c r="D888" s="42" t="s">
        <v>308</v>
      </c>
      <c r="E888" s="42" t="s">
        <v>302</v>
      </c>
      <c r="F888" s="7" t="e">
        <f>#REF!</f>
        <v>#REF!</v>
      </c>
      <c r="G888" s="7" t="e">
        <f>#REF!</f>
        <v>#REF!</v>
      </c>
      <c r="H888" s="7" t="e">
        <f>#REF!</f>
        <v>#REF!</v>
      </c>
      <c r="I888" s="7" t="e">
        <f>#REF!</f>
        <v>#REF!</v>
      </c>
      <c r="J888" s="7" t="e">
        <f>#REF!</f>
        <v>#REF!</v>
      </c>
      <c r="K888" s="7">
        <f>'Прил.№4 ведомств.'!G234</f>
        <v>0</v>
      </c>
      <c r="L888" s="7">
        <f>'Прил.№4 ведомств.'!H234</f>
        <v>0</v>
      </c>
      <c r="M888" s="4" t="e">
        <f t="shared" si="344"/>
        <v>#DIV/0!</v>
      </c>
    </row>
    <row r="889" spans="1:13" ht="47.25" hidden="1">
      <c r="A889" s="26" t="s">
        <v>426</v>
      </c>
      <c r="B889" s="42" t="s">
        <v>295</v>
      </c>
      <c r="C889" s="42" t="s">
        <v>266</v>
      </c>
      <c r="D889" s="21" t="s">
        <v>436</v>
      </c>
      <c r="E889" s="42"/>
      <c r="F889" s="7" t="e">
        <f>F890</f>
        <v>#REF!</v>
      </c>
      <c r="G889" s="7" t="e">
        <f aca="true" t="shared" si="364" ref="G889:L890">G890</f>
        <v>#REF!</v>
      </c>
      <c r="H889" s="7" t="e">
        <f t="shared" si="364"/>
        <v>#REF!</v>
      </c>
      <c r="I889" s="7" t="e">
        <f t="shared" si="364"/>
        <v>#REF!</v>
      </c>
      <c r="J889" s="7" t="e">
        <f t="shared" si="364"/>
        <v>#REF!</v>
      </c>
      <c r="K889" s="7">
        <f t="shared" si="364"/>
        <v>0</v>
      </c>
      <c r="L889" s="7">
        <f t="shared" si="364"/>
        <v>0</v>
      </c>
      <c r="M889" s="4" t="e">
        <f t="shared" si="344"/>
        <v>#DIV/0!</v>
      </c>
    </row>
    <row r="890" spans="1:13" ht="31.5" hidden="1">
      <c r="A890" s="26" t="s">
        <v>299</v>
      </c>
      <c r="B890" s="42" t="s">
        <v>295</v>
      </c>
      <c r="C890" s="42" t="s">
        <v>266</v>
      </c>
      <c r="D890" s="21" t="s">
        <v>436</v>
      </c>
      <c r="E890" s="42" t="s">
        <v>300</v>
      </c>
      <c r="F890" s="7" t="e">
        <f>F891</f>
        <v>#REF!</v>
      </c>
      <c r="G890" s="7" t="e">
        <f t="shared" si="364"/>
        <v>#REF!</v>
      </c>
      <c r="H890" s="7" t="e">
        <f t="shared" si="364"/>
        <v>#REF!</v>
      </c>
      <c r="I890" s="7" t="e">
        <f t="shared" si="364"/>
        <v>#REF!</v>
      </c>
      <c r="J890" s="7" t="e">
        <f t="shared" si="364"/>
        <v>#REF!</v>
      </c>
      <c r="K890" s="7">
        <f t="shared" si="364"/>
        <v>0</v>
      </c>
      <c r="L890" s="7">
        <f t="shared" si="364"/>
        <v>0</v>
      </c>
      <c r="M890" s="4" t="e">
        <f t="shared" si="344"/>
        <v>#DIV/0!</v>
      </c>
    </row>
    <row r="891" spans="1:13" ht="31.5" hidden="1">
      <c r="A891" s="26" t="s">
        <v>301</v>
      </c>
      <c r="B891" s="42" t="s">
        <v>295</v>
      </c>
      <c r="C891" s="42" t="s">
        <v>266</v>
      </c>
      <c r="D891" s="21" t="s">
        <v>436</v>
      </c>
      <c r="E891" s="42" t="s">
        <v>302</v>
      </c>
      <c r="F891" s="7" t="e">
        <f>#REF!</f>
        <v>#REF!</v>
      </c>
      <c r="G891" s="7" t="e">
        <f>#REF!</f>
        <v>#REF!</v>
      </c>
      <c r="H891" s="7" t="e">
        <f>#REF!</f>
        <v>#REF!</v>
      </c>
      <c r="I891" s="7" t="e">
        <f>#REF!</f>
        <v>#REF!</v>
      </c>
      <c r="J891" s="7" t="e">
        <f>#REF!</f>
        <v>#REF!</v>
      </c>
      <c r="K891" s="7">
        <f>'Прил.№4 ведомств.'!G519</f>
        <v>0</v>
      </c>
      <c r="L891" s="7">
        <f>'Прил.№4 ведомств.'!H519</f>
        <v>0</v>
      </c>
      <c r="M891" s="4" t="e">
        <f t="shared" si="344"/>
        <v>#DIV/0!</v>
      </c>
    </row>
    <row r="892" spans="1:13" ht="15.75" customHeight="1" hidden="1">
      <c r="A892" s="26" t="s">
        <v>434</v>
      </c>
      <c r="B892" s="42" t="s">
        <v>295</v>
      </c>
      <c r="C892" s="42" t="s">
        <v>266</v>
      </c>
      <c r="D892" s="42" t="s">
        <v>435</v>
      </c>
      <c r="E892" s="42"/>
      <c r="F892" s="7">
        <f>F893</f>
        <v>0</v>
      </c>
      <c r="G892" s="7">
        <f aca="true" t="shared" si="365" ref="G892:L892">G893</f>
        <v>0</v>
      </c>
      <c r="H892" s="7">
        <f t="shared" si="365"/>
        <v>0</v>
      </c>
      <c r="I892" s="7">
        <f t="shared" si="365"/>
        <v>0</v>
      </c>
      <c r="J892" s="7">
        <f t="shared" si="365"/>
        <v>0</v>
      </c>
      <c r="K892" s="7">
        <f t="shared" si="365"/>
        <v>0</v>
      </c>
      <c r="L892" s="7">
        <f t="shared" si="365"/>
        <v>0</v>
      </c>
      <c r="M892" s="4" t="e">
        <f t="shared" si="344"/>
        <v>#DIV/0!</v>
      </c>
    </row>
    <row r="893" spans="1:13" ht="31.5" customHeight="1" hidden="1">
      <c r="A893" s="31" t="s">
        <v>299</v>
      </c>
      <c r="B893" s="42" t="s">
        <v>295</v>
      </c>
      <c r="C893" s="42" t="s">
        <v>266</v>
      </c>
      <c r="D893" s="42" t="s">
        <v>435</v>
      </c>
      <c r="E893" s="42" t="s">
        <v>300</v>
      </c>
      <c r="F893" s="7">
        <f aca="true" t="shared" si="366" ref="F893:L893">F894+F896</f>
        <v>0</v>
      </c>
      <c r="G893" s="7">
        <f t="shared" si="366"/>
        <v>0</v>
      </c>
      <c r="H893" s="7">
        <f t="shared" si="366"/>
        <v>0</v>
      </c>
      <c r="I893" s="7">
        <f t="shared" si="366"/>
        <v>0</v>
      </c>
      <c r="J893" s="7">
        <f t="shared" si="366"/>
        <v>0</v>
      </c>
      <c r="K893" s="7">
        <f t="shared" si="366"/>
        <v>0</v>
      </c>
      <c r="L893" s="7">
        <f t="shared" si="366"/>
        <v>0</v>
      </c>
      <c r="M893" s="4" t="e">
        <f t="shared" si="344"/>
        <v>#DIV/0!</v>
      </c>
    </row>
    <row r="894" spans="1:13" ht="31.5" customHeight="1" hidden="1">
      <c r="A894" s="31" t="s">
        <v>399</v>
      </c>
      <c r="B894" s="42" t="s">
        <v>295</v>
      </c>
      <c r="C894" s="42" t="s">
        <v>266</v>
      </c>
      <c r="D894" s="42" t="s">
        <v>435</v>
      </c>
      <c r="E894" s="42" t="s">
        <v>400</v>
      </c>
      <c r="F894" s="7"/>
      <c r="G894" s="7"/>
      <c r="H894" s="7"/>
      <c r="I894" s="7"/>
      <c r="J894" s="7"/>
      <c r="K894" s="7"/>
      <c r="L894" s="7"/>
      <c r="M894" s="4" t="e">
        <f t="shared" si="344"/>
        <v>#DIV/0!</v>
      </c>
    </row>
    <row r="895" spans="1:13" ht="47.25" customHeight="1" hidden="1">
      <c r="A895" s="31" t="s">
        <v>688</v>
      </c>
      <c r="B895" s="42" t="s">
        <v>295</v>
      </c>
      <c r="C895" s="42" t="s">
        <v>266</v>
      </c>
      <c r="D895" s="42" t="s">
        <v>435</v>
      </c>
      <c r="E895" s="42" t="s">
        <v>689</v>
      </c>
      <c r="F895" s="7"/>
      <c r="G895" s="7"/>
      <c r="H895" s="7"/>
      <c r="I895" s="7"/>
      <c r="J895" s="7"/>
      <c r="K895" s="7"/>
      <c r="L895" s="7"/>
      <c r="M895" s="4" t="e">
        <f t="shared" si="344"/>
        <v>#DIV/0!</v>
      </c>
    </row>
    <row r="896" spans="1:13" ht="31.5" customHeight="1" hidden="1">
      <c r="A896" s="31" t="s">
        <v>301</v>
      </c>
      <c r="B896" s="42" t="s">
        <v>295</v>
      </c>
      <c r="C896" s="42" t="s">
        <v>266</v>
      </c>
      <c r="D896" s="42" t="s">
        <v>435</v>
      </c>
      <c r="E896" s="42" t="s">
        <v>302</v>
      </c>
      <c r="F896" s="7"/>
      <c r="G896" s="7"/>
      <c r="H896" s="7"/>
      <c r="I896" s="7"/>
      <c r="J896" s="7"/>
      <c r="K896" s="7"/>
      <c r="L896" s="7"/>
      <c r="M896" s="4" t="e">
        <f t="shared" si="344"/>
        <v>#DIV/0!</v>
      </c>
    </row>
    <row r="897" spans="1:13" ht="15.75" customHeight="1" hidden="1">
      <c r="A897" s="31" t="s">
        <v>192</v>
      </c>
      <c r="B897" s="42" t="s">
        <v>295</v>
      </c>
      <c r="C897" s="42" t="s">
        <v>266</v>
      </c>
      <c r="D897" s="42" t="s">
        <v>193</v>
      </c>
      <c r="E897" s="42"/>
      <c r="F897" s="7">
        <f>F898</f>
        <v>0</v>
      </c>
      <c r="G897" s="7">
        <f aca="true" t="shared" si="367" ref="G897:L899">G898</f>
        <v>0</v>
      </c>
      <c r="H897" s="7">
        <f t="shared" si="367"/>
        <v>0</v>
      </c>
      <c r="I897" s="7">
        <f t="shared" si="367"/>
        <v>0</v>
      </c>
      <c r="J897" s="7">
        <f t="shared" si="367"/>
        <v>0</v>
      </c>
      <c r="K897" s="7">
        <f t="shared" si="367"/>
        <v>0</v>
      </c>
      <c r="L897" s="7">
        <f t="shared" si="367"/>
        <v>0</v>
      </c>
      <c r="M897" s="4" t="e">
        <f t="shared" si="344"/>
        <v>#DIV/0!</v>
      </c>
    </row>
    <row r="898" spans="1:13" ht="15.75" customHeight="1" hidden="1">
      <c r="A898" s="31" t="s">
        <v>252</v>
      </c>
      <c r="B898" s="42" t="s">
        <v>295</v>
      </c>
      <c r="C898" s="42" t="s">
        <v>266</v>
      </c>
      <c r="D898" s="42" t="s">
        <v>253</v>
      </c>
      <c r="E898" s="42"/>
      <c r="F898" s="7">
        <f>F899</f>
        <v>0</v>
      </c>
      <c r="G898" s="7">
        <f t="shared" si="367"/>
        <v>0</v>
      </c>
      <c r="H898" s="7">
        <f t="shared" si="367"/>
        <v>0</v>
      </c>
      <c r="I898" s="7">
        <f t="shared" si="367"/>
        <v>0</v>
      </c>
      <c r="J898" s="7">
        <f t="shared" si="367"/>
        <v>0</v>
      </c>
      <c r="K898" s="7">
        <f t="shared" si="367"/>
        <v>0</v>
      </c>
      <c r="L898" s="7">
        <f t="shared" si="367"/>
        <v>0</v>
      </c>
      <c r="M898" s="4" t="e">
        <f t="shared" si="344"/>
        <v>#DIV/0!</v>
      </c>
    </row>
    <row r="899" spans="1:13" ht="31.5" customHeight="1" hidden="1">
      <c r="A899" s="31" t="s">
        <v>299</v>
      </c>
      <c r="B899" s="42" t="s">
        <v>295</v>
      </c>
      <c r="C899" s="42" t="s">
        <v>266</v>
      </c>
      <c r="D899" s="42" t="s">
        <v>253</v>
      </c>
      <c r="E899" s="42" t="s">
        <v>300</v>
      </c>
      <c r="F899" s="7">
        <f>F900</f>
        <v>0</v>
      </c>
      <c r="G899" s="7">
        <f t="shared" si="367"/>
        <v>0</v>
      </c>
      <c r="H899" s="7">
        <f t="shared" si="367"/>
        <v>0</v>
      </c>
      <c r="I899" s="7">
        <f t="shared" si="367"/>
        <v>0</v>
      </c>
      <c r="J899" s="7">
        <f t="shared" si="367"/>
        <v>0</v>
      </c>
      <c r="K899" s="7">
        <f t="shared" si="367"/>
        <v>0</v>
      </c>
      <c r="L899" s="7">
        <f t="shared" si="367"/>
        <v>0</v>
      </c>
      <c r="M899" s="4" t="e">
        <f t="shared" si="344"/>
        <v>#DIV/0!</v>
      </c>
    </row>
    <row r="900" spans="1:13" ht="31.5" customHeight="1" hidden="1">
      <c r="A900" s="31" t="s">
        <v>399</v>
      </c>
      <c r="B900" s="42" t="s">
        <v>295</v>
      </c>
      <c r="C900" s="42" t="s">
        <v>266</v>
      </c>
      <c r="D900" s="42" t="s">
        <v>253</v>
      </c>
      <c r="E900" s="42" t="s">
        <v>400</v>
      </c>
      <c r="F900" s="7"/>
      <c r="G900" s="7"/>
      <c r="H900" s="7"/>
      <c r="I900" s="7"/>
      <c r="J900" s="7"/>
      <c r="K900" s="7"/>
      <c r="L900" s="7"/>
      <c r="M900" s="4" t="e">
        <f t="shared" si="344"/>
        <v>#DIV/0!</v>
      </c>
    </row>
    <row r="901" spans="1:13" ht="15.75" customHeight="1" hidden="1">
      <c r="A901" s="43" t="s">
        <v>452</v>
      </c>
      <c r="B901" s="8" t="s">
        <v>295</v>
      </c>
      <c r="C901" s="8" t="s">
        <v>201</v>
      </c>
      <c r="D901" s="8"/>
      <c r="E901" s="8"/>
      <c r="F901" s="4">
        <f>F902</f>
        <v>0</v>
      </c>
      <c r="G901" s="4">
        <f aca="true" t="shared" si="368" ref="G901:L904">G902</f>
        <v>0</v>
      </c>
      <c r="H901" s="4">
        <f t="shared" si="368"/>
        <v>0</v>
      </c>
      <c r="I901" s="4">
        <f t="shared" si="368"/>
        <v>0</v>
      </c>
      <c r="J901" s="4">
        <f t="shared" si="368"/>
        <v>0</v>
      </c>
      <c r="K901" s="4">
        <f t="shared" si="368"/>
        <v>0</v>
      </c>
      <c r="L901" s="4">
        <f t="shared" si="368"/>
        <v>0</v>
      </c>
      <c r="M901" s="4" t="e">
        <f t="shared" si="344"/>
        <v>#DIV/0!</v>
      </c>
    </row>
    <row r="902" spans="1:13" ht="31.5" customHeight="1" hidden="1">
      <c r="A902" s="31" t="s">
        <v>236</v>
      </c>
      <c r="B902" s="42" t="s">
        <v>295</v>
      </c>
      <c r="C902" s="42" t="s">
        <v>201</v>
      </c>
      <c r="D902" s="42" t="s">
        <v>237</v>
      </c>
      <c r="E902" s="42"/>
      <c r="F902" s="7">
        <f>F903</f>
        <v>0</v>
      </c>
      <c r="G902" s="7">
        <f t="shared" si="368"/>
        <v>0</v>
      </c>
      <c r="H902" s="7">
        <f t="shared" si="368"/>
        <v>0</v>
      </c>
      <c r="I902" s="7">
        <f t="shared" si="368"/>
        <v>0</v>
      </c>
      <c r="J902" s="7">
        <f t="shared" si="368"/>
        <v>0</v>
      </c>
      <c r="K902" s="7">
        <f t="shared" si="368"/>
        <v>0</v>
      </c>
      <c r="L902" s="7">
        <f t="shared" si="368"/>
        <v>0</v>
      </c>
      <c r="M902" s="4" t="e">
        <f t="shared" si="344"/>
        <v>#DIV/0!</v>
      </c>
    </row>
    <row r="903" spans="1:13" ht="31.5" customHeight="1" hidden="1">
      <c r="A903" s="47" t="s">
        <v>453</v>
      </c>
      <c r="B903" s="42" t="s">
        <v>295</v>
      </c>
      <c r="C903" s="42" t="s">
        <v>201</v>
      </c>
      <c r="D903" s="21" t="s">
        <v>454</v>
      </c>
      <c r="E903" s="42"/>
      <c r="F903" s="7">
        <f>F904</f>
        <v>0</v>
      </c>
      <c r="G903" s="7">
        <f t="shared" si="368"/>
        <v>0</v>
      </c>
      <c r="H903" s="7">
        <f t="shared" si="368"/>
        <v>0</v>
      </c>
      <c r="I903" s="7">
        <f t="shared" si="368"/>
        <v>0</v>
      </c>
      <c r="J903" s="7">
        <f t="shared" si="368"/>
        <v>0</v>
      </c>
      <c r="K903" s="7">
        <f t="shared" si="368"/>
        <v>0</v>
      </c>
      <c r="L903" s="7">
        <f t="shared" si="368"/>
        <v>0</v>
      </c>
      <c r="M903" s="4" t="e">
        <f t="shared" si="344"/>
        <v>#DIV/0!</v>
      </c>
    </row>
    <row r="904" spans="1:13" ht="31.5" customHeight="1" hidden="1">
      <c r="A904" s="31" t="s">
        <v>182</v>
      </c>
      <c r="B904" s="42" t="s">
        <v>295</v>
      </c>
      <c r="C904" s="42" t="s">
        <v>201</v>
      </c>
      <c r="D904" s="21" t="s">
        <v>454</v>
      </c>
      <c r="E904" s="42" t="s">
        <v>183</v>
      </c>
      <c r="F904" s="7">
        <f>F905</f>
        <v>0</v>
      </c>
      <c r="G904" s="7">
        <f t="shared" si="368"/>
        <v>0</v>
      </c>
      <c r="H904" s="7">
        <f t="shared" si="368"/>
        <v>0</v>
      </c>
      <c r="I904" s="7">
        <f t="shared" si="368"/>
        <v>0</v>
      </c>
      <c r="J904" s="7">
        <f t="shared" si="368"/>
        <v>0</v>
      </c>
      <c r="K904" s="7">
        <f t="shared" si="368"/>
        <v>0</v>
      </c>
      <c r="L904" s="7">
        <f t="shared" si="368"/>
        <v>0</v>
      </c>
      <c r="M904" s="4" t="e">
        <f t="shared" si="344"/>
        <v>#DIV/0!</v>
      </c>
    </row>
    <row r="905" spans="1:13" ht="47.25" customHeight="1" hidden="1">
      <c r="A905" s="31" t="s">
        <v>184</v>
      </c>
      <c r="B905" s="42" t="s">
        <v>295</v>
      </c>
      <c r="C905" s="42" t="s">
        <v>201</v>
      </c>
      <c r="D905" s="21" t="s">
        <v>454</v>
      </c>
      <c r="E905" s="42" t="s">
        <v>185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f>'Прил.№4 ведомств.'!G577</f>
        <v>0</v>
      </c>
      <c r="L905" s="7">
        <f>'Прил.№4 ведомств.'!H577</f>
        <v>0</v>
      </c>
      <c r="M905" s="4" t="e">
        <f t="shared" si="344"/>
        <v>#DIV/0!</v>
      </c>
    </row>
    <row r="906" spans="1:13" ht="63" hidden="1">
      <c r="A906" s="26" t="s">
        <v>437</v>
      </c>
      <c r="B906" s="21" t="s">
        <v>295</v>
      </c>
      <c r="C906" s="21" t="s">
        <v>266</v>
      </c>
      <c r="D906" s="21" t="s">
        <v>438</v>
      </c>
      <c r="E906" s="21"/>
      <c r="F906" s="7" t="e">
        <f>F907</f>
        <v>#REF!</v>
      </c>
      <c r="G906" s="7" t="e">
        <f aca="true" t="shared" si="369" ref="G906:L907">G907</f>
        <v>#REF!</v>
      </c>
      <c r="H906" s="7" t="e">
        <f t="shared" si="369"/>
        <v>#REF!</v>
      </c>
      <c r="I906" s="7" t="e">
        <f t="shared" si="369"/>
        <v>#REF!</v>
      </c>
      <c r="J906" s="7" t="e">
        <f t="shared" si="369"/>
        <v>#REF!</v>
      </c>
      <c r="K906" s="7">
        <f t="shared" si="369"/>
        <v>0</v>
      </c>
      <c r="L906" s="7">
        <f t="shared" si="369"/>
        <v>0</v>
      </c>
      <c r="M906" s="4" t="e">
        <f t="shared" si="344"/>
        <v>#DIV/0!</v>
      </c>
    </row>
    <row r="907" spans="1:13" ht="31.5" hidden="1">
      <c r="A907" s="26" t="s">
        <v>299</v>
      </c>
      <c r="B907" s="21" t="s">
        <v>295</v>
      </c>
      <c r="C907" s="21" t="s">
        <v>266</v>
      </c>
      <c r="D907" s="21" t="s">
        <v>438</v>
      </c>
      <c r="E907" s="21" t="s">
        <v>300</v>
      </c>
      <c r="F907" s="7" t="e">
        <f>F908</f>
        <v>#REF!</v>
      </c>
      <c r="G907" s="7" t="e">
        <f t="shared" si="369"/>
        <v>#REF!</v>
      </c>
      <c r="H907" s="7" t="e">
        <f t="shared" si="369"/>
        <v>#REF!</v>
      </c>
      <c r="I907" s="7" t="e">
        <f t="shared" si="369"/>
        <v>#REF!</v>
      </c>
      <c r="J907" s="7" t="e">
        <f t="shared" si="369"/>
        <v>#REF!</v>
      </c>
      <c r="K907" s="7">
        <f t="shared" si="369"/>
        <v>0</v>
      </c>
      <c r="L907" s="7">
        <f t="shared" si="369"/>
        <v>0</v>
      </c>
      <c r="M907" s="4" t="e">
        <f t="shared" si="344"/>
        <v>#DIV/0!</v>
      </c>
    </row>
    <row r="908" spans="1:13" ht="31.5" hidden="1">
      <c r="A908" s="26" t="s">
        <v>399</v>
      </c>
      <c r="B908" s="21" t="s">
        <v>295</v>
      </c>
      <c r="C908" s="21" t="s">
        <v>266</v>
      </c>
      <c r="D908" s="21" t="s">
        <v>438</v>
      </c>
      <c r="E908" s="21" t="s">
        <v>400</v>
      </c>
      <c r="F908" s="7" t="e">
        <f>#REF!</f>
        <v>#REF!</v>
      </c>
      <c r="G908" s="7" t="e">
        <f>#REF!</f>
        <v>#REF!</v>
      </c>
      <c r="H908" s="7" t="e">
        <f>#REF!</f>
        <v>#REF!</v>
      </c>
      <c r="I908" s="7" t="e">
        <f>#REF!</f>
        <v>#REF!</v>
      </c>
      <c r="J908" s="7" t="e">
        <f>#REF!</f>
        <v>#REF!</v>
      </c>
      <c r="K908" s="7">
        <f>'Прил.№4 ведомств.'!G522</f>
        <v>0</v>
      </c>
      <c r="L908" s="7">
        <f>'Прил.№4 ведомств.'!H522</f>
        <v>0</v>
      </c>
      <c r="M908" s="4" t="e">
        <f aca="true" t="shared" si="370" ref="M908:M971">L908/K908*100</f>
        <v>#DIV/0!</v>
      </c>
    </row>
    <row r="909" spans="1:13" ht="31.5">
      <c r="A909" s="43" t="s">
        <v>309</v>
      </c>
      <c r="B909" s="8" t="s">
        <v>295</v>
      </c>
      <c r="C909" s="8" t="s">
        <v>171</v>
      </c>
      <c r="D909" s="8"/>
      <c r="E909" s="8"/>
      <c r="F909" s="4" t="e">
        <f>F910</f>
        <v>#REF!</v>
      </c>
      <c r="G909" s="4" t="e">
        <f aca="true" t="shared" si="371" ref="G909:L909">G910</f>
        <v>#REF!</v>
      </c>
      <c r="H909" s="4" t="e">
        <f t="shared" si="371"/>
        <v>#REF!</v>
      </c>
      <c r="I909" s="4" t="e">
        <f t="shared" si="371"/>
        <v>#REF!</v>
      </c>
      <c r="J909" s="4" t="e">
        <f t="shared" si="371"/>
        <v>#REF!</v>
      </c>
      <c r="K909" s="4">
        <f t="shared" si="371"/>
        <v>3135.4</v>
      </c>
      <c r="L909" s="4">
        <f t="shared" si="371"/>
        <v>3044.4999999999995</v>
      </c>
      <c r="M909" s="4">
        <f t="shared" si="370"/>
        <v>97.10084837660264</v>
      </c>
    </row>
    <row r="910" spans="1:13" ht="15.75">
      <c r="A910" s="31" t="s">
        <v>172</v>
      </c>
      <c r="B910" s="42" t="s">
        <v>295</v>
      </c>
      <c r="C910" s="42" t="s">
        <v>171</v>
      </c>
      <c r="D910" s="42" t="s">
        <v>173</v>
      </c>
      <c r="E910" s="42"/>
      <c r="F910" s="7" t="e">
        <f>F911+F917</f>
        <v>#REF!</v>
      </c>
      <c r="G910" s="7" t="e">
        <f>G911+G917</f>
        <v>#REF!</v>
      </c>
      <c r="H910" s="7" t="e">
        <f>H911+H917</f>
        <v>#REF!</v>
      </c>
      <c r="I910" s="7" t="e">
        <f>I911+I917</f>
        <v>#REF!</v>
      </c>
      <c r="J910" s="7" t="e">
        <f>J911+J917</f>
        <v>#REF!</v>
      </c>
      <c r="K910" s="7">
        <f>K911+K917+K921</f>
        <v>3135.4</v>
      </c>
      <c r="L910" s="7">
        <f>L911+L917+L921</f>
        <v>3044.4999999999995</v>
      </c>
      <c r="M910" s="7">
        <f t="shared" si="370"/>
        <v>97.10084837660264</v>
      </c>
    </row>
    <row r="911" spans="1:13" ht="31.5">
      <c r="A911" s="31" t="s">
        <v>236</v>
      </c>
      <c r="B911" s="42" t="s">
        <v>295</v>
      </c>
      <c r="C911" s="42" t="s">
        <v>171</v>
      </c>
      <c r="D911" s="42" t="s">
        <v>237</v>
      </c>
      <c r="E911" s="42"/>
      <c r="F911" s="7" t="e">
        <f>F912</f>
        <v>#REF!</v>
      </c>
      <c r="G911" s="7" t="e">
        <f aca="true" t="shared" si="372" ref="G911:L911">G912</f>
        <v>#REF!</v>
      </c>
      <c r="H911" s="7" t="e">
        <f t="shared" si="372"/>
        <v>#REF!</v>
      </c>
      <c r="I911" s="7" t="e">
        <f t="shared" si="372"/>
        <v>#REF!</v>
      </c>
      <c r="J911" s="7" t="e">
        <f t="shared" si="372"/>
        <v>#REF!</v>
      </c>
      <c r="K911" s="7">
        <f t="shared" si="372"/>
        <v>3048.3</v>
      </c>
      <c r="L911" s="7">
        <f t="shared" si="372"/>
        <v>2966.2999999999997</v>
      </c>
      <c r="M911" s="7">
        <f t="shared" si="370"/>
        <v>97.3099760522258</v>
      </c>
    </row>
    <row r="912" spans="1:13" ht="47.25">
      <c r="A912" s="47" t="s">
        <v>310</v>
      </c>
      <c r="B912" s="42" t="s">
        <v>295</v>
      </c>
      <c r="C912" s="42" t="s">
        <v>171</v>
      </c>
      <c r="D912" s="42" t="s">
        <v>311</v>
      </c>
      <c r="E912" s="42"/>
      <c r="F912" s="7" t="e">
        <f aca="true" t="shared" si="373" ref="F912:L912">F913+F915</f>
        <v>#REF!</v>
      </c>
      <c r="G912" s="7" t="e">
        <f t="shared" si="373"/>
        <v>#REF!</v>
      </c>
      <c r="H912" s="7" t="e">
        <f t="shared" si="373"/>
        <v>#REF!</v>
      </c>
      <c r="I912" s="7" t="e">
        <f t="shared" si="373"/>
        <v>#REF!</v>
      </c>
      <c r="J912" s="7" t="e">
        <f t="shared" si="373"/>
        <v>#REF!</v>
      </c>
      <c r="K912" s="7">
        <f t="shared" si="373"/>
        <v>3048.3</v>
      </c>
      <c r="L912" s="7">
        <f t="shared" si="373"/>
        <v>2966.2999999999997</v>
      </c>
      <c r="M912" s="7">
        <f t="shared" si="370"/>
        <v>97.3099760522258</v>
      </c>
    </row>
    <row r="913" spans="1:13" ht="78.75">
      <c r="A913" s="31" t="s">
        <v>178</v>
      </c>
      <c r="B913" s="42" t="s">
        <v>295</v>
      </c>
      <c r="C913" s="42" t="s">
        <v>171</v>
      </c>
      <c r="D913" s="42" t="s">
        <v>311</v>
      </c>
      <c r="E913" s="42" t="s">
        <v>179</v>
      </c>
      <c r="F913" s="7" t="e">
        <f>F914</f>
        <v>#REF!</v>
      </c>
      <c r="G913" s="7" t="e">
        <f aca="true" t="shared" si="374" ref="G913:L913">G914</f>
        <v>#REF!</v>
      </c>
      <c r="H913" s="7" t="e">
        <f t="shared" si="374"/>
        <v>#REF!</v>
      </c>
      <c r="I913" s="7" t="e">
        <f t="shared" si="374"/>
        <v>#REF!</v>
      </c>
      <c r="J913" s="7" t="e">
        <f t="shared" si="374"/>
        <v>#REF!</v>
      </c>
      <c r="K913" s="7">
        <f t="shared" si="374"/>
        <v>2776</v>
      </c>
      <c r="L913" s="7">
        <f t="shared" si="374"/>
        <v>2698.7</v>
      </c>
      <c r="M913" s="7">
        <f t="shared" si="370"/>
        <v>97.21541786743515</v>
      </c>
    </row>
    <row r="914" spans="1:13" ht="31.5">
      <c r="A914" s="31" t="s">
        <v>180</v>
      </c>
      <c r="B914" s="42" t="s">
        <v>295</v>
      </c>
      <c r="C914" s="42" t="s">
        <v>171</v>
      </c>
      <c r="D914" s="42" t="s">
        <v>311</v>
      </c>
      <c r="E914" s="42" t="s">
        <v>181</v>
      </c>
      <c r="F914" s="7" t="e">
        <f>#REF!</f>
        <v>#REF!</v>
      </c>
      <c r="G914" s="7" t="e">
        <f>#REF!</f>
        <v>#REF!</v>
      </c>
      <c r="H914" s="7" t="e">
        <f>#REF!</f>
        <v>#REF!</v>
      </c>
      <c r="I914" s="7" t="e">
        <f>#REF!</f>
        <v>#REF!</v>
      </c>
      <c r="J914" s="7" t="e">
        <f>#REF!</f>
        <v>#REF!</v>
      </c>
      <c r="K914" s="7">
        <f>'Прил.№4 ведомств.'!G240</f>
        <v>2776</v>
      </c>
      <c r="L914" s="7">
        <f>'Прил.№4 ведомств.'!H240</f>
        <v>2698.7</v>
      </c>
      <c r="M914" s="7">
        <f t="shared" si="370"/>
        <v>97.21541786743515</v>
      </c>
    </row>
    <row r="915" spans="1:13" ht="31.5">
      <c r="A915" s="31" t="s">
        <v>182</v>
      </c>
      <c r="B915" s="42" t="s">
        <v>295</v>
      </c>
      <c r="C915" s="42" t="s">
        <v>171</v>
      </c>
      <c r="D915" s="42" t="s">
        <v>311</v>
      </c>
      <c r="E915" s="42" t="s">
        <v>183</v>
      </c>
      <c r="F915" s="7" t="e">
        <f>F916</f>
        <v>#REF!</v>
      </c>
      <c r="G915" s="7" t="e">
        <f aca="true" t="shared" si="375" ref="G915:L915">G916</f>
        <v>#REF!</v>
      </c>
      <c r="H915" s="7" t="e">
        <f t="shared" si="375"/>
        <v>#REF!</v>
      </c>
      <c r="I915" s="7" t="e">
        <f t="shared" si="375"/>
        <v>#REF!</v>
      </c>
      <c r="J915" s="7" t="e">
        <f t="shared" si="375"/>
        <v>#REF!</v>
      </c>
      <c r="K915" s="7">
        <f t="shared" si="375"/>
        <v>272.3</v>
      </c>
      <c r="L915" s="7">
        <f t="shared" si="375"/>
        <v>267.6</v>
      </c>
      <c r="M915" s="7">
        <f t="shared" si="370"/>
        <v>98.27396254131473</v>
      </c>
    </row>
    <row r="916" spans="1:13" ht="47.25">
      <c r="A916" s="31" t="s">
        <v>184</v>
      </c>
      <c r="B916" s="42" t="s">
        <v>295</v>
      </c>
      <c r="C916" s="42" t="s">
        <v>171</v>
      </c>
      <c r="D916" s="42" t="s">
        <v>311</v>
      </c>
      <c r="E916" s="42" t="s">
        <v>185</v>
      </c>
      <c r="F916" s="7" t="e">
        <f>#REF!</f>
        <v>#REF!</v>
      </c>
      <c r="G916" s="7" t="e">
        <f>#REF!</f>
        <v>#REF!</v>
      </c>
      <c r="H916" s="7" t="e">
        <f>#REF!</f>
        <v>#REF!</v>
      </c>
      <c r="I916" s="7" t="e">
        <f>#REF!</f>
        <v>#REF!</v>
      </c>
      <c r="J916" s="7" t="e">
        <f>#REF!</f>
        <v>#REF!</v>
      </c>
      <c r="K916" s="7">
        <f>'Прил.№4 ведомств.'!G242</f>
        <v>272.3</v>
      </c>
      <c r="L916" s="7">
        <f>'Прил.№4 ведомств.'!H242</f>
        <v>267.6</v>
      </c>
      <c r="M916" s="7">
        <f t="shared" si="370"/>
        <v>98.27396254131473</v>
      </c>
    </row>
    <row r="917" spans="1:13" ht="15.75">
      <c r="A917" s="31" t="s">
        <v>192</v>
      </c>
      <c r="B917" s="42" t="s">
        <v>295</v>
      </c>
      <c r="C917" s="42" t="s">
        <v>171</v>
      </c>
      <c r="D917" s="42" t="s">
        <v>193</v>
      </c>
      <c r="E917" s="42"/>
      <c r="F917" s="7" t="e">
        <f>F918</f>
        <v>#REF!</v>
      </c>
      <c r="G917" s="7" t="e">
        <f aca="true" t="shared" si="376" ref="G917:L919">G918</f>
        <v>#REF!</v>
      </c>
      <c r="H917" s="7" t="e">
        <f t="shared" si="376"/>
        <v>#REF!</v>
      </c>
      <c r="I917" s="7" t="e">
        <f t="shared" si="376"/>
        <v>#REF!</v>
      </c>
      <c r="J917" s="7" t="e">
        <f t="shared" si="376"/>
        <v>#REF!</v>
      </c>
      <c r="K917" s="7">
        <f t="shared" si="376"/>
        <v>36.099999999999994</v>
      </c>
      <c r="L917" s="7">
        <f t="shared" si="376"/>
        <v>36.1</v>
      </c>
      <c r="M917" s="7">
        <f t="shared" si="370"/>
        <v>100.00000000000003</v>
      </c>
    </row>
    <row r="918" spans="1:13" ht="15.75">
      <c r="A918" s="31" t="s">
        <v>624</v>
      </c>
      <c r="B918" s="42" t="s">
        <v>295</v>
      </c>
      <c r="C918" s="42" t="s">
        <v>171</v>
      </c>
      <c r="D918" s="42" t="s">
        <v>690</v>
      </c>
      <c r="E918" s="42"/>
      <c r="F918" s="7" t="e">
        <f>F919</f>
        <v>#REF!</v>
      </c>
      <c r="G918" s="7" t="e">
        <f t="shared" si="376"/>
        <v>#REF!</v>
      </c>
      <c r="H918" s="7" t="e">
        <f t="shared" si="376"/>
        <v>#REF!</v>
      </c>
      <c r="I918" s="7" t="e">
        <f t="shared" si="376"/>
        <v>#REF!</v>
      </c>
      <c r="J918" s="7" t="e">
        <f t="shared" si="376"/>
        <v>#REF!</v>
      </c>
      <c r="K918" s="7">
        <f t="shared" si="376"/>
        <v>36.099999999999994</v>
      </c>
      <c r="L918" s="7">
        <f t="shared" si="376"/>
        <v>36.1</v>
      </c>
      <c r="M918" s="7">
        <f t="shared" si="370"/>
        <v>100.00000000000003</v>
      </c>
    </row>
    <row r="919" spans="1:13" ht="15.75">
      <c r="A919" s="31" t="s">
        <v>186</v>
      </c>
      <c r="B919" s="42" t="s">
        <v>295</v>
      </c>
      <c r="C919" s="42" t="s">
        <v>171</v>
      </c>
      <c r="D919" s="42" t="s">
        <v>690</v>
      </c>
      <c r="E919" s="42" t="s">
        <v>196</v>
      </c>
      <c r="F919" s="7" t="e">
        <f>F920</f>
        <v>#REF!</v>
      </c>
      <c r="G919" s="7" t="e">
        <f t="shared" si="376"/>
        <v>#REF!</v>
      </c>
      <c r="H919" s="7" t="e">
        <f t="shared" si="376"/>
        <v>#REF!</v>
      </c>
      <c r="I919" s="7" t="e">
        <f t="shared" si="376"/>
        <v>#REF!</v>
      </c>
      <c r="J919" s="7" t="e">
        <f t="shared" si="376"/>
        <v>#REF!</v>
      </c>
      <c r="K919" s="7">
        <f t="shared" si="376"/>
        <v>36.099999999999994</v>
      </c>
      <c r="L919" s="7">
        <f t="shared" si="376"/>
        <v>36.1</v>
      </c>
      <c r="M919" s="7">
        <f t="shared" si="370"/>
        <v>100.00000000000003</v>
      </c>
    </row>
    <row r="920" spans="1:13" ht="47.25">
      <c r="A920" s="31" t="s">
        <v>235</v>
      </c>
      <c r="B920" s="42" t="s">
        <v>295</v>
      </c>
      <c r="C920" s="42" t="s">
        <v>171</v>
      </c>
      <c r="D920" s="42" t="s">
        <v>690</v>
      </c>
      <c r="E920" s="42" t="s">
        <v>211</v>
      </c>
      <c r="F920" s="7" t="e">
        <f>#REF!</f>
        <v>#REF!</v>
      </c>
      <c r="G920" s="7" t="e">
        <f>#REF!</f>
        <v>#REF!</v>
      </c>
      <c r="H920" s="7" t="e">
        <f>#REF!</f>
        <v>#REF!</v>
      </c>
      <c r="I920" s="7" t="e">
        <f>#REF!</f>
        <v>#REF!</v>
      </c>
      <c r="J920" s="7" t="e">
        <f>#REF!</f>
        <v>#REF!</v>
      </c>
      <c r="K920" s="7">
        <f>'Прил.№4 ведомств.'!G1086</f>
        <v>36.099999999999994</v>
      </c>
      <c r="L920" s="7">
        <f>'Прил.№4 ведомств.'!H1086</f>
        <v>36.1</v>
      </c>
      <c r="M920" s="7">
        <f t="shared" si="370"/>
        <v>100.00000000000003</v>
      </c>
    </row>
    <row r="921" spans="1:13" ht="31.5">
      <c r="A921" s="26" t="s">
        <v>361</v>
      </c>
      <c r="B921" s="42" t="s">
        <v>295</v>
      </c>
      <c r="C921" s="42" t="s">
        <v>171</v>
      </c>
      <c r="D921" s="21" t="s">
        <v>637</v>
      </c>
      <c r="E921" s="42"/>
      <c r="F921" s="7"/>
      <c r="G921" s="7"/>
      <c r="H921" s="7"/>
      <c r="I921" s="7"/>
      <c r="J921" s="7"/>
      <c r="K921" s="7">
        <f>K922</f>
        <v>51</v>
      </c>
      <c r="L921" s="7">
        <f aca="true" t="shared" si="377" ref="L921:L923">L922</f>
        <v>42.1</v>
      </c>
      <c r="M921" s="7">
        <f t="shared" si="370"/>
        <v>82.54901960784315</v>
      </c>
    </row>
    <row r="922" spans="1:13" ht="15.75">
      <c r="A922" s="31" t="s">
        <v>624</v>
      </c>
      <c r="B922" s="42" t="s">
        <v>295</v>
      </c>
      <c r="C922" s="42" t="s">
        <v>171</v>
      </c>
      <c r="D922" s="21" t="s">
        <v>1019</v>
      </c>
      <c r="E922" s="42"/>
      <c r="F922" s="7"/>
      <c r="G922" s="7"/>
      <c r="H922" s="7"/>
      <c r="I922" s="7"/>
      <c r="J922" s="7"/>
      <c r="K922" s="7">
        <f>K923</f>
        <v>51</v>
      </c>
      <c r="L922" s="7">
        <f t="shared" si="377"/>
        <v>42.1</v>
      </c>
      <c r="M922" s="7">
        <f t="shared" si="370"/>
        <v>82.54901960784315</v>
      </c>
    </row>
    <row r="923" spans="1:13" ht="31.5">
      <c r="A923" s="31" t="s">
        <v>182</v>
      </c>
      <c r="B923" s="42" t="s">
        <v>295</v>
      </c>
      <c r="C923" s="42" t="s">
        <v>171</v>
      </c>
      <c r="D923" s="21" t="s">
        <v>1019</v>
      </c>
      <c r="E923" s="42" t="s">
        <v>183</v>
      </c>
      <c r="F923" s="7"/>
      <c r="G923" s="7"/>
      <c r="H923" s="7"/>
      <c r="I923" s="7"/>
      <c r="J923" s="7"/>
      <c r="K923" s="7">
        <f>K924</f>
        <v>51</v>
      </c>
      <c r="L923" s="7">
        <f t="shared" si="377"/>
        <v>42.1</v>
      </c>
      <c r="M923" s="7">
        <f t="shared" si="370"/>
        <v>82.54901960784315</v>
      </c>
    </row>
    <row r="924" spans="1:13" ht="47.25">
      <c r="A924" s="31" t="s">
        <v>184</v>
      </c>
      <c r="B924" s="42" t="s">
        <v>295</v>
      </c>
      <c r="C924" s="42" t="s">
        <v>171</v>
      </c>
      <c r="D924" s="21" t="s">
        <v>1019</v>
      </c>
      <c r="E924" s="42" t="s">
        <v>185</v>
      </c>
      <c r="F924" s="7"/>
      <c r="G924" s="7"/>
      <c r="H924" s="7"/>
      <c r="I924" s="7"/>
      <c r="J924" s="7"/>
      <c r="K924" s="7">
        <f>'Прил.№4 ведомств.'!G1090</f>
        <v>51</v>
      </c>
      <c r="L924" s="7">
        <f>'Прил.№4 ведомств.'!H1090</f>
        <v>42.1</v>
      </c>
      <c r="M924" s="7">
        <f t="shared" si="370"/>
        <v>82.54901960784315</v>
      </c>
    </row>
    <row r="925" spans="1:13" ht="15.75">
      <c r="A925" s="43" t="s">
        <v>542</v>
      </c>
      <c r="B925" s="8" t="s">
        <v>543</v>
      </c>
      <c r="C925" s="42"/>
      <c r="D925" s="42"/>
      <c r="E925" s="42"/>
      <c r="F925" s="4" t="e">
        <f aca="true" t="shared" si="378" ref="F925:K925">F926+F953</f>
        <v>#REF!</v>
      </c>
      <c r="G925" s="4" t="e">
        <f t="shared" si="378"/>
        <v>#REF!</v>
      </c>
      <c r="H925" s="4" t="e">
        <f t="shared" si="378"/>
        <v>#REF!</v>
      </c>
      <c r="I925" s="4" t="e">
        <f t="shared" si="378"/>
        <v>#REF!</v>
      </c>
      <c r="J925" s="4" t="e">
        <f t="shared" si="378"/>
        <v>#REF!</v>
      </c>
      <c r="K925" s="4">
        <f t="shared" si="378"/>
        <v>49789</v>
      </c>
      <c r="L925" s="4">
        <f>L926+L953</f>
        <v>49463.600000000006</v>
      </c>
      <c r="M925" s="4">
        <f t="shared" si="370"/>
        <v>99.34644198517746</v>
      </c>
    </row>
    <row r="926" spans="1:15" ht="15.75">
      <c r="A926" s="43" t="s">
        <v>544</v>
      </c>
      <c r="B926" s="8" t="s">
        <v>543</v>
      </c>
      <c r="C926" s="8" t="s">
        <v>169</v>
      </c>
      <c r="D926" s="42"/>
      <c r="E926" s="42"/>
      <c r="F926" s="4" t="e">
        <f>F927+F948</f>
        <v>#REF!</v>
      </c>
      <c r="G926" s="4" t="e">
        <f>G927+G948</f>
        <v>#REF!</v>
      </c>
      <c r="H926" s="4" t="e">
        <f>H927+H948</f>
        <v>#REF!</v>
      </c>
      <c r="I926" s="4" t="e">
        <f>I927+I948</f>
        <v>#REF!</v>
      </c>
      <c r="J926" s="4" t="e">
        <f>J927+J948</f>
        <v>#REF!</v>
      </c>
      <c r="K926" s="4">
        <f>K927+K948+K944</f>
        <v>38020</v>
      </c>
      <c r="L926" s="4">
        <f>L927+L948+L944</f>
        <v>37905.5</v>
      </c>
      <c r="M926" s="4">
        <f t="shared" si="370"/>
        <v>99.69884271436086</v>
      </c>
      <c r="N926" s="23"/>
      <c r="O926" s="23"/>
    </row>
    <row r="927" spans="1:13" ht="47.25">
      <c r="A927" s="31" t="s">
        <v>533</v>
      </c>
      <c r="B927" s="42" t="s">
        <v>543</v>
      </c>
      <c r="C927" s="42" t="s">
        <v>169</v>
      </c>
      <c r="D927" s="42" t="s">
        <v>534</v>
      </c>
      <c r="E927" s="42"/>
      <c r="F927" s="7" t="e">
        <f>F928</f>
        <v>#REF!</v>
      </c>
      <c r="G927" s="7" t="e">
        <f aca="true" t="shared" si="379" ref="G927:L927">G928</f>
        <v>#REF!</v>
      </c>
      <c r="H927" s="7" t="e">
        <f t="shared" si="379"/>
        <v>#REF!</v>
      </c>
      <c r="I927" s="7" t="e">
        <f t="shared" si="379"/>
        <v>#REF!</v>
      </c>
      <c r="J927" s="7" t="e">
        <f t="shared" si="379"/>
        <v>#REF!</v>
      </c>
      <c r="K927" s="7">
        <f t="shared" si="379"/>
        <v>36975</v>
      </c>
      <c r="L927" s="7">
        <f t="shared" si="379"/>
        <v>36860.6</v>
      </c>
      <c r="M927" s="7">
        <f t="shared" si="370"/>
        <v>99.69060175794455</v>
      </c>
    </row>
    <row r="928" spans="1:13" ht="47.25">
      <c r="A928" s="47" t="s">
        <v>545</v>
      </c>
      <c r="B928" s="42" t="s">
        <v>543</v>
      </c>
      <c r="C928" s="42" t="s">
        <v>691</v>
      </c>
      <c r="D928" s="42" t="s">
        <v>546</v>
      </c>
      <c r="E928" s="42"/>
      <c r="F928" s="7" t="e">
        <f aca="true" t="shared" si="380" ref="F928:L928">F930+F933+F936+F939+F941</f>
        <v>#REF!</v>
      </c>
      <c r="G928" s="7" t="e">
        <f t="shared" si="380"/>
        <v>#REF!</v>
      </c>
      <c r="H928" s="7" t="e">
        <f t="shared" si="380"/>
        <v>#REF!</v>
      </c>
      <c r="I928" s="7" t="e">
        <f t="shared" si="380"/>
        <v>#REF!</v>
      </c>
      <c r="J928" s="7" t="e">
        <f t="shared" si="380"/>
        <v>#REF!</v>
      </c>
      <c r="K928" s="7">
        <f t="shared" si="380"/>
        <v>36975</v>
      </c>
      <c r="L928" s="7">
        <f t="shared" si="380"/>
        <v>36860.6</v>
      </c>
      <c r="M928" s="7">
        <f t="shared" si="370"/>
        <v>99.69060175794455</v>
      </c>
    </row>
    <row r="929" spans="1:13" ht="31.5">
      <c r="A929" s="31" t="s">
        <v>547</v>
      </c>
      <c r="B929" s="42" t="s">
        <v>543</v>
      </c>
      <c r="C929" s="42" t="s">
        <v>169</v>
      </c>
      <c r="D929" s="42" t="s">
        <v>548</v>
      </c>
      <c r="E929" s="42"/>
      <c r="F929" s="7" t="e">
        <f>F930</f>
        <v>#REF!</v>
      </c>
      <c r="G929" s="7" t="e">
        <f aca="true" t="shared" si="381" ref="G929:L930">G930</f>
        <v>#REF!</v>
      </c>
      <c r="H929" s="7" t="e">
        <f t="shared" si="381"/>
        <v>#REF!</v>
      </c>
      <c r="I929" s="7" t="e">
        <f t="shared" si="381"/>
        <v>#REF!</v>
      </c>
      <c r="J929" s="7" t="e">
        <f t="shared" si="381"/>
        <v>#REF!</v>
      </c>
      <c r="K929" s="7">
        <f t="shared" si="381"/>
        <v>35934.9</v>
      </c>
      <c r="L929" s="7">
        <f t="shared" si="381"/>
        <v>35934.9</v>
      </c>
      <c r="M929" s="7">
        <f t="shared" si="370"/>
        <v>100</v>
      </c>
    </row>
    <row r="930" spans="1:13" ht="47.25">
      <c r="A930" s="31" t="s">
        <v>323</v>
      </c>
      <c r="B930" s="42" t="s">
        <v>543</v>
      </c>
      <c r="C930" s="42" t="s">
        <v>169</v>
      </c>
      <c r="D930" s="42" t="s">
        <v>548</v>
      </c>
      <c r="E930" s="42" t="s">
        <v>324</v>
      </c>
      <c r="F930" s="7" t="e">
        <f>F931</f>
        <v>#REF!</v>
      </c>
      <c r="G930" s="7" t="e">
        <f t="shared" si="381"/>
        <v>#REF!</v>
      </c>
      <c r="H930" s="7" t="e">
        <f t="shared" si="381"/>
        <v>#REF!</v>
      </c>
      <c r="I930" s="7" t="e">
        <f t="shared" si="381"/>
        <v>#REF!</v>
      </c>
      <c r="J930" s="7" t="e">
        <f t="shared" si="381"/>
        <v>#REF!</v>
      </c>
      <c r="K930" s="7">
        <f t="shared" si="381"/>
        <v>35934.9</v>
      </c>
      <c r="L930" s="7">
        <f t="shared" si="381"/>
        <v>35934.9</v>
      </c>
      <c r="M930" s="7">
        <f t="shared" si="370"/>
        <v>100</v>
      </c>
    </row>
    <row r="931" spans="1:13" ht="15.75">
      <c r="A931" s="31" t="s">
        <v>325</v>
      </c>
      <c r="B931" s="42" t="s">
        <v>543</v>
      </c>
      <c r="C931" s="42" t="s">
        <v>169</v>
      </c>
      <c r="D931" s="42" t="s">
        <v>548</v>
      </c>
      <c r="E931" s="42" t="s">
        <v>326</v>
      </c>
      <c r="F931" s="7" t="e">
        <f>#REF!</f>
        <v>#REF!</v>
      </c>
      <c r="G931" s="7" t="e">
        <f>#REF!</f>
        <v>#REF!</v>
      </c>
      <c r="H931" s="7" t="e">
        <f>#REF!</f>
        <v>#REF!</v>
      </c>
      <c r="I931" s="7" t="e">
        <f>#REF!</f>
        <v>#REF!</v>
      </c>
      <c r="J931" s="7" t="e">
        <f>#REF!</f>
        <v>#REF!</v>
      </c>
      <c r="K931" s="7">
        <f>'Прил.№4 ведомств.'!G828</f>
        <v>35934.9</v>
      </c>
      <c r="L931" s="7">
        <f>'Прил.№4 ведомств.'!H828</f>
        <v>35934.9</v>
      </c>
      <c r="M931" s="7">
        <f t="shared" si="370"/>
        <v>100</v>
      </c>
    </row>
    <row r="932" spans="1:13" ht="31.5">
      <c r="A932" s="31" t="s">
        <v>329</v>
      </c>
      <c r="B932" s="42" t="s">
        <v>543</v>
      </c>
      <c r="C932" s="42" t="s">
        <v>169</v>
      </c>
      <c r="D932" s="42" t="s">
        <v>549</v>
      </c>
      <c r="E932" s="42"/>
      <c r="F932" s="7" t="e">
        <f>F933</f>
        <v>#REF!</v>
      </c>
      <c r="G932" s="7" t="e">
        <f aca="true" t="shared" si="382" ref="G932:L933">G933</f>
        <v>#REF!</v>
      </c>
      <c r="H932" s="7" t="e">
        <f t="shared" si="382"/>
        <v>#REF!</v>
      </c>
      <c r="I932" s="7" t="e">
        <f t="shared" si="382"/>
        <v>#REF!</v>
      </c>
      <c r="J932" s="7" t="e">
        <f t="shared" si="382"/>
        <v>#REF!</v>
      </c>
      <c r="K932" s="7">
        <f t="shared" si="382"/>
        <v>398.7</v>
      </c>
      <c r="L932" s="7">
        <f t="shared" si="382"/>
        <v>398.7</v>
      </c>
      <c r="M932" s="7">
        <f t="shared" si="370"/>
        <v>100</v>
      </c>
    </row>
    <row r="933" spans="1:13" ht="47.25">
      <c r="A933" s="31" t="s">
        <v>323</v>
      </c>
      <c r="B933" s="42" t="s">
        <v>543</v>
      </c>
      <c r="C933" s="42" t="s">
        <v>169</v>
      </c>
      <c r="D933" s="42" t="s">
        <v>549</v>
      </c>
      <c r="E933" s="42" t="s">
        <v>324</v>
      </c>
      <c r="F933" s="7" t="e">
        <f>F934</f>
        <v>#REF!</v>
      </c>
      <c r="G933" s="7" t="e">
        <f t="shared" si="382"/>
        <v>#REF!</v>
      </c>
      <c r="H933" s="7" t="e">
        <f t="shared" si="382"/>
        <v>#REF!</v>
      </c>
      <c r="I933" s="7" t="e">
        <f t="shared" si="382"/>
        <v>#REF!</v>
      </c>
      <c r="J933" s="7" t="e">
        <f t="shared" si="382"/>
        <v>#REF!</v>
      </c>
      <c r="K933" s="7">
        <f t="shared" si="382"/>
        <v>398.7</v>
      </c>
      <c r="L933" s="7">
        <f t="shared" si="382"/>
        <v>398.7</v>
      </c>
      <c r="M933" s="7">
        <f t="shared" si="370"/>
        <v>100</v>
      </c>
    </row>
    <row r="934" spans="1:13" ht="15.75">
      <c r="A934" s="31" t="s">
        <v>325</v>
      </c>
      <c r="B934" s="42" t="s">
        <v>543</v>
      </c>
      <c r="C934" s="42" t="s">
        <v>169</v>
      </c>
      <c r="D934" s="42" t="s">
        <v>549</v>
      </c>
      <c r="E934" s="42" t="s">
        <v>326</v>
      </c>
      <c r="F934" s="7" t="e">
        <f>#REF!</f>
        <v>#REF!</v>
      </c>
      <c r="G934" s="7" t="e">
        <f>#REF!</f>
        <v>#REF!</v>
      </c>
      <c r="H934" s="7" t="e">
        <f>#REF!</f>
        <v>#REF!</v>
      </c>
      <c r="I934" s="7" t="e">
        <f>#REF!</f>
        <v>#REF!</v>
      </c>
      <c r="J934" s="7" t="e">
        <f>#REF!</f>
        <v>#REF!</v>
      </c>
      <c r="K934" s="7">
        <f>'Прил.№4 ведомств.'!G831</f>
        <v>398.7</v>
      </c>
      <c r="L934" s="7">
        <f>'Прил.№4 ведомств.'!H831</f>
        <v>398.7</v>
      </c>
      <c r="M934" s="7">
        <f t="shared" si="370"/>
        <v>100</v>
      </c>
    </row>
    <row r="935" spans="1:13" ht="31.5" customHeight="1" hidden="1">
      <c r="A935" s="31" t="s">
        <v>331</v>
      </c>
      <c r="B935" s="42" t="s">
        <v>543</v>
      </c>
      <c r="C935" s="42" t="s">
        <v>169</v>
      </c>
      <c r="D935" s="42" t="s">
        <v>550</v>
      </c>
      <c r="E935" s="42"/>
      <c r="F935" s="7" t="e">
        <f>F936</f>
        <v>#REF!</v>
      </c>
      <c r="G935" s="7" t="e">
        <f aca="true" t="shared" si="383" ref="G935:L936">G936</f>
        <v>#REF!</v>
      </c>
      <c r="H935" s="7" t="e">
        <f t="shared" si="383"/>
        <v>#REF!</v>
      </c>
      <c r="I935" s="7" t="e">
        <f t="shared" si="383"/>
        <v>#REF!</v>
      </c>
      <c r="J935" s="7" t="e">
        <f t="shared" si="383"/>
        <v>#REF!</v>
      </c>
      <c r="K935" s="7">
        <f t="shared" si="383"/>
        <v>0</v>
      </c>
      <c r="L935" s="7">
        <f t="shared" si="383"/>
        <v>0</v>
      </c>
      <c r="M935" s="7" t="e">
        <f t="shared" si="370"/>
        <v>#DIV/0!</v>
      </c>
    </row>
    <row r="936" spans="1:13" ht="47.25" customHeight="1" hidden="1">
      <c r="A936" s="31" t="s">
        <v>323</v>
      </c>
      <c r="B936" s="42" t="s">
        <v>543</v>
      </c>
      <c r="C936" s="42" t="s">
        <v>169</v>
      </c>
      <c r="D936" s="42" t="s">
        <v>550</v>
      </c>
      <c r="E936" s="42" t="s">
        <v>324</v>
      </c>
      <c r="F936" s="7" t="e">
        <f>F937</f>
        <v>#REF!</v>
      </c>
      <c r="G936" s="7" t="e">
        <f t="shared" si="383"/>
        <v>#REF!</v>
      </c>
      <c r="H936" s="7" t="e">
        <f t="shared" si="383"/>
        <v>#REF!</v>
      </c>
      <c r="I936" s="7" t="e">
        <f t="shared" si="383"/>
        <v>#REF!</v>
      </c>
      <c r="J936" s="7" t="e">
        <f t="shared" si="383"/>
        <v>#REF!</v>
      </c>
      <c r="K936" s="7">
        <f t="shared" si="383"/>
        <v>0</v>
      </c>
      <c r="L936" s="7">
        <f t="shared" si="383"/>
        <v>0</v>
      </c>
      <c r="M936" s="7" t="e">
        <f t="shared" si="370"/>
        <v>#DIV/0!</v>
      </c>
    </row>
    <row r="937" spans="1:13" ht="15.75" customHeight="1" hidden="1">
      <c r="A937" s="31" t="s">
        <v>325</v>
      </c>
      <c r="B937" s="42" t="s">
        <v>543</v>
      </c>
      <c r="C937" s="42" t="s">
        <v>169</v>
      </c>
      <c r="D937" s="42" t="s">
        <v>550</v>
      </c>
      <c r="E937" s="42" t="s">
        <v>326</v>
      </c>
      <c r="F937" s="7" t="e">
        <f>#REF!</f>
        <v>#REF!</v>
      </c>
      <c r="G937" s="7" t="e">
        <f>#REF!</f>
        <v>#REF!</v>
      </c>
      <c r="H937" s="7" t="e">
        <f>#REF!</f>
        <v>#REF!</v>
      </c>
      <c r="I937" s="7" t="e">
        <f>#REF!</f>
        <v>#REF!</v>
      </c>
      <c r="J937" s="7" t="e">
        <f>#REF!</f>
        <v>#REF!</v>
      </c>
      <c r="K937" s="7">
        <f>'Прил.№4 ведомств.'!G834</f>
        <v>0</v>
      </c>
      <c r="L937" s="7">
        <f>'Прил.№4 ведомств.'!H834</f>
        <v>0</v>
      </c>
      <c r="M937" s="7" t="e">
        <f t="shared" si="370"/>
        <v>#DIV/0!</v>
      </c>
    </row>
    <row r="938" spans="1:13" ht="31.5" customHeight="1">
      <c r="A938" s="31" t="s">
        <v>335</v>
      </c>
      <c r="B938" s="42" t="s">
        <v>543</v>
      </c>
      <c r="C938" s="42" t="s">
        <v>169</v>
      </c>
      <c r="D938" s="42" t="s">
        <v>551</v>
      </c>
      <c r="E938" s="42"/>
      <c r="F938" s="7" t="e">
        <f>F939</f>
        <v>#REF!</v>
      </c>
      <c r="G938" s="7" t="e">
        <f aca="true" t="shared" si="384" ref="G938:L939">G939</f>
        <v>#REF!</v>
      </c>
      <c r="H938" s="7" t="e">
        <f t="shared" si="384"/>
        <v>#REF!</v>
      </c>
      <c r="I938" s="7" t="e">
        <f t="shared" si="384"/>
        <v>#REF!</v>
      </c>
      <c r="J938" s="7" t="e">
        <f t="shared" si="384"/>
        <v>#REF!</v>
      </c>
      <c r="K938" s="7">
        <f t="shared" si="384"/>
        <v>100</v>
      </c>
      <c r="L938" s="7">
        <f t="shared" si="384"/>
        <v>0</v>
      </c>
      <c r="M938" s="7">
        <f t="shared" si="370"/>
        <v>0</v>
      </c>
    </row>
    <row r="939" spans="1:13" ht="47.25" customHeight="1">
      <c r="A939" s="31" t="s">
        <v>323</v>
      </c>
      <c r="B939" s="42" t="s">
        <v>543</v>
      </c>
      <c r="C939" s="42" t="s">
        <v>169</v>
      </c>
      <c r="D939" s="42" t="s">
        <v>551</v>
      </c>
      <c r="E939" s="42" t="s">
        <v>324</v>
      </c>
      <c r="F939" s="7" t="e">
        <f>F940</f>
        <v>#REF!</v>
      </c>
      <c r="G939" s="7" t="e">
        <f t="shared" si="384"/>
        <v>#REF!</v>
      </c>
      <c r="H939" s="7" t="e">
        <f t="shared" si="384"/>
        <v>#REF!</v>
      </c>
      <c r="I939" s="7" t="e">
        <f t="shared" si="384"/>
        <v>#REF!</v>
      </c>
      <c r="J939" s="7" t="e">
        <f t="shared" si="384"/>
        <v>#REF!</v>
      </c>
      <c r="K939" s="7">
        <f t="shared" si="384"/>
        <v>100</v>
      </c>
      <c r="L939" s="7">
        <f t="shared" si="384"/>
        <v>0</v>
      </c>
      <c r="M939" s="7">
        <f t="shared" si="370"/>
        <v>0</v>
      </c>
    </row>
    <row r="940" spans="1:13" ht="15.75" customHeight="1">
      <c r="A940" s="31" t="s">
        <v>325</v>
      </c>
      <c r="B940" s="42" t="s">
        <v>543</v>
      </c>
      <c r="C940" s="42" t="s">
        <v>169</v>
      </c>
      <c r="D940" s="42" t="s">
        <v>551</v>
      </c>
      <c r="E940" s="42" t="s">
        <v>326</v>
      </c>
      <c r="F940" s="7" t="e">
        <f>#REF!</f>
        <v>#REF!</v>
      </c>
      <c r="G940" s="7" t="e">
        <f>#REF!</f>
        <v>#REF!</v>
      </c>
      <c r="H940" s="7" t="e">
        <f>#REF!</f>
        <v>#REF!</v>
      </c>
      <c r="I940" s="7" t="e">
        <f>#REF!</f>
        <v>#REF!</v>
      </c>
      <c r="J940" s="7" t="e">
        <f>#REF!</f>
        <v>#REF!</v>
      </c>
      <c r="K940" s="7">
        <f>'Прил.№4 ведомств.'!G837</f>
        <v>100</v>
      </c>
      <c r="L940" s="7">
        <f>'Прил.№4 ведомств.'!H837</f>
        <v>0</v>
      </c>
      <c r="M940" s="7">
        <f t="shared" si="370"/>
        <v>0</v>
      </c>
    </row>
    <row r="941" spans="1:13" ht="15.75" customHeight="1">
      <c r="A941" s="47" t="s">
        <v>857</v>
      </c>
      <c r="B941" s="21" t="s">
        <v>543</v>
      </c>
      <c r="C941" s="21" t="s">
        <v>169</v>
      </c>
      <c r="D941" s="21" t="s">
        <v>865</v>
      </c>
      <c r="E941" s="21"/>
      <c r="F941" s="7" t="e">
        <f>F942</f>
        <v>#REF!</v>
      </c>
      <c r="G941" s="7" t="e">
        <f aca="true" t="shared" si="385" ref="G941:L942">G942</f>
        <v>#REF!</v>
      </c>
      <c r="H941" s="7" t="e">
        <f t="shared" si="385"/>
        <v>#REF!</v>
      </c>
      <c r="I941" s="7" t="e">
        <f t="shared" si="385"/>
        <v>#REF!</v>
      </c>
      <c r="J941" s="7" t="e">
        <f t="shared" si="385"/>
        <v>#REF!</v>
      </c>
      <c r="K941" s="7">
        <f t="shared" si="385"/>
        <v>541.4000000000001</v>
      </c>
      <c r="L941" s="7">
        <f t="shared" si="385"/>
        <v>527</v>
      </c>
      <c r="M941" s="7">
        <f t="shared" si="370"/>
        <v>97.34022903583302</v>
      </c>
    </row>
    <row r="942" spans="1:13" ht="15.75" customHeight="1">
      <c r="A942" s="33" t="s">
        <v>323</v>
      </c>
      <c r="B942" s="21" t="s">
        <v>543</v>
      </c>
      <c r="C942" s="21" t="s">
        <v>169</v>
      </c>
      <c r="D942" s="21" t="s">
        <v>865</v>
      </c>
      <c r="E942" s="21" t="s">
        <v>324</v>
      </c>
      <c r="F942" s="7" t="e">
        <f>F943</f>
        <v>#REF!</v>
      </c>
      <c r="G942" s="7" t="e">
        <f t="shared" si="385"/>
        <v>#REF!</v>
      </c>
      <c r="H942" s="7" t="e">
        <f t="shared" si="385"/>
        <v>#REF!</v>
      </c>
      <c r="I942" s="7" t="e">
        <f t="shared" si="385"/>
        <v>#REF!</v>
      </c>
      <c r="J942" s="7" t="e">
        <f t="shared" si="385"/>
        <v>#REF!</v>
      </c>
      <c r="K942" s="7">
        <f t="shared" si="385"/>
        <v>541.4000000000001</v>
      </c>
      <c r="L942" s="7">
        <f t="shared" si="385"/>
        <v>527</v>
      </c>
      <c r="M942" s="7">
        <f t="shared" si="370"/>
        <v>97.34022903583302</v>
      </c>
    </row>
    <row r="943" spans="1:13" ht="15.75" customHeight="1">
      <c r="A943" s="33" t="s">
        <v>325</v>
      </c>
      <c r="B943" s="21" t="s">
        <v>543</v>
      </c>
      <c r="C943" s="21" t="s">
        <v>169</v>
      </c>
      <c r="D943" s="21" t="s">
        <v>865</v>
      </c>
      <c r="E943" s="21" t="s">
        <v>326</v>
      </c>
      <c r="F943" s="7" t="e">
        <f>#REF!</f>
        <v>#REF!</v>
      </c>
      <c r="G943" s="7" t="e">
        <f>#REF!</f>
        <v>#REF!</v>
      </c>
      <c r="H943" s="7" t="e">
        <f>#REF!</f>
        <v>#REF!</v>
      </c>
      <c r="I943" s="7" t="e">
        <f>#REF!</f>
        <v>#REF!</v>
      </c>
      <c r="J943" s="7" t="e">
        <f>#REF!</f>
        <v>#REF!</v>
      </c>
      <c r="K943" s="7">
        <f>'Прил.№4 ведомств.'!G840</f>
        <v>541.4000000000001</v>
      </c>
      <c r="L943" s="7">
        <f>'Прил.№4 ведомств.'!H840</f>
        <v>527</v>
      </c>
      <c r="M943" s="7">
        <f t="shared" si="370"/>
        <v>97.34022903583302</v>
      </c>
    </row>
    <row r="944" spans="1:13" ht="47.25" customHeight="1">
      <c r="A944" s="33" t="s">
        <v>950</v>
      </c>
      <c r="B944" s="21" t="s">
        <v>543</v>
      </c>
      <c r="C944" s="21" t="s">
        <v>169</v>
      </c>
      <c r="D944" s="21" t="s">
        <v>375</v>
      </c>
      <c r="E944" s="21"/>
      <c r="F944" s="7"/>
      <c r="G944" s="7"/>
      <c r="H944" s="7"/>
      <c r="I944" s="7"/>
      <c r="J944" s="7"/>
      <c r="K944" s="7">
        <f>K945</f>
        <v>545</v>
      </c>
      <c r="L944" s="7">
        <f aca="true" t="shared" si="386" ref="L944:L946">L945</f>
        <v>545</v>
      </c>
      <c r="M944" s="7">
        <f t="shared" si="370"/>
        <v>100</v>
      </c>
    </row>
    <row r="945" spans="1:13" ht="47.25">
      <c r="A945" s="33" t="s">
        <v>376</v>
      </c>
      <c r="B945" s="21" t="s">
        <v>543</v>
      </c>
      <c r="C945" s="21" t="s">
        <v>169</v>
      </c>
      <c r="D945" s="21" t="s">
        <v>377</v>
      </c>
      <c r="E945" s="21"/>
      <c r="F945" s="7"/>
      <c r="G945" s="7"/>
      <c r="H945" s="7"/>
      <c r="I945" s="7"/>
      <c r="J945" s="7"/>
      <c r="K945" s="7">
        <f>K946</f>
        <v>545</v>
      </c>
      <c r="L945" s="7">
        <f t="shared" si="386"/>
        <v>545</v>
      </c>
      <c r="M945" s="7">
        <f t="shared" si="370"/>
        <v>100</v>
      </c>
    </row>
    <row r="946" spans="1:13" ht="47.25">
      <c r="A946" s="33" t="s">
        <v>323</v>
      </c>
      <c r="B946" s="21" t="s">
        <v>543</v>
      </c>
      <c r="C946" s="21" t="s">
        <v>169</v>
      </c>
      <c r="D946" s="21" t="s">
        <v>377</v>
      </c>
      <c r="E946" s="21" t="s">
        <v>324</v>
      </c>
      <c r="F946" s="7"/>
      <c r="G946" s="7"/>
      <c r="H946" s="7"/>
      <c r="I946" s="7"/>
      <c r="J946" s="7"/>
      <c r="K946" s="7">
        <f>K947</f>
        <v>545</v>
      </c>
      <c r="L946" s="7">
        <f t="shared" si="386"/>
        <v>545</v>
      </c>
      <c r="M946" s="7">
        <f t="shared" si="370"/>
        <v>100</v>
      </c>
    </row>
    <row r="947" spans="1:13" ht="15.75" customHeight="1">
      <c r="A947" s="33" t="s">
        <v>325</v>
      </c>
      <c r="B947" s="21" t="s">
        <v>543</v>
      </c>
      <c r="C947" s="21" t="s">
        <v>169</v>
      </c>
      <c r="D947" s="21" t="s">
        <v>377</v>
      </c>
      <c r="E947" s="21" t="s">
        <v>326</v>
      </c>
      <c r="F947" s="7"/>
      <c r="G947" s="7"/>
      <c r="H947" s="7"/>
      <c r="I947" s="7"/>
      <c r="J947" s="7"/>
      <c r="K947" s="7">
        <f>'Прил.№4 ведомств.'!G844</f>
        <v>545</v>
      </c>
      <c r="L947" s="7">
        <f>'Прил.№4 ведомств.'!H844</f>
        <v>545</v>
      </c>
      <c r="M947" s="7">
        <f t="shared" si="370"/>
        <v>100</v>
      </c>
    </row>
    <row r="948" spans="1:13" ht="15.75">
      <c r="A948" s="26" t="s">
        <v>172</v>
      </c>
      <c r="B948" s="21" t="s">
        <v>543</v>
      </c>
      <c r="C948" s="21" t="s">
        <v>169</v>
      </c>
      <c r="D948" s="21" t="s">
        <v>173</v>
      </c>
      <c r="E948" s="21"/>
      <c r="F948" s="7" t="e">
        <f>F949</f>
        <v>#REF!</v>
      </c>
      <c r="G948" s="7" t="e">
        <f aca="true" t="shared" si="387" ref="G948:L951">G949</f>
        <v>#REF!</v>
      </c>
      <c r="H948" s="7" t="e">
        <f t="shared" si="387"/>
        <v>#REF!</v>
      </c>
      <c r="I948" s="7" t="e">
        <f t="shared" si="387"/>
        <v>#REF!</v>
      </c>
      <c r="J948" s="7" t="e">
        <f t="shared" si="387"/>
        <v>#REF!</v>
      </c>
      <c r="K948" s="7">
        <f t="shared" si="387"/>
        <v>500</v>
      </c>
      <c r="L948" s="7">
        <f t="shared" si="387"/>
        <v>499.9</v>
      </c>
      <c r="M948" s="7">
        <f t="shared" si="370"/>
        <v>99.97999999999999</v>
      </c>
    </row>
    <row r="949" spans="1:13" ht="31.5">
      <c r="A949" s="26" t="s">
        <v>236</v>
      </c>
      <c r="B949" s="21" t="s">
        <v>543</v>
      </c>
      <c r="C949" s="21" t="s">
        <v>169</v>
      </c>
      <c r="D949" s="21" t="s">
        <v>237</v>
      </c>
      <c r="E949" s="21"/>
      <c r="F949" s="7" t="e">
        <f>F950</f>
        <v>#REF!</v>
      </c>
      <c r="G949" s="7" t="e">
        <f t="shared" si="387"/>
        <v>#REF!</v>
      </c>
      <c r="H949" s="7" t="e">
        <f t="shared" si="387"/>
        <v>#REF!</v>
      </c>
      <c r="I949" s="7" t="e">
        <f t="shared" si="387"/>
        <v>#REF!</v>
      </c>
      <c r="J949" s="7" t="e">
        <f t="shared" si="387"/>
        <v>#REF!</v>
      </c>
      <c r="K949" s="7">
        <f t="shared" si="387"/>
        <v>500</v>
      </c>
      <c r="L949" s="7">
        <f t="shared" si="387"/>
        <v>499.9</v>
      </c>
      <c r="M949" s="7">
        <f t="shared" si="370"/>
        <v>99.97999999999999</v>
      </c>
    </row>
    <row r="950" spans="1:13" ht="47.25">
      <c r="A950" s="26" t="s">
        <v>1003</v>
      </c>
      <c r="B950" s="21" t="s">
        <v>543</v>
      </c>
      <c r="C950" s="21" t="s">
        <v>169</v>
      </c>
      <c r="D950" s="21" t="s">
        <v>1004</v>
      </c>
      <c r="E950" s="21"/>
      <c r="F950" s="7" t="e">
        <f>F951</f>
        <v>#REF!</v>
      </c>
      <c r="G950" s="7" t="e">
        <f t="shared" si="387"/>
        <v>#REF!</v>
      </c>
      <c r="H950" s="7" t="e">
        <f t="shared" si="387"/>
        <v>#REF!</v>
      </c>
      <c r="I950" s="7" t="e">
        <f t="shared" si="387"/>
        <v>#REF!</v>
      </c>
      <c r="J950" s="7" t="e">
        <f t="shared" si="387"/>
        <v>#REF!</v>
      </c>
      <c r="K950" s="7">
        <f t="shared" si="387"/>
        <v>500</v>
      </c>
      <c r="L950" s="7">
        <f t="shared" si="387"/>
        <v>499.9</v>
      </c>
      <c r="M950" s="7">
        <f t="shared" si="370"/>
        <v>99.97999999999999</v>
      </c>
    </row>
    <row r="951" spans="1:13" ht="47.25">
      <c r="A951" s="26" t="s">
        <v>323</v>
      </c>
      <c r="B951" s="21" t="s">
        <v>543</v>
      </c>
      <c r="C951" s="21" t="s">
        <v>169</v>
      </c>
      <c r="D951" s="21" t="s">
        <v>1004</v>
      </c>
      <c r="E951" s="21" t="s">
        <v>324</v>
      </c>
      <c r="F951" s="7" t="e">
        <f>F952</f>
        <v>#REF!</v>
      </c>
      <c r="G951" s="7" t="e">
        <f t="shared" si="387"/>
        <v>#REF!</v>
      </c>
      <c r="H951" s="7" t="e">
        <f t="shared" si="387"/>
        <v>#REF!</v>
      </c>
      <c r="I951" s="7" t="e">
        <f t="shared" si="387"/>
        <v>#REF!</v>
      </c>
      <c r="J951" s="7" t="e">
        <f t="shared" si="387"/>
        <v>#REF!</v>
      </c>
      <c r="K951" s="7">
        <f t="shared" si="387"/>
        <v>500</v>
      </c>
      <c r="L951" s="7">
        <f t="shared" si="387"/>
        <v>499.9</v>
      </c>
      <c r="M951" s="7">
        <f t="shared" si="370"/>
        <v>99.97999999999999</v>
      </c>
    </row>
    <row r="952" spans="1:13" ht="15.75">
      <c r="A952" s="26" t="s">
        <v>325</v>
      </c>
      <c r="B952" s="21" t="s">
        <v>543</v>
      </c>
      <c r="C952" s="21" t="s">
        <v>169</v>
      </c>
      <c r="D952" s="21" t="s">
        <v>1004</v>
      </c>
      <c r="E952" s="21" t="s">
        <v>326</v>
      </c>
      <c r="F952" s="7" t="e">
        <f>#REF!</f>
        <v>#REF!</v>
      </c>
      <c r="G952" s="7" t="e">
        <f>#REF!</f>
        <v>#REF!</v>
      </c>
      <c r="H952" s="7" t="e">
        <f>#REF!</f>
        <v>#REF!</v>
      </c>
      <c r="I952" s="7" t="e">
        <f>#REF!</f>
        <v>#REF!</v>
      </c>
      <c r="J952" s="7" t="e">
        <f>#REF!</f>
        <v>#REF!</v>
      </c>
      <c r="K952" s="7">
        <f>'Прил.№4 ведомств.'!G849</f>
        <v>500</v>
      </c>
      <c r="L952" s="7">
        <f>'Прил.№4 ведомств.'!H849</f>
        <v>499.9</v>
      </c>
      <c r="M952" s="7">
        <f t="shared" si="370"/>
        <v>99.97999999999999</v>
      </c>
    </row>
    <row r="953" spans="1:13" ht="31.5">
      <c r="A953" s="43" t="s">
        <v>552</v>
      </c>
      <c r="B953" s="8" t="s">
        <v>543</v>
      </c>
      <c r="C953" s="8" t="s">
        <v>285</v>
      </c>
      <c r="D953" s="8"/>
      <c r="E953" s="8"/>
      <c r="F953" s="4" t="e">
        <f aca="true" t="shared" si="388" ref="F953:L953">F961+F954</f>
        <v>#REF!</v>
      </c>
      <c r="G953" s="4" t="e">
        <f t="shared" si="388"/>
        <v>#REF!</v>
      </c>
      <c r="H953" s="4" t="e">
        <f t="shared" si="388"/>
        <v>#REF!</v>
      </c>
      <c r="I953" s="4" t="e">
        <f t="shared" si="388"/>
        <v>#REF!</v>
      </c>
      <c r="J953" s="4" t="e">
        <f t="shared" si="388"/>
        <v>#REF!</v>
      </c>
      <c r="K953" s="4">
        <f t="shared" si="388"/>
        <v>11769</v>
      </c>
      <c r="L953" s="4">
        <f t="shared" si="388"/>
        <v>11558.100000000002</v>
      </c>
      <c r="M953" s="4">
        <f t="shared" si="370"/>
        <v>98.20800407851135</v>
      </c>
    </row>
    <row r="954" spans="1:13" ht="47.25">
      <c r="A954" s="31" t="s">
        <v>533</v>
      </c>
      <c r="B954" s="42" t="s">
        <v>543</v>
      </c>
      <c r="C954" s="42" t="s">
        <v>285</v>
      </c>
      <c r="D954" s="42" t="s">
        <v>534</v>
      </c>
      <c r="E954" s="42"/>
      <c r="F954" s="7" t="e">
        <f>F955</f>
        <v>#REF!</v>
      </c>
      <c r="G954" s="7" t="e">
        <f aca="true" t="shared" si="389" ref="G954:L955">G955</f>
        <v>#REF!</v>
      </c>
      <c r="H954" s="7" t="e">
        <f t="shared" si="389"/>
        <v>#REF!</v>
      </c>
      <c r="I954" s="7" t="e">
        <f t="shared" si="389"/>
        <v>#REF!</v>
      </c>
      <c r="J954" s="7" t="e">
        <f t="shared" si="389"/>
        <v>#REF!</v>
      </c>
      <c r="K954" s="7">
        <f t="shared" si="389"/>
        <v>2800</v>
      </c>
      <c r="L954" s="7">
        <f t="shared" si="389"/>
        <v>2775.7</v>
      </c>
      <c r="M954" s="7">
        <f t="shared" si="370"/>
        <v>99.13214285714285</v>
      </c>
    </row>
    <row r="955" spans="1:13" ht="47.25">
      <c r="A955" s="47" t="s">
        <v>553</v>
      </c>
      <c r="B955" s="42" t="s">
        <v>543</v>
      </c>
      <c r="C955" s="42" t="s">
        <v>285</v>
      </c>
      <c r="D955" s="42" t="s">
        <v>554</v>
      </c>
      <c r="E955" s="8"/>
      <c r="F955" s="7" t="e">
        <f>F956</f>
        <v>#REF!</v>
      </c>
      <c r="G955" s="7" t="e">
        <f t="shared" si="389"/>
        <v>#REF!</v>
      </c>
      <c r="H955" s="7" t="e">
        <f t="shared" si="389"/>
        <v>#REF!</v>
      </c>
      <c r="I955" s="7" t="e">
        <f t="shared" si="389"/>
        <v>#REF!</v>
      </c>
      <c r="J955" s="7" t="e">
        <f t="shared" si="389"/>
        <v>#REF!</v>
      </c>
      <c r="K955" s="7">
        <f t="shared" si="389"/>
        <v>2800</v>
      </c>
      <c r="L955" s="7">
        <f t="shared" si="389"/>
        <v>2775.7</v>
      </c>
      <c r="M955" s="7">
        <f t="shared" si="370"/>
        <v>99.13214285714285</v>
      </c>
    </row>
    <row r="956" spans="1:13" ht="31.5">
      <c r="A956" s="31" t="s">
        <v>208</v>
      </c>
      <c r="B956" s="42" t="s">
        <v>543</v>
      </c>
      <c r="C956" s="42" t="s">
        <v>285</v>
      </c>
      <c r="D956" s="42" t="s">
        <v>555</v>
      </c>
      <c r="E956" s="8"/>
      <c r="F956" s="7" t="e">
        <f aca="true" t="shared" si="390" ref="F956:L956">F959+F957</f>
        <v>#REF!</v>
      </c>
      <c r="G956" s="7" t="e">
        <f t="shared" si="390"/>
        <v>#REF!</v>
      </c>
      <c r="H956" s="7" t="e">
        <f t="shared" si="390"/>
        <v>#REF!</v>
      </c>
      <c r="I956" s="7" t="e">
        <f t="shared" si="390"/>
        <v>#REF!</v>
      </c>
      <c r="J956" s="7" t="e">
        <f t="shared" si="390"/>
        <v>#REF!</v>
      </c>
      <c r="K956" s="7">
        <f t="shared" si="390"/>
        <v>2800</v>
      </c>
      <c r="L956" s="7">
        <f t="shared" si="390"/>
        <v>2775.7</v>
      </c>
      <c r="M956" s="7">
        <f t="shared" si="370"/>
        <v>99.13214285714285</v>
      </c>
    </row>
    <row r="957" spans="1:13" ht="78.75">
      <c r="A957" s="26" t="s">
        <v>178</v>
      </c>
      <c r="B957" s="42" t="s">
        <v>543</v>
      </c>
      <c r="C957" s="42" t="s">
        <v>285</v>
      </c>
      <c r="D957" s="42" t="s">
        <v>555</v>
      </c>
      <c r="E957" s="42" t="s">
        <v>179</v>
      </c>
      <c r="F957" s="7" t="e">
        <f>F958</f>
        <v>#REF!</v>
      </c>
      <c r="G957" s="7" t="e">
        <f aca="true" t="shared" si="391" ref="G957:L957">G958</f>
        <v>#REF!</v>
      </c>
      <c r="H957" s="7" t="e">
        <f t="shared" si="391"/>
        <v>#REF!</v>
      </c>
      <c r="I957" s="7" t="e">
        <f t="shared" si="391"/>
        <v>#REF!</v>
      </c>
      <c r="J957" s="7" t="e">
        <f t="shared" si="391"/>
        <v>#REF!</v>
      </c>
      <c r="K957" s="7">
        <f t="shared" si="391"/>
        <v>1862</v>
      </c>
      <c r="L957" s="7">
        <f t="shared" si="391"/>
        <v>1858.8</v>
      </c>
      <c r="M957" s="7">
        <f t="shared" si="370"/>
        <v>99.828141783029</v>
      </c>
    </row>
    <row r="958" spans="1:13" ht="31.5">
      <c r="A958" s="26" t="s">
        <v>180</v>
      </c>
      <c r="B958" s="42" t="s">
        <v>543</v>
      </c>
      <c r="C958" s="42" t="s">
        <v>285</v>
      </c>
      <c r="D958" s="42" t="s">
        <v>555</v>
      </c>
      <c r="E958" s="42" t="s">
        <v>181</v>
      </c>
      <c r="F958" s="7" t="e">
        <f>#REF!</f>
        <v>#REF!</v>
      </c>
      <c r="G958" s="7" t="e">
        <f>#REF!</f>
        <v>#REF!</v>
      </c>
      <c r="H958" s="7" t="e">
        <f>#REF!</f>
        <v>#REF!</v>
      </c>
      <c r="I958" s="7" t="e">
        <f>#REF!</f>
        <v>#REF!</v>
      </c>
      <c r="J958" s="7" t="e">
        <f>#REF!</f>
        <v>#REF!</v>
      </c>
      <c r="K958" s="7">
        <f>'Прил.№4 ведомств.'!G855</f>
        <v>1862</v>
      </c>
      <c r="L958" s="7">
        <f>'Прил.№4 ведомств.'!H855</f>
        <v>1858.8</v>
      </c>
      <c r="M958" s="7">
        <f t="shared" si="370"/>
        <v>99.828141783029</v>
      </c>
    </row>
    <row r="959" spans="1:13" ht="31.5">
      <c r="A959" s="31" t="s">
        <v>182</v>
      </c>
      <c r="B959" s="42" t="s">
        <v>543</v>
      </c>
      <c r="C959" s="42" t="s">
        <v>285</v>
      </c>
      <c r="D959" s="42" t="s">
        <v>555</v>
      </c>
      <c r="E959" s="42" t="s">
        <v>183</v>
      </c>
      <c r="F959" s="7" t="e">
        <f>F960</f>
        <v>#REF!</v>
      </c>
      <c r="G959" s="7" t="e">
        <f aca="true" t="shared" si="392" ref="G959:L959">G960</f>
        <v>#REF!</v>
      </c>
      <c r="H959" s="7" t="e">
        <f t="shared" si="392"/>
        <v>#REF!</v>
      </c>
      <c r="I959" s="7" t="e">
        <f t="shared" si="392"/>
        <v>#REF!</v>
      </c>
      <c r="J959" s="7" t="e">
        <f t="shared" si="392"/>
        <v>#REF!</v>
      </c>
      <c r="K959" s="7">
        <f t="shared" si="392"/>
        <v>938</v>
      </c>
      <c r="L959" s="7">
        <f t="shared" si="392"/>
        <v>916.9</v>
      </c>
      <c r="M959" s="7">
        <f t="shared" si="370"/>
        <v>97.75053304904051</v>
      </c>
    </row>
    <row r="960" spans="1:13" ht="47.25">
      <c r="A960" s="31" t="s">
        <v>184</v>
      </c>
      <c r="B960" s="42" t="s">
        <v>543</v>
      </c>
      <c r="C960" s="42" t="s">
        <v>285</v>
      </c>
      <c r="D960" s="42" t="s">
        <v>555</v>
      </c>
      <c r="E960" s="42" t="s">
        <v>185</v>
      </c>
      <c r="F960" s="7" t="e">
        <f>#REF!</f>
        <v>#REF!</v>
      </c>
      <c r="G960" s="7" t="e">
        <f>#REF!</f>
        <v>#REF!</v>
      </c>
      <c r="H960" s="7" t="e">
        <f>#REF!</f>
        <v>#REF!</v>
      </c>
      <c r="I960" s="7" t="e">
        <f>#REF!</f>
        <v>#REF!</v>
      </c>
      <c r="J960" s="7" t="e">
        <f>#REF!</f>
        <v>#REF!</v>
      </c>
      <c r="K960" s="7">
        <f>'Прил.№4 ведомств.'!G857</f>
        <v>938</v>
      </c>
      <c r="L960" s="7">
        <f>'Прил.№4 ведомств.'!H857</f>
        <v>916.9</v>
      </c>
      <c r="M960" s="7">
        <f t="shared" si="370"/>
        <v>97.75053304904051</v>
      </c>
    </row>
    <row r="961" spans="1:13" ht="15.75">
      <c r="A961" s="31" t="s">
        <v>172</v>
      </c>
      <c r="B961" s="42" t="s">
        <v>543</v>
      </c>
      <c r="C961" s="42" t="s">
        <v>285</v>
      </c>
      <c r="D961" s="42" t="s">
        <v>173</v>
      </c>
      <c r="E961" s="42"/>
      <c r="F961" s="7" t="e">
        <f aca="true" t="shared" si="393" ref="F961:L961">F968+F962</f>
        <v>#REF!</v>
      </c>
      <c r="G961" s="7" t="e">
        <f t="shared" si="393"/>
        <v>#REF!</v>
      </c>
      <c r="H961" s="7" t="e">
        <f t="shared" si="393"/>
        <v>#REF!</v>
      </c>
      <c r="I961" s="7" t="e">
        <f t="shared" si="393"/>
        <v>#REF!</v>
      </c>
      <c r="J961" s="7" t="e">
        <f t="shared" si="393"/>
        <v>#REF!</v>
      </c>
      <c r="K961" s="7">
        <f t="shared" si="393"/>
        <v>8969</v>
      </c>
      <c r="L961" s="7">
        <f t="shared" si="393"/>
        <v>8782.400000000001</v>
      </c>
      <c r="M961" s="7">
        <f t="shared" si="370"/>
        <v>97.9195005017282</v>
      </c>
    </row>
    <row r="962" spans="1:13" ht="31.5">
      <c r="A962" s="31" t="s">
        <v>174</v>
      </c>
      <c r="B962" s="42" t="s">
        <v>543</v>
      </c>
      <c r="C962" s="42" t="s">
        <v>285</v>
      </c>
      <c r="D962" s="42" t="s">
        <v>175</v>
      </c>
      <c r="E962" s="42"/>
      <c r="F962" s="7" t="e">
        <f>F963</f>
        <v>#REF!</v>
      </c>
      <c r="G962" s="7" t="e">
        <f aca="true" t="shared" si="394" ref="G962:L962">G963</f>
        <v>#REF!</v>
      </c>
      <c r="H962" s="7" t="e">
        <f t="shared" si="394"/>
        <v>#REF!</v>
      </c>
      <c r="I962" s="7" t="e">
        <f t="shared" si="394"/>
        <v>#REF!</v>
      </c>
      <c r="J962" s="7" t="e">
        <f t="shared" si="394"/>
        <v>#REF!</v>
      </c>
      <c r="K962" s="7">
        <f t="shared" si="394"/>
        <v>4314.3</v>
      </c>
      <c r="L962" s="7">
        <f t="shared" si="394"/>
        <v>4202.3</v>
      </c>
      <c r="M962" s="7">
        <f t="shared" si="370"/>
        <v>97.40398210601951</v>
      </c>
    </row>
    <row r="963" spans="1:13" ht="33.75" customHeight="1">
      <c r="A963" s="31" t="s">
        <v>176</v>
      </c>
      <c r="B963" s="42" t="s">
        <v>543</v>
      </c>
      <c r="C963" s="42" t="s">
        <v>285</v>
      </c>
      <c r="D963" s="42" t="s">
        <v>177</v>
      </c>
      <c r="E963" s="42"/>
      <c r="F963" s="7" t="e">
        <f aca="true" t="shared" si="395" ref="F963:L963">F964+F966</f>
        <v>#REF!</v>
      </c>
      <c r="G963" s="7" t="e">
        <f t="shared" si="395"/>
        <v>#REF!</v>
      </c>
      <c r="H963" s="7" t="e">
        <f t="shared" si="395"/>
        <v>#REF!</v>
      </c>
      <c r="I963" s="7" t="e">
        <f t="shared" si="395"/>
        <v>#REF!</v>
      </c>
      <c r="J963" s="7" t="e">
        <f t="shared" si="395"/>
        <v>#REF!</v>
      </c>
      <c r="K963" s="7">
        <f t="shared" si="395"/>
        <v>4314.3</v>
      </c>
      <c r="L963" s="7">
        <f t="shared" si="395"/>
        <v>4202.3</v>
      </c>
      <c r="M963" s="7">
        <f t="shared" si="370"/>
        <v>97.40398210601951</v>
      </c>
    </row>
    <row r="964" spans="1:13" ht="78.75">
      <c r="A964" s="31" t="s">
        <v>178</v>
      </c>
      <c r="B964" s="42" t="s">
        <v>543</v>
      </c>
      <c r="C964" s="42" t="s">
        <v>285</v>
      </c>
      <c r="D964" s="42" t="s">
        <v>177</v>
      </c>
      <c r="E964" s="42" t="s">
        <v>179</v>
      </c>
      <c r="F964" s="63" t="e">
        <f>F965</f>
        <v>#REF!</v>
      </c>
      <c r="G964" s="63" t="e">
        <f aca="true" t="shared" si="396" ref="G964:L964">G965</f>
        <v>#REF!</v>
      </c>
      <c r="H964" s="63" t="e">
        <f t="shared" si="396"/>
        <v>#REF!</v>
      </c>
      <c r="I964" s="63" t="e">
        <f t="shared" si="396"/>
        <v>#REF!</v>
      </c>
      <c r="J964" s="63" t="e">
        <f t="shared" si="396"/>
        <v>#REF!</v>
      </c>
      <c r="K964" s="63">
        <f t="shared" si="396"/>
        <v>4314.3</v>
      </c>
      <c r="L964" s="63">
        <f t="shared" si="396"/>
        <v>4202.3</v>
      </c>
      <c r="M964" s="7">
        <f t="shared" si="370"/>
        <v>97.40398210601951</v>
      </c>
    </row>
    <row r="965" spans="1:13" ht="31.5">
      <c r="A965" s="31" t="s">
        <v>180</v>
      </c>
      <c r="B965" s="42" t="s">
        <v>543</v>
      </c>
      <c r="C965" s="42" t="s">
        <v>285</v>
      </c>
      <c r="D965" s="42" t="s">
        <v>177</v>
      </c>
      <c r="E965" s="42" t="s">
        <v>181</v>
      </c>
      <c r="F965" s="63" t="e">
        <f>#REF!</f>
        <v>#REF!</v>
      </c>
      <c r="G965" s="63" t="e">
        <f>#REF!</f>
        <v>#REF!</v>
      </c>
      <c r="H965" s="63" t="e">
        <f>#REF!</f>
        <v>#REF!</v>
      </c>
      <c r="I965" s="63" t="e">
        <f>#REF!</f>
        <v>#REF!</v>
      </c>
      <c r="J965" s="63" t="e">
        <f>#REF!</f>
        <v>#REF!</v>
      </c>
      <c r="K965" s="63">
        <f>'Прил.№4 ведомств.'!G862</f>
        <v>4314.3</v>
      </c>
      <c r="L965" s="63">
        <f>'Прил.№4 ведомств.'!H862</f>
        <v>4202.3</v>
      </c>
      <c r="M965" s="7">
        <f t="shared" si="370"/>
        <v>97.40398210601951</v>
      </c>
    </row>
    <row r="966" spans="1:13" ht="31.5" customHeight="1" hidden="1">
      <c r="A966" s="31" t="s">
        <v>182</v>
      </c>
      <c r="B966" s="42" t="s">
        <v>543</v>
      </c>
      <c r="C966" s="42" t="s">
        <v>285</v>
      </c>
      <c r="D966" s="42" t="s">
        <v>177</v>
      </c>
      <c r="E966" s="42" t="s">
        <v>183</v>
      </c>
      <c r="F966" s="63">
        <f>F967</f>
        <v>0</v>
      </c>
      <c r="G966" s="63">
        <f aca="true" t="shared" si="397" ref="G966:L966">G967</f>
        <v>0</v>
      </c>
      <c r="H966" s="63" t="e">
        <f t="shared" si="397"/>
        <v>#REF!</v>
      </c>
      <c r="I966" s="63" t="e">
        <f t="shared" si="397"/>
        <v>#REF!</v>
      </c>
      <c r="J966" s="63" t="e">
        <f t="shared" si="397"/>
        <v>#REF!</v>
      </c>
      <c r="K966" s="63">
        <f t="shared" si="397"/>
        <v>0</v>
      </c>
      <c r="L966" s="63">
        <f t="shared" si="397"/>
        <v>0</v>
      </c>
      <c r="M966" s="7" t="e">
        <f t="shared" si="370"/>
        <v>#DIV/0!</v>
      </c>
    </row>
    <row r="967" spans="1:13" ht="47.25" customHeight="1" hidden="1">
      <c r="A967" s="31" t="s">
        <v>184</v>
      </c>
      <c r="B967" s="42" t="s">
        <v>543</v>
      </c>
      <c r="C967" s="42" t="s">
        <v>285</v>
      </c>
      <c r="D967" s="42" t="s">
        <v>177</v>
      </c>
      <c r="E967" s="42" t="s">
        <v>185</v>
      </c>
      <c r="F967" s="63">
        <v>0</v>
      </c>
      <c r="G967" s="63">
        <v>0</v>
      </c>
      <c r="H967" s="63" t="e">
        <f>#REF!</f>
        <v>#REF!</v>
      </c>
      <c r="I967" s="63" t="e">
        <f>#REF!</f>
        <v>#REF!</v>
      </c>
      <c r="J967" s="63" t="e">
        <f>#REF!</f>
        <v>#REF!</v>
      </c>
      <c r="K967" s="63">
        <f>'Прил.№4 ведомств.'!G864</f>
        <v>0</v>
      </c>
      <c r="L967" s="63">
        <f>'Прил.№4 ведомств.'!H864</f>
        <v>0</v>
      </c>
      <c r="M967" s="7" t="e">
        <f t="shared" si="370"/>
        <v>#DIV/0!</v>
      </c>
    </row>
    <row r="968" spans="1:13" ht="15.75">
      <c r="A968" s="31" t="s">
        <v>192</v>
      </c>
      <c r="B968" s="42" t="s">
        <v>543</v>
      </c>
      <c r="C968" s="42" t="s">
        <v>285</v>
      </c>
      <c r="D968" s="42" t="s">
        <v>193</v>
      </c>
      <c r="E968" s="42"/>
      <c r="F968" s="7" t="e">
        <f>F969</f>
        <v>#REF!</v>
      </c>
      <c r="G968" s="7" t="e">
        <f aca="true" t="shared" si="398" ref="G968:L968">G969</f>
        <v>#REF!</v>
      </c>
      <c r="H968" s="7" t="e">
        <f t="shared" si="398"/>
        <v>#REF!</v>
      </c>
      <c r="I968" s="7" t="e">
        <f t="shared" si="398"/>
        <v>#REF!</v>
      </c>
      <c r="J968" s="7" t="e">
        <f t="shared" si="398"/>
        <v>#REF!</v>
      </c>
      <c r="K968" s="7">
        <f t="shared" si="398"/>
        <v>4654.699999999999</v>
      </c>
      <c r="L968" s="7">
        <f t="shared" si="398"/>
        <v>4580.1</v>
      </c>
      <c r="M968" s="7">
        <f t="shared" si="370"/>
        <v>98.39731883902296</v>
      </c>
    </row>
    <row r="969" spans="1:13" ht="31.5">
      <c r="A969" s="26" t="s">
        <v>391</v>
      </c>
      <c r="B969" s="42" t="s">
        <v>543</v>
      </c>
      <c r="C969" s="42" t="s">
        <v>285</v>
      </c>
      <c r="D969" s="42" t="s">
        <v>392</v>
      </c>
      <c r="E969" s="42"/>
      <c r="F969" s="7" t="e">
        <f aca="true" t="shared" si="399" ref="F969:L969">F970+F972+F974</f>
        <v>#REF!</v>
      </c>
      <c r="G969" s="7" t="e">
        <f t="shared" si="399"/>
        <v>#REF!</v>
      </c>
      <c r="H969" s="7" t="e">
        <f t="shared" si="399"/>
        <v>#REF!</v>
      </c>
      <c r="I969" s="7" t="e">
        <f t="shared" si="399"/>
        <v>#REF!</v>
      </c>
      <c r="J969" s="7" t="e">
        <f t="shared" si="399"/>
        <v>#REF!</v>
      </c>
      <c r="K969" s="7">
        <f t="shared" si="399"/>
        <v>4654.699999999999</v>
      </c>
      <c r="L969" s="7">
        <f t="shared" si="399"/>
        <v>4580.1</v>
      </c>
      <c r="M969" s="7">
        <f t="shared" si="370"/>
        <v>98.39731883902296</v>
      </c>
    </row>
    <row r="970" spans="1:13" ht="78.75">
      <c r="A970" s="31" t="s">
        <v>178</v>
      </c>
      <c r="B970" s="42" t="s">
        <v>543</v>
      </c>
      <c r="C970" s="42" t="s">
        <v>285</v>
      </c>
      <c r="D970" s="42" t="s">
        <v>392</v>
      </c>
      <c r="E970" s="42" t="s">
        <v>179</v>
      </c>
      <c r="F970" s="63" t="e">
        <f>F971</f>
        <v>#REF!</v>
      </c>
      <c r="G970" s="63" t="e">
        <f aca="true" t="shared" si="400" ref="G970:L970">G971</f>
        <v>#REF!</v>
      </c>
      <c r="H970" s="63" t="e">
        <f t="shared" si="400"/>
        <v>#REF!</v>
      </c>
      <c r="I970" s="63" t="e">
        <f t="shared" si="400"/>
        <v>#REF!</v>
      </c>
      <c r="J970" s="63" t="e">
        <f t="shared" si="400"/>
        <v>#REF!</v>
      </c>
      <c r="K970" s="63">
        <f t="shared" si="400"/>
        <v>3950.4999999999995</v>
      </c>
      <c r="L970" s="63">
        <f t="shared" si="400"/>
        <v>3940.9</v>
      </c>
      <c r="M970" s="7">
        <f t="shared" si="370"/>
        <v>99.75699278572334</v>
      </c>
    </row>
    <row r="971" spans="1:13" ht="31.5">
      <c r="A971" s="31" t="s">
        <v>393</v>
      </c>
      <c r="B971" s="42" t="s">
        <v>543</v>
      </c>
      <c r="C971" s="42" t="s">
        <v>285</v>
      </c>
      <c r="D971" s="42" t="s">
        <v>392</v>
      </c>
      <c r="E971" s="42" t="s">
        <v>260</v>
      </c>
      <c r="F971" s="63" t="e">
        <f>#REF!</f>
        <v>#REF!</v>
      </c>
      <c r="G971" s="63" t="e">
        <f>#REF!</f>
        <v>#REF!</v>
      </c>
      <c r="H971" s="63" t="e">
        <f>#REF!</f>
        <v>#REF!</v>
      </c>
      <c r="I971" s="63" t="e">
        <f>#REF!</f>
        <v>#REF!</v>
      </c>
      <c r="J971" s="63" t="e">
        <f>#REF!</f>
        <v>#REF!</v>
      </c>
      <c r="K971" s="63">
        <f>'Прил.№4 ведомств.'!G868</f>
        <v>3950.4999999999995</v>
      </c>
      <c r="L971" s="63">
        <f>'Прил.№4 ведомств.'!H868</f>
        <v>3940.9</v>
      </c>
      <c r="M971" s="7">
        <f t="shared" si="370"/>
        <v>99.75699278572334</v>
      </c>
    </row>
    <row r="972" spans="1:13" ht="31.5">
      <c r="A972" s="31" t="s">
        <v>182</v>
      </c>
      <c r="B972" s="42" t="s">
        <v>543</v>
      </c>
      <c r="C972" s="42" t="s">
        <v>285</v>
      </c>
      <c r="D972" s="42" t="s">
        <v>392</v>
      </c>
      <c r="E972" s="42" t="s">
        <v>183</v>
      </c>
      <c r="F972" s="63" t="e">
        <f>F973</f>
        <v>#REF!</v>
      </c>
      <c r="G972" s="63" t="e">
        <f aca="true" t="shared" si="401" ref="G972:L972">G973</f>
        <v>#REF!</v>
      </c>
      <c r="H972" s="63" t="e">
        <f t="shared" si="401"/>
        <v>#REF!</v>
      </c>
      <c r="I972" s="63" t="e">
        <f t="shared" si="401"/>
        <v>#REF!</v>
      </c>
      <c r="J972" s="63" t="e">
        <f t="shared" si="401"/>
        <v>#REF!</v>
      </c>
      <c r="K972" s="63">
        <f t="shared" si="401"/>
        <v>692.9999999999998</v>
      </c>
      <c r="L972" s="63">
        <f t="shared" si="401"/>
        <v>633.1</v>
      </c>
      <c r="M972" s="7">
        <f aca="true" t="shared" si="402" ref="M972:M987">L972/K972*100</f>
        <v>91.3564213564214</v>
      </c>
    </row>
    <row r="973" spans="1:13" ht="47.25">
      <c r="A973" s="31" t="s">
        <v>184</v>
      </c>
      <c r="B973" s="42" t="s">
        <v>543</v>
      </c>
      <c r="C973" s="42" t="s">
        <v>285</v>
      </c>
      <c r="D973" s="42" t="s">
        <v>392</v>
      </c>
      <c r="E973" s="42" t="s">
        <v>185</v>
      </c>
      <c r="F973" s="63" t="e">
        <f>#REF!</f>
        <v>#REF!</v>
      </c>
      <c r="G973" s="63" t="e">
        <f>#REF!</f>
        <v>#REF!</v>
      </c>
      <c r="H973" s="63" t="e">
        <f>#REF!</f>
        <v>#REF!</v>
      </c>
      <c r="I973" s="63" t="e">
        <f>#REF!</f>
        <v>#REF!</v>
      </c>
      <c r="J973" s="63" t="e">
        <f>#REF!</f>
        <v>#REF!</v>
      </c>
      <c r="K973" s="63">
        <f>'Прил.№4 ведомств.'!G870</f>
        <v>692.9999999999998</v>
      </c>
      <c r="L973" s="63">
        <f>'Прил.№4 ведомств.'!H870</f>
        <v>633.1</v>
      </c>
      <c r="M973" s="7">
        <f t="shared" si="402"/>
        <v>91.3564213564214</v>
      </c>
    </row>
    <row r="974" spans="1:13" ht="15.75">
      <c r="A974" s="31" t="s">
        <v>186</v>
      </c>
      <c r="B974" s="42" t="s">
        <v>543</v>
      </c>
      <c r="C974" s="42" t="s">
        <v>285</v>
      </c>
      <c r="D974" s="42" t="s">
        <v>392</v>
      </c>
      <c r="E974" s="42" t="s">
        <v>196</v>
      </c>
      <c r="F974" s="7" t="e">
        <f>F975</f>
        <v>#REF!</v>
      </c>
      <c r="G974" s="7" t="e">
        <f aca="true" t="shared" si="403" ref="G974:L974">G975</f>
        <v>#REF!</v>
      </c>
      <c r="H974" s="7" t="e">
        <f t="shared" si="403"/>
        <v>#REF!</v>
      </c>
      <c r="I974" s="7" t="e">
        <f t="shared" si="403"/>
        <v>#REF!</v>
      </c>
      <c r="J974" s="7" t="e">
        <f t="shared" si="403"/>
        <v>#REF!</v>
      </c>
      <c r="K974" s="7">
        <f t="shared" si="403"/>
        <v>11.200000000000003</v>
      </c>
      <c r="L974" s="7">
        <f t="shared" si="403"/>
        <v>6.1</v>
      </c>
      <c r="M974" s="7">
        <f t="shared" si="402"/>
        <v>54.4642857142857</v>
      </c>
    </row>
    <row r="975" spans="1:13" ht="15.75">
      <c r="A975" s="31" t="s">
        <v>188</v>
      </c>
      <c r="B975" s="42" t="s">
        <v>543</v>
      </c>
      <c r="C975" s="42" t="s">
        <v>285</v>
      </c>
      <c r="D975" s="42" t="s">
        <v>392</v>
      </c>
      <c r="E975" s="42" t="s">
        <v>189</v>
      </c>
      <c r="F975" s="7" t="e">
        <f>#REF!</f>
        <v>#REF!</v>
      </c>
      <c r="G975" s="7" t="e">
        <f>#REF!</f>
        <v>#REF!</v>
      </c>
      <c r="H975" s="7" t="e">
        <f>#REF!</f>
        <v>#REF!</v>
      </c>
      <c r="I975" s="7" t="e">
        <f>#REF!</f>
        <v>#REF!</v>
      </c>
      <c r="J975" s="7" t="e">
        <f>#REF!</f>
        <v>#REF!</v>
      </c>
      <c r="K975" s="7">
        <f>'Прил.№4 ведомств.'!G872</f>
        <v>11.200000000000003</v>
      </c>
      <c r="L975" s="7">
        <f>'Прил.№4 ведомств.'!H872</f>
        <v>6.1</v>
      </c>
      <c r="M975" s="7">
        <f t="shared" si="402"/>
        <v>54.4642857142857</v>
      </c>
    </row>
    <row r="976" spans="1:13" ht="15.75">
      <c r="A976" s="43" t="s">
        <v>634</v>
      </c>
      <c r="B976" s="8" t="s">
        <v>289</v>
      </c>
      <c r="C976" s="42"/>
      <c r="D976" s="42"/>
      <c r="E976" s="42"/>
      <c r="F976" s="4" t="e">
        <f>F977</f>
        <v>#REF!</v>
      </c>
      <c r="G976" s="4" t="e">
        <f aca="true" t="shared" si="404" ref="G976:L979">G977</f>
        <v>#REF!</v>
      </c>
      <c r="H976" s="4" t="e">
        <f t="shared" si="404"/>
        <v>#REF!</v>
      </c>
      <c r="I976" s="4" t="e">
        <f t="shared" si="404"/>
        <v>#REF!</v>
      </c>
      <c r="J976" s="4" t="e">
        <f t="shared" si="404"/>
        <v>#REF!</v>
      </c>
      <c r="K976" s="4">
        <f t="shared" si="404"/>
        <v>6764.8</v>
      </c>
      <c r="L976" s="4">
        <f t="shared" si="404"/>
        <v>6699.3</v>
      </c>
      <c r="M976" s="4">
        <f t="shared" si="402"/>
        <v>99.03175260170293</v>
      </c>
    </row>
    <row r="977" spans="1:13" ht="15.75">
      <c r="A977" s="43" t="s">
        <v>635</v>
      </c>
      <c r="B977" s="8" t="s">
        <v>289</v>
      </c>
      <c r="C977" s="8" t="s">
        <v>264</v>
      </c>
      <c r="D977" s="8"/>
      <c r="E977" s="8"/>
      <c r="F977" s="4" t="e">
        <f>F978</f>
        <v>#REF!</v>
      </c>
      <c r="G977" s="4" t="e">
        <f t="shared" si="404"/>
        <v>#REF!</v>
      </c>
      <c r="H977" s="4" t="e">
        <f t="shared" si="404"/>
        <v>#REF!</v>
      </c>
      <c r="I977" s="4" t="e">
        <f t="shared" si="404"/>
        <v>#REF!</v>
      </c>
      <c r="J977" s="4" t="e">
        <f t="shared" si="404"/>
        <v>#REF!</v>
      </c>
      <c r="K977" s="4">
        <f t="shared" si="404"/>
        <v>6764.8</v>
      </c>
      <c r="L977" s="4">
        <f t="shared" si="404"/>
        <v>6699.3</v>
      </c>
      <c r="M977" s="4">
        <f t="shared" si="402"/>
        <v>99.03175260170293</v>
      </c>
    </row>
    <row r="978" spans="1:13" ht="15.75">
      <c r="A978" s="31" t="s">
        <v>172</v>
      </c>
      <c r="B978" s="42" t="s">
        <v>289</v>
      </c>
      <c r="C978" s="42" t="s">
        <v>264</v>
      </c>
      <c r="D978" s="42" t="s">
        <v>173</v>
      </c>
      <c r="E978" s="42"/>
      <c r="F978" s="7" t="e">
        <f>F979</f>
        <v>#REF!</v>
      </c>
      <c r="G978" s="7" t="e">
        <f t="shared" si="404"/>
        <v>#REF!</v>
      </c>
      <c r="H978" s="7" t="e">
        <f t="shared" si="404"/>
        <v>#REF!</v>
      </c>
      <c r="I978" s="7" t="e">
        <f t="shared" si="404"/>
        <v>#REF!</v>
      </c>
      <c r="J978" s="7" t="e">
        <f t="shared" si="404"/>
        <v>#REF!</v>
      </c>
      <c r="K978" s="7">
        <f t="shared" si="404"/>
        <v>6764.8</v>
      </c>
      <c r="L978" s="7">
        <f t="shared" si="404"/>
        <v>6699.3</v>
      </c>
      <c r="M978" s="7">
        <f t="shared" si="402"/>
        <v>99.03175260170293</v>
      </c>
    </row>
    <row r="979" spans="1:13" ht="31.5">
      <c r="A979" s="31" t="s">
        <v>636</v>
      </c>
      <c r="B979" s="42" t="s">
        <v>289</v>
      </c>
      <c r="C979" s="42" t="s">
        <v>264</v>
      </c>
      <c r="D979" s="42" t="s">
        <v>637</v>
      </c>
      <c r="E979" s="42"/>
      <c r="F979" s="7" t="e">
        <f>F980</f>
        <v>#REF!</v>
      </c>
      <c r="G979" s="7" t="e">
        <f t="shared" si="404"/>
        <v>#REF!</v>
      </c>
      <c r="H979" s="7" t="e">
        <f t="shared" si="404"/>
        <v>#REF!</v>
      </c>
      <c r="I979" s="7" t="e">
        <f t="shared" si="404"/>
        <v>#REF!</v>
      </c>
      <c r="J979" s="7" t="e">
        <f t="shared" si="404"/>
        <v>#REF!</v>
      </c>
      <c r="K979" s="7">
        <f t="shared" si="404"/>
        <v>6764.8</v>
      </c>
      <c r="L979" s="7">
        <f t="shared" si="404"/>
        <v>6699.3</v>
      </c>
      <c r="M979" s="7">
        <f t="shared" si="402"/>
        <v>99.03175260170293</v>
      </c>
    </row>
    <row r="980" spans="1:13" ht="31.5">
      <c r="A980" s="31" t="s">
        <v>692</v>
      </c>
      <c r="B980" s="42" t="s">
        <v>289</v>
      </c>
      <c r="C980" s="42" t="s">
        <v>264</v>
      </c>
      <c r="D980" s="42" t="s">
        <v>638</v>
      </c>
      <c r="E980" s="42"/>
      <c r="F980" s="7" t="e">
        <f aca="true" t="shared" si="405" ref="F980:L980">F981+F983+F985</f>
        <v>#REF!</v>
      </c>
      <c r="G980" s="7" t="e">
        <f t="shared" si="405"/>
        <v>#REF!</v>
      </c>
      <c r="H980" s="7" t="e">
        <f t="shared" si="405"/>
        <v>#REF!</v>
      </c>
      <c r="I980" s="7" t="e">
        <f t="shared" si="405"/>
        <v>#REF!</v>
      </c>
      <c r="J980" s="7" t="e">
        <f t="shared" si="405"/>
        <v>#REF!</v>
      </c>
      <c r="K980" s="7">
        <f t="shared" si="405"/>
        <v>6764.8</v>
      </c>
      <c r="L980" s="7">
        <f t="shared" si="405"/>
        <v>6699.3</v>
      </c>
      <c r="M980" s="7">
        <f t="shared" si="402"/>
        <v>99.03175260170293</v>
      </c>
    </row>
    <row r="981" spans="1:13" ht="78.75">
      <c r="A981" s="31" t="s">
        <v>178</v>
      </c>
      <c r="B981" s="42" t="s">
        <v>289</v>
      </c>
      <c r="C981" s="42" t="s">
        <v>264</v>
      </c>
      <c r="D981" s="42" t="s">
        <v>638</v>
      </c>
      <c r="E981" s="42" t="s">
        <v>179</v>
      </c>
      <c r="F981" s="63" t="e">
        <f>F982</f>
        <v>#REF!</v>
      </c>
      <c r="G981" s="63" t="e">
        <f aca="true" t="shared" si="406" ref="G981:L981">G982</f>
        <v>#REF!</v>
      </c>
      <c r="H981" s="63" t="e">
        <f t="shared" si="406"/>
        <v>#REF!</v>
      </c>
      <c r="I981" s="63" t="e">
        <f t="shared" si="406"/>
        <v>#REF!</v>
      </c>
      <c r="J981" s="63" t="e">
        <f t="shared" si="406"/>
        <v>#REF!</v>
      </c>
      <c r="K981" s="63">
        <f t="shared" si="406"/>
        <v>5889.5</v>
      </c>
      <c r="L981" s="63">
        <f t="shared" si="406"/>
        <v>5882.1</v>
      </c>
      <c r="M981" s="7">
        <f t="shared" si="402"/>
        <v>99.87435266151627</v>
      </c>
    </row>
    <row r="982" spans="1:13" ht="31.5">
      <c r="A982" s="31" t="s">
        <v>259</v>
      </c>
      <c r="B982" s="42" t="s">
        <v>289</v>
      </c>
      <c r="C982" s="42" t="s">
        <v>264</v>
      </c>
      <c r="D982" s="42" t="s">
        <v>638</v>
      </c>
      <c r="E982" s="42" t="s">
        <v>260</v>
      </c>
      <c r="F982" s="63" t="e">
        <f>#REF!</f>
        <v>#REF!</v>
      </c>
      <c r="G982" s="63" t="e">
        <f>#REF!</f>
        <v>#REF!</v>
      </c>
      <c r="H982" s="63" t="e">
        <f>#REF!</f>
        <v>#REF!</v>
      </c>
      <c r="I982" s="63" t="e">
        <f>#REF!</f>
        <v>#REF!</v>
      </c>
      <c r="J982" s="63" t="e">
        <f>#REF!</f>
        <v>#REF!</v>
      </c>
      <c r="K982" s="63">
        <f>'Прил.№4 ведомств.'!G1142</f>
        <v>5889.5</v>
      </c>
      <c r="L982" s="63">
        <f>'Прил.№4 ведомств.'!H1142</f>
        <v>5882.1</v>
      </c>
      <c r="M982" s="7">
        <f t="shared" si="402"/>
        <v>99.87435266151627</v>
      </c>
    </row>
    <row r="983" spans="1:13" ht="31.5">
      <c r="A983" s="31" t="s">
        <v>182</v>
      </c>
      <c r="B983" s="42" t="s">
        <v>289</v>
      </c>
      <c r="C983" s="42" t="s">
        <v>264</v>
      </c>
      <c r="D983" s="42" t="s">
        <v>638</v>
      </c>
      <c r="E983" s="42" t="s">
        <v>183</v>
      </c>
      <c r="F983" s="7" t="e">
        <f>F984</f>
        <v>#REF!</v>
      </c>
      <c r="G983" s="7" t="e">
        <f aca="true" t="shared" si="407" ref="G983:L983">G984</f>
        <v>#REF!</v>
      </c>
      <c r="H983" s="7" t="e">
        <f t="shared" si="407"/>
        <v>#REF!</v>
      </c>
      <c r="I983" s="7" t="e">
        <f t="shared" si="407"/>
        <v>#REF!</v>
      </c>
      <c r="J983" s="7" t="e">
        <f t="shared" si="407"/>
        <v>#REF!</v>
      </c>
      <c r="K983" s="7">
        <f t="shared" si="407"/>
        <v>847.8</v>
      </c>
      <c r="L983" s="7">
        <f t="shared" si="407"/>
        <v>789.9</v>
      </c>
      <c r="M983" s="7">
        <f t="shared" si="402"/>
        <v>93.17055909412598</v>
      </c>
    </row>
    <row r="984" spans="1:13" ht="47.25">
      <c r="A984" s="31" t="s">
        <v>184</v>
      </c>
      <c r="B984" s="42" t="s">
        <v>289</v>
      </c>
      <c r="C984" s="42" t="s">
        <v>264</v>
      </c>
      <c r="D984" s="42" t="s">
        <v>638</v>
      </c>
      <c r="E984" s="42" t="s">
        <v>185</v>
      </c>
      <c r="F984" s="7" t="e">
        <f>#REF!</f>
        <v>#REF!</v>
      </c>
      <c r="G984" s="7" t="e">
        <f>#REF!</f>
        <v>#REF!</v>
      </c>
      <c r="H984" s="7" t="e">
        <f>#REF!</f>
        <v>#REF!</v>
      </c>
      <c r="I984" s="7" t="e">
        <f>#REF!</f>
        <v>#REF!</v>
      </c>
      <c r="J984" s="7" t="e">
        <f>#REF!</f>
        <v>#REF!</v>
      </c>
      <c r="K984" s="7">
        <f>'Прил.№4 ведомств.'!G1144</f>
        <v>847.8</v>
      </c>
      <c r="L984" s="7">
        <f>'Прил.№4 ведомств.'!H1144</f>
        <v>789.9</v>
      </c>
      <c r="M984" s="7">
        <f t="shared" si="402"/>
        <v>93.17055909412598</v>
      </c>
    </row>
    <row r="985" spans="1:13" ht="15.75">
      <c r="A985" s="31" t="s">
        <v>186</v>
      </c>
      <c r="B985" s="42" t="s">
        <v>289</v>
      </c>
      <c r="C985" s="42" t="s">
        <v>264</v>
      </c>
      <c r="D985" s="42" t="s">
        <v>638</v>
      </c>
      <c r="E985" s="42" t="s">
        <v>196</v>
      </c>
      <c r="F985" s="7" t="e">
        <f>F986</f>
        <v>#REF!</v>
      </c>
      <c r="G985" s="7" t="e">
        <f aca="true" t="shared" si="408" ref="G985:L985">G986</f>
        <v>#REF!</v>
      </c>
      <c r="H985" s="7" t="e">
        <f t="shared" si="408"/>
        <v>#REF!</v>
      </c>
      <c r="I985" s="7" t="e">
        <f t="shared" si="408"/>
        <v>#REF!</v>
      </c>
      <c r="J985" s="7" t="e">
        <f t="shared" si="408"/>
        <v>#REF!</v>
      </c>
      <c r="K985" s="7">
        <f t="shared" si="408"/>
        <v>27.5</v>
      </c>
      <c r="L985" s="7">
        <f t="shared" si="408"/>
        <v>27.3</v>
      </c>
      <c r="M985" s="7">
        <f t="shared" si="402"/>
        <v>99.27272727272728</v>
      </c>
    </row>
    <row r="986" spans="1:13" ht="15.75">
      <c r="A986" s="31" t="s">
        <v>188</v>
      </c>
      <c r="B986" s="42" t="s">
        <v>289</v>
      </c>
      <c r="C986" s="42" t="s">
        <v>264</v>
      </c>
      <c r="D986" s="42" t="s">
        <v>638</v>
      </c>
      <c r="E986" s="42" t="s">
        <v>189</v>
      </c>
      <c r="F986" s="7" t="e">
        <f>#REF!</f>
        <v>#REF!</v>
      </c>
      <c r="G986" s="7" t="e">
        <f>#REF!</f>
        <v>#REF!</v>
      </c>
      <c r="H986" s="7" t="e">
        <f>#REF!</f>
        <v>#REF!</v>
      </c>
      <c r="I986" s="7" t="e">
        <f>#REF!</f>
        <v>#REF!</v>
      </c>
      <c r="J986" s="7" t="e">
        <f>#REF!</f>
        <v>#REF!</v>
      </c>
      <c r="K986" s="7">
        <f>'Прил.№4 ведомств.'!G1146</f>
        <v>27.5</v>
      </c>
      <c r="L986" s="7">
        <f>'Прил.№4 ведомств.'!H1146</f>
        <v>27.3</v>
      </c>
      <c r="M986" s="7">
        <f t="shared" si="402"/>
        <v>99.27272727272728</v>
      </c>
    </row>
    <row r="987" spans="1:13" ht="15.75">
      <c r="A987" s="71" t="s">
        <v>639</v>
      </c>
      <c r="B987" s="8"/>
      <c r="C987" s="8"/>
      <c r="D987" s="8"/>
      <c r="E987" s="8"/>
      <c r="F987" s="72" t="e">
        <f aca="true" t="shared" si="409" ref="F987:K987">F11+F215+F233+F278+F452+F694+F816+F925+F976+F208</f>
        <v>#REF!</v>
      </c>
      <c r="G987" s="72" t="e">
        <f t="shared" si="409"/>
        <v>#REF!</v>
      </c>
      <c r="H987" s="72" t="e">
        <f t="shared" si="409"/>
        <v>#REF!</v>
      </c>
      <c r="I987" s="72" t="e">
        <f t="shared" si="409"/>
        <v>#REF!</v>
      </c>
      <c r="J987" s="72" t="e">
        <f t="shared" si="409"/>
        <v>#REF!</v>
      </c>
      <c r="K987" s="72">
        <f t="shared" si="409"/>
        <v>777897.58</v>
      </c>
      <c r="L987" s="72">
        <f>L11+L215+L233+L278+L452+L694+L816+L925+L976+L208</f>
        <v>759777.6</v>
      </c>
      <c r="M987" s="4">
        <f t="shared" si="402"/>
        <v>97.67064707927231</v>
      </c>
    </row>
    <row r="988" spans="8:13" ht="15" hidden="1">
      <c r="H988" t="e">
        <f>#REF!</f>
        <v>#REF!</v>
      </c>
      <c r="I988" t="e">
        <f>#REF!</f>
        <v>#REF!</v>
      </c>
      <c r="J988" t="e">
        <f>#REF!</f>
        <v>#REF!</v>
      </c>
      <c r="K988">
        <f>'Прил.№4 ведомств.'!G1147</f>
        <v>777897.5800000001</v>
      </c>
      <c r="L988">
        <f>'Прил.№4 ведомств.'!H1147</f>
        <v>759777.6</v>
      </c>
      <c r="M988">
        <f>'Прил.№4 ведомств.'!I1147</f>
        <v>97.6706470792723</v>
      </c>
    </row>
    <row r="989" spans="8:13" ht="15" hidden="1">
      <c r="H989" s="23" t="e">
        <f aca="true" t="shared" si="410" ref="H989:M989">H988-H987</f>
        <v>#REF!</v>
      </c>
      <c r="I989" s="23" t="e">
        <f t="shared" si="410"/>
        <v>#REF!</v>
      </c>
      <c r="J989" s="23" t="e">
        <f t="shared" si="410"/>
        <v>#REF!</v>
      </c>
      <c r="K989" s="23">
        <f t="shared" si="410"/>
        <v>0</v>
      </c>
      <c r="L989" s="23">
        <f t="shared" si="410"/>
        <v>0</v>
      </c>
      <c r="M989" s="23">
        <f t="shared" si="410"/>
        <v>0</v>
      </c>
    </row>
  </sheetData>
  <mergeCells count="14">
    <mergeCell ref="A5:M5"/>
    <mergeCell ref="A8:A9"/>
    <mergeCell ref="B8:B9"/>
    <mergeCell ref="C8:C9"/>
    <mergeCell ref="D8:D9"/>
    <mergeCell ref="E8:E9"/>
    <mergeCell ref="L8:L9"/>
    <mergeCell ref="M8:M9"/>
    <mergeCell ref="F8:F9"/>
    <mergeCell ref="G8:G9"/>
    <mergeCell ref="H8:H9"/>
    <mergeCell ref="I8:I9"/>
    <mergeCell ref="J8:J9"/>
    <mergeCell ref="K8:K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9"/>
  <sheetViews>
    <sheetView view="pageBreakPreview" zoomScaleSheetLayoutView="100" workbookViewId="0" topLeftCell="A1">
      <selection activeCell="H1" sqref="H1:H2"/>
    </sheetView>
  </sheetViews>
  <sheetFormatPr defaultColWidth="9.140625" defaultRowHeight="15"/>
  <cols>
    <col min="1" max="1" width="48.421875" style="1" customWidth="1"/>
    <col min="2" max="2" width="7.00390625" style="1" customWidth="1"/>
    <col min="3" max="3" width="4.28125" style="1" customWidth="1"/>
    <col min="4" max="4" width="4.8515625" style="1" customWidth="1"/>
    <col min="5" max="5" width="15.140625" style="1" customWidth="1"/>
    <col min="6" max="6" width="5.7109375" style="1" customWidth="1"/>
    <col min="7" max="7" width="13.140625" style="1" customWidth="1"/>
    <col min="8" max="8" width="15.140625" style="1" customWidth="1"/>
    <col min="9" max="9" width="12.140625" style="1" customWidth="1"/>
    <col min="10" max="10" width="10.421875" style="207" customWidth="1"/>
    <col min="11" max="11" width="11.00390625" style="280" customWidth="1"/>
    <col min="12" max="12" width="18.140625" style="280" customWidth="1"/>
    <col min="13" max="13" width="10.00390625" style="280" customWidth="1"/>
    <col min="14" max="14" width="22.140625" style="280" customWidth="1"/>
    <col min="15" max="17" width="9.140625" style="280" customWidth="1"/>
    <col min="18" max="18" width="27.140625" style="133" customWidth="1"/>
    <col min="19" max="16384" width="9.140625" style="1" customWidth="1"/>
  </cols>
  <sheetData>
    <row r="1" spans="1:10" ht="18.75">
      <c r="A1" s="74"/>
      <c r="B1" s="74"/>
      <c r="C1" s="74"/>
      <c r="D1" s="74"/>
      <c r="H1" s="379" t="s">
        <v>643</v>
      </c>
      <c r="J1" s="1"/>
    </row>
    <row r="2" spans="1:10" ht="18.75">
      <c r="A2" s="74"/>
      <c r="B2" s="74"/>
      <c r="C2" s="74"/>
      <c r="D2" s="74"/>
      <c r="H2" s="379" t="s">
        <v>1</v>
      </c>
      <c r="J2" s="1"/>
    </row>
    <row r="3" spans="1:10" ht="18.75">
      <c r="A3" s="74"/>
      <c r="B3" s="74"/>
      <c r="C3" s="74"/>
      <c r="D3" s="74"/>
      <c r="H3" s="404"/>
      <c r="I3" s="404"/>
      <c r="J3" s="404"/>
    </row>
    <row r="4" spans="1:6" ht="15.75">
      <c r="A4" s="403"/>
      <c r="B4" s="403"/>
      <c r="C4" s="403"/>
      <c r="D4" s="403"/>
      <c r="E4" s="403"/>
      <c r="F4" s="403"/>
    </row>
    <row r="5" spans="1:9" ht="33.75" customHeight="1">
      <c r="A5" s="391" t="s">
        <v>1070</v>
      </c>
      <c r="B5" s="391"/>
      <c r="C5" s="391"/>
      <c r="D5" s="391"/>
      <c r="E5" s="391"/>
      <c r="F5" s="391"/>
      <c r="G5" s="391"/>
      <c r="H5" s="391"/>
      <c r="I5" s="391"/>
    </row>
    <row r="6" spans="1:6" ht="15.75">
      <c r="A6" s="300"/>
      <c r="B6" s="300"/>
      <c r="C6" s="300"/>
      <c r="D6" s="300"/>
      <c r="E6" s="300"/>
      <c r="F6" s="300"/>
    </row>
    <row r="7" spans="1:9" ht="15.75">
      <c r="A7" s="14"/>
      <c r="B7" s="14"/>
      <c r="C7" s="14"/>
      <c r="D7" s="14"/>
      <c r="E7" s="14"/>
      <c r="F7" s="14"/>
      <c r="G7" s="252"/>
      <c r="H7" s="252"/>
      <c r="I7" s="252"/>
    </row>
    <row r="8" spans="1:9" ht="47.25">
      <c r="A8" s="298" t="s">
        <v>161</v>
      </c>
      <c r="B8" s="298" t="s">
        <v>162</v>
      </c>
      <c r="C8" s="16" t="s">
        <v>163</v>
      </c>
      <c r="D8" s="16" t="s">
        <v>164</v>
      </c>
      <c r="E8" s="16" t="s">
        <v>165</v>
      </c>
      <c r="F8" s="16" t="s">
        <v>166</v>
      </c>
      <c r="G8" s="212" t="s">
        <v>1046</v>
      </c>
      <c r="H8" s="299" t="s">
        <v>1043</v>
      </c>
      <c r="I8" s="212" t="s">
        <v>1044</v>
      </c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2" ht="31.5">
      <c r="A10" s="20" t="s">
        <v>167</v>
      </c>
      <c r="B10" s="20">
        <v>901</v>
      </c>
      <c r="C10" s="21"/>
      <c r="D10" s="21"/>
      <c r="E10" s="21"/>
      <c r="F10" s="21"/>
      <c r="G10" s="22">
        <f>G11</f>
        <v>12421.9</v>
      </c>
      <c r="H10" s="22">
        <f>H11</f>
        <v>12055.6</v>
      </c>
      <c r="I10" s="22">
        <f>H10/G10*100</f>
        <v>97.0511757460614</v>
      </c>
      <c r="K10" s="281"/>
      <c r="L10" s="281"/>
    </row>
    <row r="11" spans="1:9" ht="15.75">
      <c r="A11" s="24" t="s">
        <v>168</v>
      </c>
      <c r="B11" s="20">
        <v>901</v>
      </c>
      <c r="C11" s="25" t="s">
        <v>169</v>
      </c>
      <c r="D11" s="21"/>
      <c r="E11" s="21"/>
      <c r="F11" s="21"/>
      <c r="G11" s="22">
        <f>G12+G22</f>
        <v>12421.9</v>
      </c>
      <c r="H11" s="22">
        <f>H12+H22</f>
        <v>12055.6</v>
      </c>
      <c r="I11" s="22">
        <f aca="true" t="shared" si="0" ref="I11:I74">H11/G11*100</f>
        <v>97.0511757460614</v>
      </c>
    </row>
    <row r="12" spans="1:9" ht="63">
      <c r="A12" s="24" t="s">
        <v>170</v>
      </c>
      <c r="B12" s="20">
        <v>901</v>
      </c>
      <c r="C12" s="25" t="s">
        <v>169</v>
      </c>
      <c r="D12" s="25" t="s">
        <v>171</v>
      </c>
      <c r="E12" s="25"/>
      <c r="F12" s="25"/>
      <c r="G12" s="22">
        <f aca="true" t="shared" si="1" ref="G12:H14">G13</f>
        <v>12421.9</v>
      </c>
      <c r="H12" s="22">
        <f t="shared" si="1"/>
        <v>12055.6</v>
      </c>
      <c r="I12" s="22">
        <f t="shared" si="0"/>
        <v>97.0511757460614</v>
      </c>
    </row>
    <row r="13" spans="1:9" ht="15.75">
      <c r="A13" s="26" t="s">
        <v>172</v>
      </c>
      <c r="B13" s="17">
        <v>901</v>
      </c>
      <c r="C13" s="21" t="s">
        <v>169</v>
      </c>
      <c r="D13" s="21" t="s">
        <v>171</v>
      </c>
      <c r="E13" s="21" t="s">
        <v>173</v>
      </c>
      <c r="F13" s="21"/>
      <c r="G13" s="27">
        <f t="shared" si="1"/>
        <v>12421.9</v>
      </c>
      <c r="H13" s="27">
        <f t="shared" si="1"/>
        <v>12055.6</v>
      </c>
      <c r="I13" s="27">
        <f t="shared" si="0"/>
        <v>97.0511757460614</v>
      </c>
    </row>
    <row r="14" spans="1:9" ht="31.5">
      <c r="A14" s="26" t="s">
        <v>174</v>
      </c>
      <c r="B14" s="17">
        <v>901</v>
      </c>
      <c r="C14" s="21" t="s">
        <v>169</v>
      </c>
      <c r="D14" s="21" t="s">
        <v>171</v>
      </c>
      <c r="E14" s="21" t="s">
        <v>175</v>
      </c>
      <c r="F14" s="21"/>
      <c r="G14" s="27">
        <f t="shared" si="1"/>
        <v>12421.9</v>
      </c>
      <c r="H14" s="27">
        <f t="shared" si="1"/>
        <v>12055.6</v>
      </c>
      <c r="I14" s="27">
        <f t="shared" si="0"/>
        <v>97.0511757460614</v>
      </c>
    </row>
    <row r="15" spans="1:9" ht="47.25">
      <c r="A15" s="26" t="s">
        <v>176</v>
      </c>
      <c r="B15" s="17">
        <v>901</v>
      </c>
      <c r="C15" s="21" t="s">
        <v>169</v>
      </c>
      <c r="D15" s="21" t="s">
        <v>171</v>
      </c>
      <c r="E15" s="21" t="s">
        <v>177</v>
      </c>
      <c r="F15" s="21"/>
      <c r="G15" s="27">
        <f>G16+G18+G20</f>
        <v>12421.9</v>
      </c>
      <c r="H15" s="27">
        <f>H16+H18+H20</f>
        <v>12055.6</v>
      </c>
      <c r="I15" s="27">
        <f t="shared" si="0"/>
        <v>97.0511757460614</v>
      </c>
    </row>
    <row r="16" spans="1:9" ht="94.5">
      <c r="A16" s="26" t="s">
        <v>178</v>
      </c>
      <c r="B16" s="17">
        <v>901</v>
      </c>
      <c r="C16" s="21" t="s">
        <v>169</v>
      </c>
      <c r="D16" s="21" t="s">
        <v>171</v>
      </c>
      <c r="E16" s="21" t="s">
        <v>177</v>
      </c>
      <c r="F16" s="21" t="s">
        <v>179</v>
      </c>
      <c r="G16" s="27">
        <f>G17</f>
        <v>11713.6</v>
      </c>
      <c r="H16" s="27">
        <f>H17</f>
        <v>11353.1</v>
      </c>
      <c r="I16" s="27">
        <f t="shared" si="0"/>
        <v>96.92238082229203</v>
      </c>
    </row>
    <row r="17" spans="1:14" ht="31.5">
      <c r="A17" s="26" t="s">
        <v>180</v>
      </c>
      <c r="B17" s="17">
        <v>901</v>
      </c>
      <c r="C17" s="21" t="s">
        <v>169</v>
      </c>
      <c r="D17" s="21" t="s">
        <v>171</v>
      </c>
      <c r="E17" s="21" t="s">
        <v>177</v>
      </c>
      <c r="F17" s="21" t="s">
        <v>181</v>
      </c>
      <c r="G17" s="28">
        <f>12926-124.4-330-400-358</f>
        <v>11713.6</v>
      </c>
      <c r="H17" s="28">
        <v>11353.1</v>
      </c>
      <c r="I17" s="27">
        <f t="shared" si="0"/>
        <v>96.92238082229203</v>
      </c>
      <c r="K17" s="402"/>
      <c r="L17" s="402"/>
      <c r="M17" s="402"/>
      <c r="N17" s="402"/>
    </row>
    <row r="18" spans="1:9" ht="31.5">
      <c r="A18" s="26" t="s">
        <v>182</v>
      </c>
      <c r="B18" s="17">
        <v>901</v>
      </c>
      <c r="C18" s="21" t="s">
        <v>169</v>
      </c>
      <c r="D18" s="21" t="s">
        <v>171</v>
      </c>
      <c r="E18" s="21" t="s">
        <v>177</v>
      </c>
      <c r="F18" s="21" t="s">
        <v>183</v>
      </c>
      <c r="G18" s="27">
        <f>G19</f>
        <v>696.4000000000001</v>
      </c>
      <c r="H18" s="27">
        <f>H19</f>
        <v>690.7</v>
      </c>
      <c r="I18" s="27">
        <f t="shared" si="0"/>
        <v>99.18150488225157</v>
      </c>
    </row>
    <row r="19" spans="1:12" ht="47.25">
      <c r="A19" s="26" t="s">
        <v>184</v>
      </c>
      <c r="B19" s="17">
        <v>901</v>
      </c>
      <c r="C19" s="21" t="s">
        <v>169</v>
      </c>
      <c r="D19" s="21" t="s">
        <v>171</v>
      </c>
      <c r="E19" s="21" t="s">
        <v>177</v>
      </c>
      <c r="F19" s="21" t="s">
        <v>185</v>
      </c>
      <c r="G19" s="28">
        <f>1408+124.4-836</f>
        <v>696.4000000000001</v>
      </c>
      <c r="H19" s="28">
        <v>690.7</v>
      </c>
      <c r="I19" s="27">
        <f t="shared" si="0"/>
        <v>99.18150488225157</v>
      </c>
      <c r="J19" s="291"/>
      <c r="K19" s="289"/>
      <c r="L19" s="289"/>
    </row>
    <row r="20" spans="1:9" ht="15.75">
      <c r="A20" s="26" t="s">
        <v>186</v>
      </c>
      <c r="B20" s="17">
        <v>901</v>
      </c>
      <c r="C20" s="21" t="s">
        <v>169</v>
      </c>
      <c r="D20" s="21" t="s">
        <v>171</v>
      </c>
      <c r="E20" s="21" t="s">
        <v>177</v>
      </c>
      <c r="F20" s="21" t="s">
        <v>187</v>
      </c>
      <c r="G20" s="27">
        <f>G21</f>
        <v>11.9</v>
      </c>
      <c r="H20" s="27">
        <f>H21</f>
        <v>11.8</v>
      </c>
      <c r="I20" s="27">
        <f t="shared" si="0"/>
        <v>99.15966386554622</v>
      </c>
    </row>
    <row r="21" spans="1:13" ht="15.75">
      <c r="A21" s="26" t="s">
        <v>620</v>
      </c>
      <c r="B21" s="17">
        <v>901</v>
      </c>
      <c r="C21" s="21" t="s">
        <v>169</v>
      </c>
      <c r="D21" s="21" t="s">
        <v>171</v>
      </c>
      <c r="E21" s="21" t="s">
        <v>177</v>
      </c>
      <c r="F21" s="21" t="s">
        <v>189</v>
      </c>
      <c r="G21" s="27">
        <f>28-7.2-8.9</f>
        <v>11.9</v>
      </c>
      <c r="H21" s="27">
        <v>11.8</v>
      </c>
      <c r="I21" s="27">
        <f t="shared" si="0"/>
        <v>99.15966386554622</v>
      </c>
      <c r="K21" s="402"/>
      <c r="L21" s="402"/>
      <c r="M21" s="402"/>
    </row>
    <row r="22" spans="1:9" ht="18.75" customHeight="1" hidden="1">
      <c r="A22" s="24" t="s">
        <v>190</v>
      </c>
      <c r="B22" s="20">
        <v>901</v>
      </c>
      <c r="C22" s="25" t="s">
        <v>169</v>
      </c>
      <c r="D22" s="25" t="s">
        <v>191</v>
      </c>
      <c r="E22" s="25"/>
      <c r="F22" s="25"/>
      <c r="G22" s="22">
        <f aca="true" t="shared" si="2" ref="G22:H25">G23</f>
        <v>0</v>
      </c>
      <c r="H22" s="22">
        <f t="shared" si="2"/>
        <v>0</v>
      </c>
      <c r="I22" s="22" t="e">
        <f t="shared" si="0"/>
        <v>#DIV/0!</v>
      </c>
    </row>
    <row r="23" spans="1:9" ht="15.75" hidden="1">
      <c r="A23" s="26" t="s">
        <v>192</v>
      </c>
      <c r="B23" s="17">
        <v>901</v>
      </c>
      <c r="C23" s="21" t="s">
        <v>169</v>
      </c>
      <c r="D23" s="21" t="s">
        <v>191</v>
      </c>
      <c r="E23" s="21" t="s">
        <v>193</v>
      </c>
      <c r="F23" s="21"/>
      <c r="G23" s="27">
        <f t="shared" si="2"/>
        <v>0</v>
      </c>
      <c r="H23" s="27">
        <f t="shared" si="2"/>
        <v>0</v>
      </c>
      <c r="I23" s="22" t="e">
        <f t="shared" si="0"/>
        <v>#DIV/0!</v>
      </c>
    </row>
    <row r="24" spans="1:9" ht="15.75" hidden="1">
      <c r="A24" s="26" t="s">
        <v>194</v>
      </c>
      <c r="B24" s="17">
        <v>901</v>
      </c>
      <c r="C24" s="21" t="s">
        <v>169</v>
      </c>
      <c r="D24" s="21" t="s">
        <v>191</v>
      </c>
      <c r="E24" s="21" t="s">
        <v>195</v>
      </c>
      <c r="F24" s="21"/>
      <c r="G24" s="27">
        <f t="shared" si="2"/>
        <v>0</v>
      </c>
      <c r="H24" s="27">
        <f t="shared" si="2"/>
        <v>0</v>
      </c>
      <c r="I24" s="22" t="e">
        <f t="shared" si="0"/>
        <v>#DIV/0!</v>
      </c>
    </row>
    <row r="25" spans="1:9" ht="15.75" hidden="1">
      <c r="A25" s="26" t="s">
        <v>186</v>
      </c>
      <c r="B25" s="17">
        <v>901</v>
      </c>
      <c r="C25" s="21" t="s">
        <v>169</v>
      </c>
      <c r="D25" s="21" t="s">
        <v>191</v>
      </c>
      <c r="E25" s="21" t="s">
        <v>195</v>
      </c>
      <c r="F25" s="21" t="s">
        <v>196</v>
      </c>
      <c r="G25" s="27">
        <f t="shared" si="2"/>
        <v>0</v>
      </c>
      <c r="H25" s="27">
        <f t="shared" si="2"/>
        <v>0</v>
      </c>
      <c r="I25" s="22" t="e">
        <f t="shared" si="0"/>
        <v>#DIV/0!</v>
      </c>
    </row>
    <row r="26" spans="1:9" ht="15.75" hidden="1">
      <c r="A26" s="26" t="s">
        <v>197</v>
      </c>
      <c r="B26" s="17">
        <v>901</v>
      </c>
      <c r="C26" s="21" t="s">
        <v>169</v>
      </c>
      <c r="D26" s="21" t="s">
        <v>191</v>
      </c>
      <c r="E26" s="21" t="s">
        <v>195</v>
      </c>
      <c r="F26" s="21" t="s">
        <v>198</v>
      </c>
      <c r="G26" s="27"/>
      <c r="H26" s="27"/>
      <c r="I26" s="22" t="e">
        <f t="shared" si="0"/>
        <v>#DIV/0!</v>
      </c>
    </row>
    <row r="27" spans="1:9" ht="31.5">
      <c r="A27" s="20" t="s">
        <v>199</v>
      </c>
      <c r="B27" s="20">
        <v>902</v>
      </c>
      <c r="C27" s="21"/>
      <c r="D27" s="21"/>
      <c r="E27" s="21"/>
      <c r="F27" s="21"/>
      <c r="G27" s="22">
        <f>G28+G168+G186+G218+G161</f>
        <v>83913.9</v>
      </c>
      <c r="H27" s="22">
        <f>H28+H168+H186+H218+H161</f>
        <v>80221.19999999998</v>
      </c>
      <c r="I27" s="22">
        <f t="shared" si="0"/>
        <v>95.59941797485278</v>
      </c>
    </row>
    <row r="28" spans="1:9" ht="15.75">
      <c r="A28" s="24" t="s">
        <v>168</v>
      </c>
      <c r="B28" s="20">
        <v>902</v>
      </c>
      <c r="C28" s="25" t="s">
        <v>169</v>
      </c>
      <c r="D28" s="21"/>
      <c r="E28" s="21"/>
      <c r="F28" s="21"/>
      <c r="G28" s="22">
        <f>G29+G53+G61</f>
        <v>63810.79999999999</v>
      </c>
      <c r="H28" s="22">
        <f>H29+H53+H61</f>
        <v>60479.49999999999</v>
      </c>
      <c r="I28" s="22">
        <f t="shared" si="0"/>
        <v>94.77941038194162</v>
      </c>
    </row>
    <row r="29" spans="1:9" ht="78.75">
      <c r="A29" s="24" t="s">
        <v>200</v>
      </c>
      <c r="B29" s="20">
        <v>902</v>
      </c>
      <c r="C29" s="25" t="s">
        <v>169</v>
      </c>
      <c r="D29" s="25" t="s">
        <v>201</v>
      </c>
      <c r="E29" s="25"/>
      <c r="F29" s="25"/>
      <c r="G29" s="22">
        <f>G30</f>
        <v>51925.39999999999</v>
      </c>
      <c r="H29" s="22">
        <f>H30</f>
        <v>49129.49999999999</v>
      </c>
      <c r="I29" s="22">
        <f t="shared" si="0"/>
        <v>94.61554460822643</v>
      </c>
    </row>
    <row r="30" spans="1:9" ht="15.75">
      <c r="A30" s="26" t="s">
        <v>172</v>
      </c>
      <c r="B30" s="17">
        <v>902</v>
      </c>
      <c r="C30" s="21" t="s">
        <v>169</v>
      </c>
      <c r="D30" s="21" t="s">
        <v>201</v>
      </c>
      <c r="E30" s="21" t="s">
        <v>173</v>
      </c>
      <c r="F30" s="21"/>
      <c r="G30" s="28">
        <f>G31+G47</f>
        <v>51925.39999999999</v>
      </c>
      <c r="H30" s="28">
        <f>H31+H47</f>
        <v>49129.49999999999</v>
      </c>
      <c r="I30" s="27">
        <f t="shared" si="0"/>
        <v>94.61554460822643</v>
      </c>
    </row>
    <row r="31" spans="1:9" ht="31.5">
      <c r="A31" s="26" t="s">
        <v>174</v>
      </c>
      <c r="B31" s="17">
        <v>902</v>
      </c>
      <c r="C31" s="21" t="s">
        <v>169</v>
      </c>
      <c r="D31" s="21" t="s">
        <v>201</v>
      </c>
      <c r="E31" s="21" t="s">
        <v>175</v>
      </c>
      <c r="F31" s="21"/>
      <c r="G31" s="28">
        <f>G32+G39+G42</f>
        <v>49434.89999999999</v>
      </c>
      <c r="H31" s="28">
        <f>H32+H39+H42</f>
        <v>46903.899999999994</v>
      </c>
      <c r="I31" s="27">
        <f t="shared" si="0"/>
        <v>94.8801352890367</v>
      </c>
    </row>
    <row r="32" spans="1:12" ht="47.25">
      <c r="A32" s="26" t="s">
        <v>176</v>
      </c>
      <c r="B32" s="17">
        <v>902</v>
      </c>
      <c r="C32" s="21" t="s">
        <v>169</v>
      </c>
      <c r="D32" s="21" t="s">
        <v>201</v>
      </c>
      <c r="E32" s="21" t="s">
        <v>177</v>
      </c>
      <c r="F32" s="21"/>
      <c r="G32" s="27">
        <f>G33+G35+G37</f>
        <v>42692.19999999999</v>
      </c>
      <c r="H32" s="27">
        <f>H33+H35+H37</f>
        <v>40775.2</v>
      </c>
      <c r="I32" s="27">
        <f t="shared" si="0"/>
        <v>95.50971840289328</v>
      </c>
      <c r="K32" s="281"/>
      <c r="L32" s="281"/>
    </row>
    <row r="33" spans="1:9" ht="94.5">
      <c r="A33" s="26" t="s">
        <v>178</v>
      </c>
      <c r="B33" s="17">
        <v>902</v>
      </c>
      <c r="C33" s="21" t="s">
        <v>169</v>
      </c>
      <c r="D33" s="21" t="s">
        <v>201</v>
      </c>
      <c r="E33" s="21" t="s">
        <v>177</v>
      </c>
      <c r="F33" s="21" t="s">
        <v>179</v>
      </c>
      <c r="G33" s="27">
        <f>G34</f>
        <v>35601.799999999996</v>
      </c>
      <c r="H33" s="27">
        <f>H34</f>
        <v>34749.1</v>
      </c>
      <c r="I33" s="27">
        <f t="shared" si="0"/>
        <v>97.60489638164364</v>
      </c>
    </row>
    <row r="34" spans="1:10" ht="31.5">
      <c r="A34" s="26" t="s">
        <v>180</v>
      </c>
      <c r="B34" s="17">
        <v>902</v>
      </c>
      <c r="C34" s="21" t="s">
        <v>169</v>
      </c>
      <c r="D34" s="21" t="s">
        <v>201</v>
      </c>
      <c r="E34" s="21" t="s">
        <v>177</v>
      </c>
      <c r="F34" s="21" t="s">
        <v>181</v>
      </c>
      <c r="G34" s="28">
        <f>36671.5-253.5-453.8-168.4+79.1-273.1</f>
        <v>35601.799999999996</v>
      </c>
      <c r="H34" s="28">
        <v>34749.1</v>
      </c>
      <c r="I34" s="27">
        <f t="shared" si="0"/>
        <v>97.60489638164364</v>
      </c>
      <c r="J34" s="277"/>
    </row>
    <row r="35" spans="1:9" ht="31.5">
      <c r="A35" s="26" t="s">
        <v>182</v>
      </c>
      <c r="B35" s="17">
        <v>902</v>
      </c>
      <c r="C35" s="21" t="s">
        <v>169</v>
      </c>
      <c r="D35" s="21" t="s">
        <v>201</v>
      </c>
      <c r="E35" s="21" t="s">
        <v>177</v>
      </c>
      <c r="F35" s="21" t="s">
        <v>183</v>
      </c>
      <c r="G35" s="27">
        <f>G36</f>
        <v>6959.7</v>
      </c>
      <c r="H35" s="27">
        <f>H36</f>
        <v>5903.6</v>
      </c>
      <c r="I35" s="27">
        <f t="shared" si="0"/>
        <v>84.82549535181116</v>
      </c>
    </row>
    <row r="36" spans="1:10" ht="47.25">
      <c r="A36" s="26" t="s">
        <v>184</v>
      </c>
      <c r="B36" s="17">
        <v>902</v>
      </c>
      <c r="C36" s="21" t="s">
        <v>169</v>
      </c>
      <c r="D36" s="21" t="s">
        <v>201</v>
      </c>
      <c r="E36" s="21" t="s">
        <v>177</v>
      </c>
      <c r="F36" s="21" t="s">
        <v>185</v>
      </c>
      <c r="G36" s="28">
        <f>6959.7</f>
        <v>6959.7</v>
      </c>
      <c r="H36" s="28">
        <v>5903.6</v>
      </c>
      <c r="I36" s="27">
        <f t="shared" si="0"/>
        <v>84.82549535181116</v>
      </c>
      <c r="J36" s="209"/>
    </row>
    <row r="37" spans="1:9" ht="15.75">
      <c r="A37" s="26" t="s">
        <v>186</v>
      </c>
      <c r="B37" s="17">
        <v>902</v>
      </c>
      <c r="C37" s="21" t="s">
        <v>169</v>
      </c>
      <c r="D37" s="21" t="s">
        <v>201</v>
      </c>
      <c r="E37" s="21" t="s">
        <v>177</v>
      </c>
      <c r="F37" s="21" t="s">
        <v>196</v>
      </c>
      <c r="G37" s="27">
        <f>G38</f>
        <v>130.70000000000002</v>
      </c>
      <c r="H37" s="27">
        <f>H38</f>
        <v>122.5</v>
      </c>
      <c r="I37" s="27">
        <f t="shared" si="0"/>
        <v>93.72609028309104</v>
      </c>
    </row>
    <row r="38" spans="1:10" ht="15.75">
      <c r="A38" s="26" t="s">
        <v>620</v>
      </c>
      <c r="B38" s="17">
        <v>902</v>
      </c>
      <c r="C38" s="21" t="s">
        <v>169</v>
      </c>
      <c r="D38" s="21" t="s">
        <v>201</v>
      </c>
      <c r="E38" s="21" t="s">
        <v>177</v>
      </c>
      <c r="F38" s="21" t="s">
        <v>189</v>
      </c>
      <c r="G38" s="28">
        <f>90.7+30+98.6-130+41.4</f>
        <v>130.70000000000002</v>
      </c>
      <c r="H38" s="28">
        <v>122.5</v>
      </c>
      <c r="I38" s="27">
        <f t="shared" si="0"/>
        <v>93.72609028309104</v>
      </c>
      <c r="J38" s="277"/>
    </row>
    <row r="39" spans="1:9" ht="31.5">
      <c r="A39" s="26" t="s">
        <v>202</v>
      </c>
      <c r="B39" s="17">
        <v>902</v>
      </c>
      <c r="C39" s="21" t="s">
        <v>169</v>
      </c>
      <c r="D39" s="21" t="s">
        <v>201</v>
      </c>
      <c r="E39" s="21" t="s">
        <v>203</v>
      </c>
      <c r="F39" s="21"/>
      <c r="G39" s="27">
        <f>G40</f>
        <v>3545.6</v>
      </c>
      <c r="H39" s="27">
        <f>H40</f>
        <v>3055.2</v>
      </c>
      <c r="I39" s="27">
        <f t="shared" si="0"/>
        <v>86.16877256317689</v>
      </c>
    </row>
    <row r="40" spans="1:9" ht="94.5">
      <c r="A40" s="26" t="s">
        <v>178</v>
      </c>
      <c r="B40" s="17">
        <v>902</v>
      </c>
      <c r="C40" s="21" t="s">
        <v>169</v>
      </c>
      <c r="D40" s="21" t="s">
        <v>201</v>
      </c>
      <c r="E40" s="21" t="s">
        <v>203</v>
      </c>
      <c r="F40" s="21" t="s">
        <v>179</v>
      </c>
      <c r="G40" s="27">
        <f>G41</f>
        <v>3545.6</v>
      </c>
      <c r="H40" s="27">
        <f>H41</f>
        <v>3055.2</v>
      </c>
      <c r="I40" s="27">
        <f t="shared" si="0"/>
        <v>86.16877256317689</v>
      </c>
    </row>
    <row r="41" spans="1:9" ht="31.5">
      <c r="A41" s="26" t="s">
        <v>180</v>
      </c>
      <c r="B41" s="17">
        <v>902</v>
      </c>
      <c r="C41" s="21" t="s">
        <v>169</v>
      </c>
      <c r="D41" s="21" t="s">
        <v>201</v>
      </c>
      <c r="E41" s="21" t="s">
        <v>203</v>
      </c>
      <c r="F41" s="21" t="s">
        <v>181</v>
      </c>
      <c r="G41" s="28">
        <v>3545.6</v>
      </c>
      <c r="H41" s="28">
        <v>3055.2</v>
      </c>
      <c r="I41" s="27">
        <f t="shared" si="0"/>
        <v>86.16877256317689</v>
      </c>
    </row>
    <row r="42" spans="1:9" ht="47.25">
      <c r="A42" s="26" t="s">
        <v>261</v>
      </c>
      <c r="B42" s="17">
        <v>902</v>
      </c>
      <c r="C42" s="21" t="s">
        <v>169</v>
      </c>
      <c r="D42" s="21" t="s">
        <v>201</v>
      </c>
      <c r="E42" s="21" t="s">
        <v>958</v>
      </c>
      <c r="F42" s="21"/>
      <c r="G42" s="28">
        <f>G43+G45</f>
        <v>3197.1000000000004</v>
      </c>
      <c r="H42" s="28">
        <f>H43+H45</f>
        <v>3073.5</v>
      </c>
      <c r="I42" s="27">
        <f t="shared" si="0"/>
        <v>96.13399643426854</v>
      </c>
    </row>
    <row r="43" spans="1:9" ht="94.5">
      <c r="A43" s="26" t="s">
        <v>178</v>
      </c>
      <c r="B43" s="17">
        <v>902</v>
      </c>
      <c r="C43" s="21" t="s">
        <v>169</v>
      </c>
      <c r="D43" s="21" t="s">
        <v>201</v>
      </c>
      <c r="E43" s="21" t="s">
        <v>958</v>
      </c>
      <c r="F43" s="21" t="s">
        <v>179</v>
      </c>
      <c r="G43" s="28">
        <f>G44</f>
        <v>2571.7000000000003</v>
      </c>
      <c r="H43" s="28">
        <f>H44</f>
        <v>2467.7</v>
      </c>
      <c r="I43" s="27">
        <f t="shared" si="0"/>
        <v>95.95598242407745</v>
      </c>
    </row>
    <row r="44" spans="1:10" ht="31.5">
      <c r="A44" s="26" t="s">
        <v>180</v>
      </c>
      <c r="B44" s="17">
        <v>902</v>
      </c>
      <c r="C44" s="21" t="s">
        <v>169</v>
      </c>
      <c r="D44" s="21" t="s">
        <v>201</v>
      </c>
      <c r="E44" s="21" t="s">
        <v>958</v>
      </c>
      <c r="F44" s="21" t="s">
        <v>181</v>
      </c>
      <c r="G44" s="28">
        <f>1777+95.4+453.8+90+151+4.5</f>
        <v>2571.7000000000003</v>
      </c>
      <c r="H44" s="28">
        <v>2467.7</v>
      </c>
      <c r="I44" s="27">
        <f t="shared" si="0"/>
        <v>95.95598242407745</v>
      </c>
      <c r="J44" s="275"/>
    </row>
    <row r="45" spans="1:9" ht="47.25">
      <c r="A45" s="26" t="s">
        <v>249</v>
      </c>
      <c r="B45" s="17">
        <v>902</v>
      </c>
      <c r="C45" s="21" t="s">
        <v>169</v>
      </c>
      <c r="D45" s="21" t="s">
        <v>201</v>
      </c>
      <c r="E45" s="21" t="s">
        <v>958</v>
      </c>
      <c r="F45" s="21" t="s">
        <v>183</v>
      </c>
      <c r="G45" s="27">
        <f>G46</f>
        <v>625.4</v>
      </c>
      <c r="H45" s="27">
        <v>605.8</v>
      </c>
      <c r="I45" s="27">
        <f t="shared" si="0"/>
        <v>96.86600575631596</v>
      </c>
    </row>
    <row r="46" spans="1:9" ht="47.25">
      <c r="A46" s="26" t="s">
        <v>184</v>
      </c>
      <c r="B46" s="17">
        <v>902</v>
      </c>
      <c r="C46" s="21" t="s">
        <v>169</v>
      </c>
      <c r="D46" s="21" t="s">
        <v>201</v>
      </c>
      <c r="E46" s="21" t="s">
        <v>958</v>
      </c>
      <c r="F46" s="21" t="s">
        <v>185</v>
      </c>
      <c r="G46" s="27">
        <f>821.9-196.5</f>
        <v>625.4</v>
      </c>
      <c r="H46" s="27">
        <v>605.8</v>
      </c>
      <c r="I46" s="27">
        <f t="shared" si="0"/>
        <v>96.86600575631596</v>
      </c>
    </row>
    <row r="47" spans="1:9" ht="15.75">
      <c r="A47" s="26" t="s">
        <v>192</v>
      </c>
      <c r="B47" s="17">
        <v>902</v>
      </c>
      <c r="C47" s="21" t="s">
        <v>169</v>
      </c>
      <c r="D47" s="21" t="s">
        <v>201</v>
      </c>
      <c r="E47" s="21" t="s">
        <v>193</v>
      </c>
      <c r="F47" s="21"/>
      <c r="G47" s="30">
        <f>G48</f>
        <v>2490.5</v>
      </c>
      <c r="H47" s="30">
        <f>H48</f>
        <v>2225.6</v>
      </c>
      <c r="I47" s="27">
        <f t="shared" si="0"/>
        <v>89.36358161011844</v>
      </c>
    </row>
    <row r="48" spans="1:9" ht="31.5">
      <c r="A48" s="26" t="s">
        <v>204</v>
      </c>
      <c r="B48" s="17">
        <v>902</v>
      </c>
      <c r="C48" s="21" t="s">
        <v>169</v>
      </c>
      <c r="D48" s="21" t="s">
        <v>201</v>
      </c>
      <c r="E48" s="21" t="s">
        <v>205</v>
      </c>
      <c r="F48" s="21"/>
      <c r="G48" s="27">
        <f>G49+G51</f>
        <v>2490.5</v>
      </c>
      <c r="H48" s="27">
        <f>H49+H51</f>
        <v>2225.6</v>
      </c>
      <c r="I48" s="27">
        <f t="shared" si="0"/>
        <v>89.36358161011844</v>
      </c>
    </row>
    <row r="49" spans="1:9" ht="94.5">
      <c r="A49" s="26" t="s">
        <v>178</v>
      </c>
      <c r="B49" s="17">
        <v>902</v>
      </c>
      <c r="C49" s="21" t="s">
        <v>169</v>
      </c>
      <c r="D49" s="21" t="s">
        <v>201</v>
      </c>
      <c r="E49" s="21" t="s">
        <v>205</v>
      </c>
      <c r="F49" s="21" t="s">
        <v>179</v>
      </c>
      <c r="G49" s="27">
        <f>G50</f>
        <v>2490.5</v>
      </c>
      <c r="H49" s="27">
        <f>H50</f>
        <v>2225.6</v>
      </c>
      <c r="I49" s="27">
        <f t="shared" si="0"/>
        <v>89.36358161011844</v>
      </c>
    </row>
    <row r="50" spans="1:9" ht="31.5">
      <c r="A50" s="26" t="s">
        <v>180</v>
      </c>
      <c r="B50" s="17">
        <v>902</v>
      </c>
      <c r="C50" s="21" t="s">
        <v>169</v>
      </c>
      <c r="D50" s="21" t="s">
        <v>201</v>
      </c>
      <c r="E50" s="21" t="s">
        <v>205</v>
      </c>
      <c r="F50" s="21" t="s">
        <v>181</v>
      </c>
      <c r="G50" s="28">
        <f>2339.9+250-36.4-58.7-4.3</f>
        <v>2490.5</v>
      </c>
      <c r="H50" s="28">
        <v>2225.6</v>
      </c>
      <c r="I50" s="27">
        <f t="shared" si="0"/>
        <v>89.36358161011844</v>
      </c>
    </row>
    <row r="51" spans="1:9" ht="31.5" hidden="1">
      <c r="A51" s="26" t="s">
        <v>182</v>
      </c>
      <c r="B51" s="17">
        <v>902</v>
      </c>
      <c r="C51" s="21" t="s">
        <v>169</v>
      </c>
      <c r="D51" s="21" t="s">
        <v>201</v>
      </c>
      <c r="E51" s="21" t="s">
        <v>205</v>
      </c>
      <c r="F51" s="21" t="s">
        <v>183</v>
      </c>
      <c r="G51" s="27">
        <f>G52</f>
        <v>0</v>
      </c>
      <c r="H51" s="27">
        <f>H52</f>
        <v>0</v>
      </c>
      <c r="I51" s="27" t="e">
        <f t="shared" si="0"/>
        <v>#DIV/0!</v>
      </c>
    </row>
    <row r="52" spans="1:9" ht="47.25" hidden="1">
      <c r="A52" s="26" t="s">
        <v>184</v>
      </c>
      <c r="B52" s="17">
        <v>902</v>
      </c>
      <c r="C52" s="21" t="s">
        <v>169</v>
      </c>
      <c r="D52" s="21" t="s">
        <v>201</v>
      </c>
      <c r="E52" s="21" t="s">
        <v>205</v>
      </c>
      <c r="F52" s="21" t="s">
        <v>185</v>
      </c>
      <c r="G52" s="28">
        <v>0</v>
      </c>
      <c r="H52" s="28">
        <v>0</v>
      </c>
      <c r="I52" s="27" t="e">
        <f t="shared" si="0"/>
        <v>#DIV/0!</v>
      </c>
    </row>
    <row r="53" spans="1:9" ht="63">
      <c r="A53" s="24" t="s">
        <v>170</v>
      </c>
      <c r="B53" s="20">
        <v>902</v>
      </c>
      <c r="C53" s="25" t="s">
        <v>169</v>
      </c>
      <c r="D53" s="25" t="s">
        <v>171</v>
      </c>
      <c r="E53" s="25"/>
      <c r="F53" s="21"/>
      <c r="G53" s="22">
        <f aca="true" t="shared" si="3" ref="G53:H55">G54</f>
        <v>1198.6000000000001</v>
      </c>
      <c r="H53" s="22">
        <f t="shared" si="3"/>
        <v>1198.5</v>
      </c>
      <c r="I53" s="27">
        <f t="shared" si="0"/>
        <v>99.99165693308859</v>
      </c>
    </row>
    <row r="54" spans="1:9" ht="21" customHeight="1">
      <c r="A54" s="26" t="s">
        <v>172</v>
      </c>
      <c r="B54" s="17">
        <v>902</v>
      </c>
      <c r="C54" s="21" t="s">
        <v>169</v>
      </c>
      <c r="D54" s="21" t="s">
        <v>171</v>
      </c>
      <c r="E54" s="21" t="s">
        <v>173</v>
      </c>
      <c r="F54" s="21"/>
      <c r="G54" s="27">
        <f t="shared" si="3"/>
        <v>1198.6000000000001</v>
      </c>
      <c r="H54" s="27">
        <f t="shared" si="3"/>
        <v>1198.5</v>
      </c>
      <c r="I54" s="27">
        <f t="shared" si="0"/>
        <v>99.99165693308859</v>
      </c>
    </row>
    <row r="55" spans="1:9" ht="31.5">
      <c r="A55" s="26" t="s">
        <v>174</v>
      </c>
      <c r="B55" s="17">
        <v>902</v>
      </c>
      <c r="C55" s="21" t="s">
        <v>169</v>
      </c>
      <c r="D55" s="21" t="s">
        <v>171</v>
      </c>
      <c r="E55" s="21" t="s">
        <v>175</v>
      </c>
      <c r="F55" s="21"/>
      <c r="G55" s="27">
        <f t="shared" si="3"/>
        <v>1198.6000000000001</v>
      </c>
      <c r="H55" s="27">
        <f t="shared" si="3"/>
        <v>1198.5</v>
      </c>
      <c r="I55" s="27">
        <f t="shared" si="0"/>
        <v>99.99165693308859</v>
      </c>
    </row>
    <row r="56" spans="1:9" ht="47.25">
      <c r="A56" s="26" t="s">
        <v>176</v>
      </c>
      <c r="B56" s="17">
        <v>902</v>
      </c>
      <c r="C56" s="21" t="s">
        <v>169</v>
      </c>
      <c r="D56" s="21" t="s">
        <v>171</v>
      </c>
      <c r="E56" s="21" t="s">
        <v>177</v>
      </c>
      <c r="F56" s="21"/>
      <c r="G56" s="27">
        <f>G57+G59</f>
        <v>1198.6000000000001</v>
      </c>
      <c r="H56" s="27">
        <f>H57+H59</f>
        <v>1198.5</v>
      </c>
      <c r="I56" s="27">
        <f t="shared" si="0"/>
        <v>99.99165693308859</v>
      </c>
    </row>
    <row r="57" spans="1:9" ht="94.5">
      <c r="A57" s="26" t="s">
        <v>178</v>
      </c>
      <c r="B57" s="17">
        <v>902</v>
      </c>
      <c r="C57" s="21" t="s">
        <v>169</v>
      </c>
      <c r="D57" s="21" t="s">
        <v>171</v>
      </c>
      <c r="E57" s="21" t="s">
        <v>177</v>
      </c>
      <c r="F57" s="21" t="s">
        <v>179</v>
      </c>
      <c r="G57" s="27">
        <f>G58</f>
        <v>1198.6000000000001</v>
      </c>
      <c r="H57" s="27">
        <f>H58</f>
        <v>1198.5</v>
      </c>
      <c r="I57" s="27">
        <f t="shared" si="0"/>
        <v>99.99165693308859</v>
      </c>
    </row>
    <row r="58" spans="1:10" ht="31.5">
      <c r="A58" s="26" t="s">
        <v>180</v>
      </c>
      <c r="B58" s="17">
        <v>902</v>
      </c>
      <c r="C58" s="21" t="s">
        <v>169</v>
      </c>
      <c r="D58" s="21" t="s">
        <v>171</v>
      </c>
      <c r="E58" s="21" t="s">
        <v>177</v>
      </c>
      <c r="F58" s="21" t="s">
        <v>181</v>
      </c>
      <c r="G58" s="28">
        <f>1081.7+78.4+30.2+8.3</f>
        <v>1198.6000000000001</v>
      </c>
      <c r="H58" s="28">
        <v>1198.5</v>
      </c>
      <c r="I58" s="27">
        <f t="shared" si="0"/>
        <v>99.99165693308859</v>
      </c>
      <c r="J58" s="277"/>
    </row>
    <row r="59" spans="1:9" ht="31.5" customHeight="1" hidden="1">
      <c r="A59" s="26" t="s">
        <v>182</v>
      </c>
      <c r="B59" s="17">
        <v>902</v>
      </c>
      <c r="C59" s="21" t="s">
        <v>169</v>
      </c>
      <c r="D59" s="21" t="s">
        <v>171</v>
      </c>
      <c r="E59" s="21" t="s">
        <v>177</v>
      </c>
      <c r="F59" s="21" t="s">
        <v>183</v>
      </c>
      <c r="G59" s="28">
        <f>G60</f>
        <v>0</v>
      </c>
      <c r="H59" s="28">
        <f>H60</f>
        <v>0</v>
      </c>
      <c r="I59" s="27" t="e">
        <f t="shared" si="0"/>
        <v>#DIV/0!</v>
      </c>
    </row>
    <row r="60" spans="1:9" ht="47.25" customHeight="1" hidden="1">
      <c r="A60" s="26" t="s">
        <v>184</v>
      </c>
      <c r="B60" s="17">
        <v>902</v>
      </c>
      <c r="C60" s="21" t="s">
        <v>169</v>
      </c>
      <c r="D60" s="21" t="s">
        <v>171</v>
      </c>
      <c r="E60" s="21" t="s">
        <v>177</v>
      </c>
      <c r="F60" s="21" t="s">
        <v>185</v>
      </c>
      <c r="G60" s="28"/>
      <c r="H60" s="28"/>
      <c r="I60" s="27" t="e">
        <f t="shared" si="0"/>
        <v>#DIV/0!</v>
      </c>
    </row>
    <row r="61" spans="1:13" ht="15.75">
      <c r="A61" s="24" t="s">
        <v>190</v>
      </c>
      <c r="B61" s="20">
        <v>902</v>
      </c>
      <c r="C61" s="25" t="s">
        <v>169</v>
      </c>
      <c r="D61" s="25" t="s">
        <v>191</v>
      </c>
      <c r="E61" s="25"/>
      <c r="F61" s="25"/>
      <c r="G61" s="22">
        <f>G62+G66+G78+G93+G107+G97</f>
        <v>10686.8</v>
      </c>
      <c r="H61" s="22">
        <f>H62+H66+H78+H93+H107+H97</f>
        <v>10151.499999999998</v>
      </c>
      <c r="I61" s="27">
        <f t="shared" si="0"/>
        <v>94.99101695549649</v>
      </c>
      <c r="J61" s="209"/>
      <c r="K61" s="281"/>
      <c r="L61" s="281"/>
      <c r="M61" s="281"/>
    </row>
    <row r="62" spans="1:9" ht="51" customHeight="1" hidden="1">
      <c r="A62" s="26" t="s">
        <v>206</v>
      </c>
      <c r="B62" s="17">
        <v>902</v>
      </c>
      <c r="C62" s="21" t="s">
        <v>169</v>
      </c>
      <c r="D62" s="21" t="s">
        <v>191</v>
      </c>
      <c r="E62" s="21" t="s">
        <v>207</v>
      </c>
      <c r="F62" s="21"/>
      <c r="G62" s="27">
        <f aca="true" t="shared" si="4" ref="G62:H64">G63</f>
        <v>0</v>
      </c>
      <c r="H62" s="27">
        <f t="shared" si="4"/>
        <v>0</v>
      </c>
      <c r="I62" s="27" t="e">
        <f t="shared" si="0"/>
        <v>#DIV/0!</v>
      </c>
    </row>
    <row r="63" spans="1:9" ht="31.5" hidden="1">
      <c r="A63" s="26" t="s">
        <v>208</v>
      </c>
      <c r="B63" s="17">
        <v>902</v>
      </c>
      <c r="C63" s="21" t="s">
        <v>169</v>
      </c>
      <c r="D63" s="21" t="s">
        <v>191</v>
      </c>
      <c r="E63" s="21" t="s">
        <v>209</v>
      </c>
      <c r="F63" s="21"/>
      <c r="G63" s="27">
        <f t="shared" si="4"/>
        <v>0</v>
      </c>
      <c r="H63" s="27">
        <f t="shared" si="4"/>
        <v>0</v>
      </c>
      <c r="I63" s="27" t="e">
        <f t="shared" si="0"/>
        <v>#DIV/0!</v>
      </c>
    </row>
    <row r="64" spans="1:9" ht="15.75" hidden="1">
      <c r="A64" s="26" t="s">
        <v>186</v>
      </c>
      <c r="B64" s="17">
        <v>902</v>
      </c>
      <c r="C64" s="21" t="s">
        <v>169</v>
      </c>
      <c r="D64" s="21" t="s">
        <v>191</v>
      </c>
      <c r="E64" s="21" t="s">
        <v>209</v>
      </c>
      <c r="F64" s="21" t="s">
        <v>196</v>
      </c>
      <c r="G64" s="27">
        <f t="shared" si="4"/>
        <v>0</v>
      </c>
      <c r="H64" s="27">
        <f t="shared" si="4"/>
        <v>0</v>
      </c>
      <c r="I64" s="27" t="e">
        <f t="shared" si="0"/>
        <v>#DIV/0!</v>
      </c>
    </row>
    <row r="65" spans="1:9" ht="66.75" customHeight="1" hidden="1">
      <c r="A65" s="26" t="s">
        <v>210</v>
      </c>
      <c r="B65" s="17">
        <v>902</v>
      </c>
      <c r="C65" s="21" t="s">
        <v>169</v>
      </c>
      <c r="D65" s="21" t="s">
        <v>191</v>
      </c>
      <c r="E65" s="21" t="s">
        <v>209</v>
      </c>
      <c r="F65" s="21" t="s">
        <v>211</v>
      </c>
      <c r="G65" s="27">
        <v>0</v>
      </c>
      <c r="H65" s="27">
        <v>0</v>
      </c>
      <c r="I65" s="27" t="e">
        <f t="shared" si="0"/>
        <v>#DIV/0!</v>
      </c>
    </row>
    <row r="66" spans="1:9" ht="47.25">
      <c r="A66" s="26" t="s">
        <v>997</v>
      </c>
      <c r="B66" s="17">
        <v>902</v>
      </c>
      <c r="C66" s="21" t="s">
        <v>169</v>
      </c>
      <c r="D66" s="21" t="s">
        <v>191</v>
      </c>
      <c r="E66" s="21" t="s">
        <v>213</v>
      </c>
      <c r="F66" s="21"/>
      <c r="G66" s="27">
        <f>G67+G70+G75</f>
        <v>740.5</v>
      </c>
      <c r="H66" s="27">
        <f>H67+H70+H75</f>
        <v>652.5999999999999</v>
      </c>
      <c r="I66" s="27">
        <f t="shared" si="0"/>
        <v>88.12964213369344</v>
      </c>
    </row>
    <row r="67" spans="1:9" ht="31.5">
      <c r="A67" s="31" t="s">
        <v>214</v>
      </c>
      <c r="B67" s="17">
        <v>902</v>
      </c>
      <c r="C67" s="21" t="s">
        <v>169</v>
      </c>
      <c r="D67" s="21" t="s">
        <v>191</v>
      </c>
      <c r="E67" s="42" t="s">
        <v>215</v>
      </c>
      <c r="F67" s="21"/>
      <c r="G67" s="27">
        <f>G68</f>
        <v>491</v>
      </c>
      <c r="H67" s="27">
        <f>H68</f>
        <v>485.9</v>
      </c>
      <c r="I67" s="27">
        <f t="shared" si="0"/>
        <v>98.9613034623218</v>
      </c>
    </row>
    <row r="68" spans="1:9" ht="31.5">
      <c r="A68" s="26" t="s">
        <v>182</v>
      </c>
      <c r="B68" s="17">
        <v>902</v>
      </c>
      <c r="C68" s="21" t="s">
        <v>169</v>
      </c>
      <c r="D68" s="21" t="s">
        <v>191</v>
      </c>
      <c r="E68" s="42" t="s">
        <v>215</v>
      </c>
      <c r="F68" s="21" t="s">
        <v>183</v>
      </c>
      <c r="G68" s="27">
        <f>G69</f>
        <v>491</v>
      </c>
      <c r="H68" s="27">
        <f>H69</f>
        <v>485.9</v>
      </c>
      <c r="I68" s="27">
        <f t="shared" si="0"/>
        <v>98.9613034623218</v>
      </c>
    </row>
    <row r="69" spans="1:9" ht="47.25">
      <c r="A69" s="26" t="s">
        <v>184</v>
      </c>
      <c r="B69" s="17">
        <v>902</v>
      </c>
      <c r="C69" s="21" t="s">
        <v>169</v>
      </c>
      <c r="D69" s="21" t="s">
        <v>191</v>
      </c>
      <c r="E69" s="42" t="s">
        <v>215</v>
      </c>
      <c r="F69" s="21" t="s">
        <v>185</v>
      </c>
      <c r="G69" s="27">
        <f>428.1+62.9</f>
        <v>491</v>
      </c>
      <c r="H69" s="27">
        <v>485.9</v>
      </c>
      <c r="I69" s="27">
        <f t="shared" si="0"/>
        <v>98.9613034623218</v>
      </c>
    </row>
    <row r="70" spans="1:9" ht="63">
      <c r="A70" s="208" t="s">
        <v>216</v>
      </c>
      <c r="B70" s="17">
        <v>902</v>
      </c>
      <c r="C70" s="21" t="s">
        <v>169</v>
      </c>
      <c r="D70" s="21" t="s">
        <v>191</v>
      </c>
      <c r="E70" s="42" t="s">
        <v>217</v>
      </c>
      <c r="F70" s="21"/>
      <c r="G70" s="27">
        <f>G71+G73</f>
        <v>249.5</v>
      </c>
      <c r="H70" s="27">
        <f>H71+H73</f>
        <v>166.7</v>
      </c>
      <c r="I70" s="27">
        <f t="shared" si="0"/>
        <v>66.81362725450902</v>
      </c>
    </row>
    <row r="71" spans="1:9" ht="94.5">
      <c r="A71" s="26" t="s">
        <v>178</v>
      </c>
      <c r="B71" s="17">
        <v>902</v>
      </c>
      <c r="C71" s="21" t="s">
        <v>169</v>
      </c>
      <c r="D71" s="21" t="s">
        <v>191</v>
      </c>
      <c r="E71" s="42" t="s">
        <v>217</v>
      </c>
      <c r="F71" s="21" t="s">
        <v>179</v>
      </c>
      <c r="G71" s="27">
        <f>G72</f>
        <v>159.7</v>
      </c>
      <c r="H71" s="27">
        <f>H72</f>
        <v>124.5</v>
      </c>
      <c r="I71" s="27">
        <f t="shared" si="0"/>
        <v>77.95867251095805</v>
      </c>
    </row>
    <row r="72" spans="1:9" ht="31.5">
      <c r="A72" s="26" t="s">
        <v>180</v>
      </c>
      <c r="B72" s="17">
        <v>902</v>
      </c>
      <c r="C72" s="21" t="s">
        <v>169</v>
      </c>
      <c r="D72" s="21" t="s">
        <v>191</v>
      </c>
      <c r="E72" s="42" t="s">
        <v>217</v>
      </c>
      <c r="F72" s="21" t="s">
        <v>181</v>
      </c>
      <c r="G72" s="27">
        <v>159.7</v>
      </c>
      <c r="H72" s="27">
        <v>124.5</v>
      </c>
      <c r="I72" s="27">
        <f t="shared" si="0"/>
        <v>77.95867251095805</v>
      </c>
    </row>
    <row r="73" spans="1:9" ht="31.5">
      <c r="A73" s="26" t="s">
        <v>182</v>
      </c>
      <c r="B73" s="17">
        <v>902</v>
      </c>
      <c r="C73" s="21" t="s">
        <v>169</v>
      </c>
      <c r="D73" s="21" t="s">
        <v>191</v>
      </c>
      <c r="E73" s="42" t="s">
        <v>217</v>
      </c>
      <c r="F73" s="21" t="s">
        <v>183</v>
      </c>
      <c r="G73" s="27">
        <f>G74</f>
        <v>89.80000000000001</v>
      </c>
      <c r="H73" s="27">
        <f>H74</f>
        <v>42.2</v>
      </c>
      <c r="I73" s="27">
        <f t="shared" si="0"/>
        <v>46.99331848552338</v>
      </c>
    </row>
    <row r="74" spans="1:9" ht="47.25">
      <c r="A74" s="26" t="s">
        <v>184</v>
      </c>
      <c r="B74" s="17">
        <v>902</v>
      </c>
      <c r="C74" s="21" t="s">
        <v>169</v>
      </c>
      <c r="D74" s="21" t="s">
        <v>191</v>
      </c>
      <c r="E74" s="42" t="s">
        <v>217</v>
      </c>
      <c r="F74" s="21" t="s">
        <v>185</v>
      </c>
      <c r="G74" s="27">
        <f>65.2+24.6</f>
        <v>89.80000000000001</v>
      </c>
      <c r="H74" s="27">
        <v>42.2</v>
      </c>
      <c r="I74" s="27">
        <f t="shared" si="0"/>
        <v>46.99331848552338</v>
      </c>
    </row>
    <row r="75" spans="1:9" ht="47.25" hidden="1">
      <c r="A75" s="35" t="s">
        <v>242</v>
      </c>
      <c r="B75" s="17">
        <v>902</v>
      </c>
      <c r="C75" s="21" t="s">
        <v>169</v>
      </c>
      <c r="D75" s="21" t="s">
        <v>191</v>
      </c>
      <c r="E75" s="42" t="s">
        <v>760</v>
      </c>
      <c r="F75" s="21"/>
      <c r="G75" s="27">
        <f>G76</f>
        <v>0</v>
      </c>
      <c r="H75" s="27">
        <f>H76</f>
        <v>0</v>
      </c>
      <c r="I75" s="27" t="e">
        <f aca="true" t="shared" si="5" ref="I75:I138">H75/G75*100</f>
        <v>#DIV/0!</v>
      </c>
    </row>
    <row r="76" spans="1:9" ht="31.5" hidden="1">
      <c r="A76" s="26" t="s">
        <v>182</v>
      </c>
      <c r="B76" s="17">
        <v>902</v>
      </c>
      <c r="C76" s="21" t="s">
        <v>169</v>
      </c>
      <c r="D76" s="21" t="s">
        <v>191</v>
      </c>
      <c r="E76" s="42" t="s">
        <v>760</v>
      </c>
      <c r="F76" s="21" t="s">
        <v>183</v>
      </c>
      <c r="G76" s="27">
        <f>G77</f>
        <v>0</v>
      </c>
      <c r="H76" s="27">
        <f>H77</f>
        <v>0</v>
      </c>
      <c r="I76" s="27" t="e">
        <f t="shared" si="5"/>
        <v>#DIV/0!</v>
      </c>
    </row>
    <row r="77" spans="1:9" ht="47.25" hidden="1">
      <c r="A77" s="26" t="s">
        <v>184</v>
      </c>
      <c r="B77" s="17">
        <v>902</v>
      </c>
      <c r="C77" s="21" t="s">
        <v>169</v>
      </c>
      <c r="D77" s="21" t="s">
        <v>191</v>
      </c>
      <c r="E77" s="42" t="s">
        <v>760</v>
      </c>
      <c r="F77" s="21" t="s">
        <v>185</v>
      </c>
      <c r="G77" s="27">
        <f>0.5-0.5</f>
        <v>0</v>
      </c>
      <c r="H77" s="27">
        <f>0.5-0.5</f>
        <v>0</v>
      </c>
      <c r="I77" s="27" t="e">
        <f t="shared" si="5"/>
        <v>#DIV/0!</v>
      </c>
    </row>
    <row r="78" spans="1:9" ht="94.5">
      <c r="A78" s="31" t="s">
        <v>218</v>
      </c>
      <c r="B78" s="17">
        <v>902</v>
      </c>
      <c r="C78" s="10" t="s">
        <v>169</v>
      </c>
      <c r="D78" s="10" t="s">
        <v>191</v>
      </c>
      <c r="E78" s="6" t="s">
        <v>219</v>
      </c>
      <c r="F78" s="10"/>
      <c r="G78" s="27">
        <f>G79+G83+G87</f>
        <v>95</v>
      </c>
      <c r="H78" s="27">
        <f>H79+H83+H87</f>
        <v>24.5</v>
      </c>
      <c r="I78" s="27">
        <f t="shared" si="5"/>
        <v>25.789473684210527</v>
      </c>
    </row>
    <row r="79" spans="1:9" ht="78.75" hidden="1">
      <c r="A79" s="31" t="s">
        <v>220</v>
      </c>
      <c r="B79" s="17">
        <v>902</v>
      </c>
      <c r="C79" s="10" t="s">
        <v>169</v>
      </c>
      <c r="D79" s="10" t="s">
        <v>191</v>
      </c>
      <c r="E79" s="32" t="s">
        <v>221</v>
      </c>
      <c r="F79" s="10"/>
      <c r="G79" s="27">
        <f aca="true" t="shared" si="6" ref="G79:H81">G80</f>
        <v>0</v>
      </c>
      <c r="H79" s="27">
        <f t="shared" si="6"/>
        <v>0</v>
      </c>
      <c r="I79" s="27" t="e">
        <f t="shared" si="5"/>
        <v>#DIV/0!</v>
      </c>
    </row>
    <row r="80" spans="1:9" ht="31.5" hidden="1">
      <c r="A80" s="208" t="s">
        <v>222</v>
      </c>
      <c r="B80" s="17">
        <v>902</v>
      </c>
      <c r="C80" s="10" t="s">
        <v>169</v>
      </c>
      <c r="D80" s="10" t="s">
        <v>191</v>
      </c>
      <c r="E80" s="6" t="s">
        <v>223</v>
      </c>
      <c r="F80" s="10"/>
      <c r="G80" s="27">
        <f t="shared" si="6"/>
        <v>0</v>
      </c>
      <c r="H80" s="27">
        <f t="shared" si="6"/>
        <v>0</v>
      </c>
      <c r="I80" s="27" t="e">
        <f t="shared" si="5"/>
        <v>#DIV/0!</v>
      </c>
    </row>
    <row r="81" spans="1:9" ht="31.5" hidden="1">
      <c r="A81" s="26" t="s">
        <v>182</v>
      </c>
      <c r="B81" s="17">
        <v>902</v>
      </c>
      <c r="C81" s="10" t="s">
        <v>169</v>
      </c>
      <c r="D81" s="10" t="s">
        <v>191</v>
      </c>
      <c r="E81" s="6" t="s">
        <v>223</v>
      </c>
      <c r="F81" s="10" t="s">
        <v>183</v>
      </c>
      <c r="G81" s="27">
        <f t="shared" si="6"/>
        <v>0</v>
      </c>
      <c r="H81" s="27">
        <f t="shared" si="6"/>
        <v>0</v>
      </c>
      <c r="I81" s="27" t="e">
        <f t="shared" si="5"/>
        <v>#DIV/0!</v>
      </c>
    </row>
    <row r="82" spans="1:9" ht="47.25" hidden="1">
      <c r="A82" s="26" t="s">
        <v>184</v>
      </c>
      <c r="B82" s="17">
        <v>902</v>
      </c>
      <c r="C82" s="10" t="s">
        <v>169</v>
      </c>
      <c r="D82" s="10" t="s">
        <v>191</v>
      </c>
      <c r="E82" s="6" t="s">
        <v>223</v>
      </c>
      <c r="F82" s="10" t="s">
        <v>185</v>
      </c>
      <c r="G82" s="27">
        <f>25-25</f>
        <v>0</v>
      </c>
      <c r="H82" s="27">
        <f>25-25</f>
        <v>0</v>
      </c>
      <c r="I82" s="27" t="e">
        <f t="shared" si="5"/>
        <v>#DIV/0!</v>
      </c>
    </row>
    <row r="83" spans="1:9" ht="63">
      <c r="A83" s="31" t="s">
        <v>224</v>
      </c>
      <c r="B83" s="17">
        <v>902</v>
      </c>
      <c r="C83" s="10" t="s">
        <v>169</v>
      </c>
      <c r="D83" s="10" t="s">
        <v>191</v>
      </c>
      <c r="E83" s="32" t="s">
        <v>225</v>
      </c>
      <c r="F83" s="10"/>
      <c r="G83" s="27">
        <f aca="true" t="shared" si="7" ref="G83:H85">G84</f>
        <v>70</v>
      </c>
      <c r="H83" s="27">
        <f t="shared" si="7"/>
        <v>14.5</v>
      </c>
      <c r="I83" s="27">
        <f t="shared" si="5"/>
        <v>20.714285714285715</v>
      </c>
    </row>
    <row r="84" spans="1:9" ht="31.5">
      <c r="A84" s="47" t="s">
        <v>226</v>
      </c>
      <c r="B84" s="17">
        <v>902</v>
      </c>
      <c r="C84" s="10" t="s">
        <v>169</v>
      </c>
      <c r="D84" s="10" t="s">
        <v>191</v>
      </c>
      <c r="E84" s="6" t="s">
        <v>227</v>
      </c>
      <c r="F84" s="10"/>
      <c r="G84" s="27">
        <f t="shared" si="7"/>
        <v>70</v>
      </c>
      <c r="H84" s="27">
        <f t="shared" si="7"/>
        <v>14.5</v>
      </c>
      <c r="I84" s="27">
        <f t="shared" si="5"/>
        <v>20.714285714285715</v>
      </c>
    </row>
    <row r="85" spans="1:9" ht="31.5">
      <c r="A85" s="26" t="s">
        <v>182</v>
      </c>
      <c r="B85" s="17">
        <v>902</v>
      </c>
      <c r="C85" s="10" t="s">
        <v>169</v>
      </c>
      <c r="D85" s="10" t="s">
        <v>191</v>
      </c>
      <c r="E85" s="6" t="s">
        <v>227</v>
      </c>
      <c r="F85" s="10" t="s">
        <v>183</v>
      </c>
      <c r="G85" s="27">
        <f t="shared" si="7"/>
        <v>70</v>
      </c>
      <c r="H85" s="27">
        <f t="shared" si="7"/>
        <v>14.5</v>
      </c>
      <c r="I85" s="27">
        <f t="shared" si="5"/>
        <v>20.714285714285715</v>
      </c>
    </row>
    <row r="86" spans="1:9" ht="47.25">
      <c r="A86" s="26" t="s">
        <v>184</v>
      </c>
      <c r="B86" s="17">
        <v>902</v>
      </c>
      <c r="C86" s="10" t="s">
        <v>169</v>
      </c>
      <c r="D86" s="10" t="s">
        <v>191</v>
      </c>
      <c r="E86" s="6" t="s">
        <v>227</v>
      </c>
      <c r="F86" s="10" t="s">
        <v>185</v>
      </c>
      <c r="G86" s="27">
        <v>70</v>
      </c>
      <c r="H86" s="27">
        <v>14.5</v>
      </c>
      <c r="I86" s="27">
        <f t="shared" si="5"/>
        <v>20.714285714285715</v>
      </c>
    </row>
    <row r="87" spans="1:9" ht="47.25">
      <c r="A87" s="26" t="s">
        <v>228</v>
      </c>
      <c r="B87" s="17">
        <v>902</v>
      </c>
      <c r="C87" s="10" t="s">
        <v>169</v>
      </c>
      <c r="D87" s="10" t="s">
        <v>191</v>
      </c>
      <c r="E87" s="6" t="s">
        <v>229</v>
      </c>
      <c r="F87" s="10"/>
      <c r="G87" s="27">
        <f>G88+G91</f>
        <v>25</v>
      </c>
      <c r="H87" s="27">
        <f>H88+H91</f>
        <v>10</v>
      </c>
      <c r="I87" s="27">
        <f t="shared" si="5"/>
        <v>40</v>
      </c>
    </row>
    <row r="88" spans="1:9" ht="15.75">
      <c r="A88" s="47" t="s">
        <v>230</v>
      </c>
      <c r="B88" s="17">
        <v>902</v>
      </c>
      <c r="C88" s="10" t="s">
        <v>169</v>
      </c>
      <c r="D88" s="10" t="s">
        <v>191</v>
      </c>
      <c r="E88" s="6" t="s">
        <v>231</v>
      </c>
      <c r="F88" s="10"/>
      <c r="G88" s="27">
        <f>G89</f>
        <v>15</v>
      </c>
      <c r="H88" s="27">
        <f>H89</f>
        <v>0</v>
      </c>
      <c r="I88" s="27">
        <f t="shared" si="5"/>
        <v>0</v>
      </c>
    </row>
    <row r="89" spans="1:9" ht="31.5">
      <c r="A89" s="26" t="s">
        <v>182</v>
      </c>
      <c r="B89" s="17">
        <v>902</v>
      </c>
      <c r="C89" s="10" t="s">
        <v>169</v>
      </c>
      <c r="D89" s="10" t="s">
        <v>191</v>
      </c>
      <c r="E89" s="6" t="s">
        <v>231</v>
      </c>
      <c r="F89" s="10" t="s">
        <v>183</v>
      </c>
      <c r="G89" s="27">
        <f>G90</f>
        <v>15</v>
      </c>
      <c r="H89" s="27">
        <f>H90</f>
        <v>0</v>
      </c>
      <c r="I89" s="27">
        <f t="shared" si="5"/>
        <v>0</v>
      </c>
    </row>
    <row r="90" spans="1:9" ht="47.25">
      <c r="A90" s="26" t="s">
        <v>184</v>
      </c>
      <c r="B90" s="17">
        <v>902</v>
      </c>
      <c r="C90" s="10" t="s">
        <v>169</v>
      </c>
      <c r="D90" s="10" t="s">
        <v>191</v>
      </c>
      <c r="E90" s="6" t="s">
        <v>231</v>
      </c>
      <c r="F90" s="10" t="s">
        <v>185</v>
      </c>
      <c r="G90" s="27">
        <f>25-10</f>
        <v>15</v>
      </c>
      <c r="H90" s="27">
        <v>0</v>
      </c>
      <c r="I90" s="27">
        <f t="shared" si="5"/>
        <v>0</v>
      </c>
    </row>
    <row r="91" spans="1:9" ht="30" customHeight="1">
      <c r="A91" s="26" t="s">
        <v>299</v>
      </c>
      <c r="B91" s="17">
        <v>902</v>
      </c>
      <c r="C91" s="10" t="s">
        <v>169</v>
      </c>
      <c r="D91" s="10" t="s">
        <v>191</v>
      </c>
      <c r="E91" s="6" t="s">
        <v>231</v>
      </c>
      <c r="F91" s="10" t="s">
        <v>300</v>
      </c>
      <c r="G91" s="27">
        <f>G92</f>
        <v>10</v>
      </c>
      <c r="H91" s="27">
        <f>H92</f>
        <v>10</v>
      </c>
      <c r="I91" s="27">
        <f t="shared" si="5"/>
        <v>100</v>
      </c>
    </row>
    <row r="92" spans="1:9" ht="15.75" customHeight="1">
      <c r="A92" s="26" t="s">
        <v>1036</v>
      </c>
      <c r="B92" s="17">
        <v>902</v>
      </c>
      <c r="C92" s="10" t="s">
        <v>169</v>
      </c>
      <c r="D92" s="10" t="s">
        <v>191</v>
      </c>
      <c r="E92" s="6" t="s">
        <v>231</v>
      </c>
      <c r="F92" s="10" t="s">
        <v>1035</v>
      </c>
      <c r="G92" s="27">
        <v>10</v>
      </c>
      <c r="H92" s="27">
        <v>10</v>
      </c>
      <c r="I92" s="27">
        <f t="shared" si="5"/>
        <v>100</v>
      </c>
    </row>
    <row r="93" spans="1:9" ht="47.25" hidden="1">
      <c r="A93" s="33" t="s">
        <v>232</v>
      </c>
      <c r="B93" s="17">
        <v>902</v>
      </c>
      <c r="C93" s="21" t="s">
        <v>169</v>
      </c>
      <c r="D93" s="21" t="s">
        <v>191</v>
      </c>
      <c r="E93" s="32" t="s">
        <v>233</v>
      </c>
      <c r="F93" s="34"/>
      <c r="G93" s="27">
        <f aca="true" t="shared" si="8" ref="G93:H95">G94</f>
        <v>0</v>
      </c>
      <c r="H93" s="27">
        <f t="shared" si="8"/>
        <v>0</v>
      </c>
      <c r="I93" s="27" t="e">
        <f t="shared" si="5"/>
        <v>#DIV/0!</v>
      </c>
    </row>
    <row r="94" spans="1:9" ht="31.5" hidden="1">
      <c r="A94" s="26" t="s">
        <v>208</v>
      </c>
      <c r="B94" s="17">
        <v>902</v>
      </c>
      <c r="C94" s="21" t="s">
        <v>169</v>
      </c>
      <c r="D94" s="21" t="s">
        <v>191</v>
      </c>
      <c r="E94" s="21" t="s">
        <v>234</v>
      </c>
      <c r="F94" s="34"/>
      <c r="G94" s="27">
        <f t="shared" si="8"/>
        <v>0</v>
      </c>
      <c r="H94" s="27">
        <f t="shared" si="8"/>
        <v>0</v>
      </c>
      <c r="I94" s="27" t="e">
        <f t="shared" si="5"/>
        <v>#DIV/0!</v>
      </c>
    </row>
    <row r="95" spans="1:9" ht="15.75" hidden="1">
      <c r="A95" s="31" t="s">
        <v>186</v>
      </c>
      <c r="B95" s="17">
        <v>902</v>
      </c>
      <c r="C95" s="21" t="s">
        <v>169</v>
      </c>
      <c r="D95" s="21" t="s">
        <v>191</v>
      </c>
      <c r="E95" s="21" t="s">
        <v>234</v>
      </c>
      <c r="F95" s="34" t="s">
        <v>196</v>
      </c>
      <c r="G95" s="27">
        <f t="shared" si="8"/>
        <v>0</v>
      </c>
      <c r="H95" s="27">
        <f t="shared" si="8"/>
        <v>0</v>
      </c>
      <c r="I95" s="27" t="e">
        <f t="shared" si="5"/>
        <v>#DIV/0!</v>
      </c>
    </row>
    <row r="96" spans="1:9" ht="51.75" customHeight="1" hidden="1">
      <c r="A96" s="31" t="s">
        <v>235</v>
      </c>
      <c r="B96" s="17">
        <v>902</v>
      </c>
      <c r="C96" s="21" t="s">
        <v>169</v>
      </c>
      <c r="D96" s="21" t="s">
        <v>191</v>
      </c>
      <c r="E96" s="21" t="s">
        <v>234</v>
      </c>
      <c r="F96" s="34" t="s">
        <v>211</v>
      </c>
      <c r="G96" s="27">
        <v>0</v>
      </c>
      <c r="H96" s="27">
        <v>0</v>
      </c>
      <c r="I96" s="27" t="e">
        <f t="shared" si="5"/>
        <v>#DIV/0!</v>
      </c>
    </row>
    <row r="97" spans="1:9" ht="63">
      <c r="A97" s="31" t="s">
        <v>942</v>
      </c>
      <c r="B97" s="17">
        <v>902</v>
      </c>
      <c r="C97" s="21" t="s">
        <v>169</v>
      </c>
      <c r="D97" s="21" t="s">
        <v>191</v>
      </c>
      <c r="E97" s="21" t="s">
        <v>795</v>
      </c>
      <c r="F97" s="34"/>
      <c r="G97" s="27">
        <f>G98+G104</f>
        <v>38</v>
      </c>
      <c r="H97" s="27">
        <f>H98+H104</f>
        <v>25.3</v>
      </c>
      <c r="I97" s="27">
        <f t="shared" si="5"/>
        <v>66.57894736842105</v>
      </c>
    </row>
    <row r="98" spans="1:9" ht="47.25">
      <c r="A98" s="123" t="s">
        <v>926</v>
      </c>
      <c r="B98" s="17">
        <v>902</v>
      </c>
      <c r="C98" s="21" t="s">
        <v>169</v>
      </c>
      <c r="D98" s="21" t="s">
        <v>191</v>
      </c>
      <c r="E98" s="21" t="s">
        <v>925</v>
      </c>
      <c r="F98" s="34"/>
      <c r="G98" s="27">
        <f>G99</f>
        <v>23</v>
      </c>
      <c r="H98" s="27">
        <f>H99</f>
        <v>14.3</v>
      </c>
      <c r="I98" s="27">
        <f t="shared" si="5"/>
        <v>62.173913043478265</v>
      </c>
    </row>
    <row r="99" spans="1:9" ht="31.5">
      <c r="A99" s="26" t="s">
        <v>182</v>
      </c>
      <c r="B99" s="17">
        <v>902</v>
      </c>
      <c r="C99" s="21" t="s">
        <v>169</v>
      </c>
      <c r="D99" s="21" t="s">
        <v>191</v>
      </c>
      <c r="E99" s="21" t="s">
        <v>925</v>
      </c>
      <c r="F99" s="34" t="s">
        <v>183</v>
      </c>
      <c r="G99" s="27">
        <f>G100</f>
        <v>23</v>
      </c>
      <c r="H99" s="27">
        <f>H100</f>
        <v>14.3</v>
      </c>
      <c r="I99" s="27">
        <f t="shared" si="5"/>
        <v>62.173913043478265</v>
      </c>
    </row>
    <row r="100" spans="1:9" ht="47.25">
      <c r="A100" s="26" t="s">
        <v>184</v>
      </c>
      <c r="B100" s="17">
        <v>902</v>
      </c>
      <c r="C100" s="21" t="s">
        <v>169</v>
      </c>
      <c r="D100" s="21" t="s">
        <v>191</v>
      </c>
      <c r="E100" s="21" t="s">
        <v>925</v>
      </c>
      <c r="F100" s="34" t="s">
        <v>185</v>
      </c>
      <c r="G100" s="27">
        <v>23</v>
      </c>
      <c r="H100" s="27">
        <v>14.3</v>
      </c>
      <c r="I100" s="27">
        <f t="shared" si="5"/>
        <v>62.173913043478265</v>
      </c>
    </row>
    <row r="101" spans="1:9" ht="15.75" customHeight="1" hidden="1">
      <c r="A101" s="31"/>
      <c r="B101" s="17"/>
      <c r="C101" s="21"/>
      <c r="D101" s="21"/>
      <c r="E101" s="21"/>
      <c r="F101" s="34"/>
      <c r="G101" s="27"/>
      <c r="H101" s="27"/>
      <c r="I101" s="27" t="e">
        <f t="shared" si="5"/>
        <v>#DIV/0!</v>
      </c>
    </row>
    <row r="102" spans="1:9" ht="15.75" customHeight="1" hidden="1">
      <c r="A102" s="26"/>
      <c r="B102" s="17"/>
      <c r="C102" s="21"/>
      <c r="D102" s="21"/>
      <c r="E102" s="21"/>
      <c r="F102" s="34"/>
      <c r="G102" s="27"/>
      <c r="H102" s="27"/>
      <c r="I102" s="27" t="e">
        <f t="shared" si="5"/>
        <v>#DIV/0!</v>
      </c>
    </row>
    <row r="103" spans="1:9" ht="15.75" customHeight="1" hidden="1">
      <c r="A103" s="26"/>
      <c r="B103" s="17"/>
      <c r="C103" s="21"/>
      <c r="D103" s="21"/>
      <c r="E103" s="21"/>
      <c r="F103" s="34"/>
      <c r="G103" s="27"/>
      <c r="H103" s="27"/>
      <c r="I103" s="27" t="e">
        <f t="shared" si="5"/>
        <v>#DIV/0!</v>
      </c>
    </row>
    <row r="104" spans="1:9" ht="34.5" customHeight="1">
      <c r="A104" s="262" t="s">
        <v>928</v>
      </c>
      <c r="B104" s="17">
        <v>902</v>
      </c>
      <c r="C104" s="21" t="s">
        <v>169</v>
      </c>
      <c r="D104" s="21" t="s">
        <v>191</v>
      </c>
      <c r="E104" s="21" t="s">
        <v>927</v>
      </c>
      <c r="F104" s="34"/>
      <c r="G104" s="27">
        <f>G105</f>
        <v>15</v>
      </c>
      <c r="H104" s="27">
        <f>H105</f>
        <v>11</v>
      </c>
      <c r="I104" s="27">
        <f t="shared" si="5"/>
        <v>73.33333333333333</v>
      </c>
    </row>
    <row r="105" spans="1:9" ht="36" customHeight="1">
      <c r="A105" s="26" t="s">
        <v>182</v>
      </c>
      <c r="B105" s="17">
        <v>902</v>
      </c>
      <c r="C105" s="21" t="s">
        <v>169</v>
      </c>
      <c r="D105" s="21" t="s">
        <v>191</v>
      </c>
      <c r="E105" s="21" t="s">
        <v>927</v>
      </c>
      <c r="F105" s="34" t="s">
        <v>183</v>
      </c>
      <c r="G105" s="27">
        <f>G106</f>
        <v>15</v>
      </c>
      <c r="H105" s="27">
        <f>H106</f>
        <v>11</v>
      </c>
      <c r="I105" s="27">
        <f t="shared" si="5"/>
        <v>73.33333333333333</v>
      </c>
    </row>
    <row r="106" spans="1:9" ht="49.5" customHeight="1">
      <c r="A106" s="26" t="s">
        <v>184</v>
      </c>
      <c r="B106" s="17">
        <v>902</v>
      </c>
      <c r="C106" s="21" t="s">
        <v>169</v>
      </c>
      <c r="D106" s="21" t="s">
        <v>191</v>
      </c>
      <c r="E106" s="21" t="s">
        <v>927</v>
      </c>
      <c r="F106" s="34" t="s">
        <v>185</v>
      </c>
      <c r="G106" s="27">
        <v>15</v>
      </c>
      <c r="H106" s="27">
        <v>11</v>
      </c>
      <c r="I106" s="27">
        <f t="shared" si="5"/>
        <v>73.33333333333333</v>
      </c>
    </row>
    <row r="107" spans="1:9" ht="15.75">
      <c r="A107" s="26" t="s">
        <v>172</v>
      </c>
      <c r="B107" s="17">
        <v>902</v>
      </c>
      <c r="C107" s="21" t="s">
        <v>169</v>
      </c>
      <c r="D107" s="21" t="s">
        <v>191</v>
      </c>
      <c r="E107" s="21" t="s">
        <v>173</v>
      </c>
      <c r="F107" s="21"/>
      <c r="G107" s="27">
        <f>G108+G135</f>
        <v>9813.3</v>
      </c>
      <c r="H107" s="27">
        <f>H108+H135</f>
        <v>9449.099999999999</v>
      </c>
      <c r="I107" s="27">
        <f t="shared" si="5"/>
        <v>96.28871021980373</v>
      </c>
    </row>
    <row r="108" spans="1:13" ht="31.5">
      <c r="A108" s="26" t="s">
        <v>236</v>
      </c>
      <c r="B108" s="17">
        <v>902</v>
      </c>
      <c r="C108" s="21" t="s">
        <v>169</v>
      </c>
      <c r="D108" s="21" t="s">
        <v>191</v>
      </c>
      <c r="E108" s="21" t="s">
        <v>237</v>
      </c>
      <c r="F108" s="21"/>
      <c r="G108" s="27">
        <f>G114+G119+G125+G130+G109</f>
        <v>3478.3999999999996</v>
      </c>
      <c r="H108" s="27">
        <f>H114+H119+H125+H130+H109</f>
        <v>3185.8999999999996</v>
      </c>
      <c r="I108" s="27">
        <f t="shared" si="5"/>
        <v>91.59096136154554</v>
      </c>
      <c r="J108" s="209"/>
      <c r="K108" s="281"/>
      <c r="L108" s="281"/>
      <c r="M108" s="281"/>
    </row>
    <row r="109" spans="1:9" ht="47.25" customHeight="1">
      <c r="A109" s="26" t="s">
        <v>941</v>
      </c>
      <c r="B109" s="17">
        <v>902</v>
      </c>
      <c r="C109" s="21" t="s">
        <v>169</v>
      </c>
      <c r="D109" s="21" t="s">
        <v>191</v>
      </c>
      <c r="E109" s="21" t="s">
        <v>239</v>
      </c>
      <c r="F109" s="25"/>
      <c r="G109" s="27">
        <f>G110+G112</f>
        <v>41.2</v>
      </c>
      <c r="H109" s="27">
        <f>H110+H112</f>
        <v>41.2</v>
      </c>
      <c r="I109" s="27">
        <f t="shared" si="5"/>
        <v>100</v>
      </c>
    </row>
    <row r="110" spans="1:9" ht="94.5" customHeight="1" hidden="1">
      <c r="A110" s="26" t="s">
        <v>178</v>
      </c>
      <c r="B110" s="17">
        <v>902</v>
      </c>
      <c r="C110" s="21" t="s">
        <v>169</v>
      </c>
      <c r="D110" s="21" t="s">
        <v>191</v>
      </c>
      <c r="E110" s="21" t="s">
        <v>239</v>
      </c>
      <c r="F110" s="21" t="s">
        <v>179</v>
      </c>
      <c r="G110" s="27">
        <f>G111</f>
        <v>0</v>
      </c>
      <c r="H110" s="27">
        <f>H111</f>
        <v>0</v>
      </c>
      <c r="I110" s="27" t="e">
        <f t="shared" si="5"/>
        <v>#DIV/0!</v>
      </c>
    </row>
    <row r="111" spans="1:10" ht="31.5" customHeight="1" hidden="1">
      <c r="A111" s="26" t="s">
        <v>180</v>
      </c>
      <c r="B111" s="17">
        <v>902</v>
      </c>
      <c r="C111" s="21" t="s">
        <v>169</v>
      </c>
      <c r="D111" s="21" t="s">
        <v>191</v>
      </c>
      <c r="E111" s="21" t="s">
        <v>239</v>
      </c>
      <c r="F111" s="21" t="s">
        <v>181</v>
      </c>
      <c r="G111" s="27">
        <f>96.2-55-41.2</f>
        <v>0</v>
      </c>
      <c r="H111" s="27">
        <f>96.2-55-41.2</f>
        <v>0</v>
      </c>
      <c r="I111" s="27" t="e">
        <f t="shared" si="5"/>
        <v>#DIV/0!</v>
      </c>
      <c r="J111" s="277"/>
    </row>
    <row r="112" spans="1:9" ht="31.5" customHeight="1">
      <c r="A112" s="26" t="s">
        <v>182</v>
      </c>
      <c r="B112" s="17">
        <v>902</v>
      </c>
      <c r="C112" s="21" t="s">
        <v>169</v>
      </c>
      <c r="D112" s="21" t="s">
        <v>191</v>
      </c>
      <c r="E112" s="21" t="s">
        <v>239</v>
      </c>
      <c r="F112" s="21" t="s">
        <v>183</v>
      </c>
      <c r="G112" s="27">
        <f>G113</f>
        <v>41.2</v>
      </c>
      <c r="H112" s="27">
        <f>H113</f>
        <v>41.2</v>
      </c>
      <c r="I112" s="27">
        <f t="shared" si="5"/>
        <v>100</v>
      </c>
    </row>
    <row r="113" spans="1:10" ht="47.25" customHeight="1">
      <c r="A113" s="26" t="s">
        <v>184</v>
      </c>
      <c r="B113" s="17">
        <v>902</v>
      </c>
      <c r="C113" s="21" t="s">
        <v>169</v>
      </c>
      <c r="D113" s="21" t="s">
        <v>191</v>
      </c>
      <c r="E113" s="21" t="s">
        <v>239</v>
      </c>
      <c r="F113" s="21" t="s">
        <v>185</v>
      </c>
      <c r="G113" s="27">
        <f>55-13.8</f>
        <v>41.2</v>
      </c>
      <c r="H113" s="27">
        <v>41.2</v>
      </c>
      <c r="I113" s="27">
        <f t="shared" si="5"/>
        <v>100</v>
      </c>
      <c r="J113" s="277"/>
    </row>
    <row r="114" spans="1:9" ht="47.25">
      <c r="A114" s="33" t="s">
        <v>240</v>
      </c>
      <c r="B114" s="17">
        <v>902</v>
      </c>
      <c r="C114" s="21" t="s">
        <v>169</v>
      </c>
      <c r="D114" s="21" t="s">
        <v>191</v>
      </c>
      <c r="E114" s="21" t="s">
        <v>241</v>
      </c>
      <c r="F114" s="21"/>
      <c r="G114" s="27">
        <f>G115+G117</f>
        <v>909.7</v>
      </c>
      <c r="H114" s="27">
        <f>H115+H117</f>
        <v>808.9</v>
      </c>
      <c r="I114" s="27">
        <f t="shared" si="5"/>
        <v>88.91942398592943</v>
      </c>
    </row>
    <row r="115" spans="1:9" ht="94.5">
      <c r="A115" s="26" t="s">
        <v>178</v>
      </c>
      <c r="B115" s="17">
        <v>902</v>
      </c>
      <c r="C115" s="21" t="s">
        <v>169</v>
      </c>
      <c r="D115" s="21" t="s">
        <v>191</v>
      </c>
      <c r="E115" s="21" t="s">
        <v>241</v>
      </c>
      <c r="F115" s="21" t="s">
        <v>179</v>
      </c>
      <c r="G115" s="27">
        <f>G116</f>
        <v>450.40000000000003</v>
      </c>
      <c r="H115" s="27">
        <f>H116</f>
        <v>450.4</v>
      </c>
      <c r="I115" s="27">
        <f t="shared" si="5"/>
        <v>99.99999999999999</v>
      </c>
    </row>
    <row r="116" spans="1:9" ht="31.5">
      <c r="A116" s="26" t="s">
        <v>180</v>
      </c>
      <c r="B116" s="17">
        <v>902</v>
      </c>
      <c r="C116" s="21" t="s">
        <v>169</v>
      </c>
      <c r="D116" s="21" t="s">
        <v>191</v>
      </c>
      <c r="E116" s="21" t="s">
        <v>241</v>
      </c>
      <c r="F116" s="21" t="s">
        <v>181</v>
      </c>
      <c r="G116" s="27">
        <f>471.1-20.7</f>
        <v>450.40000000000003</v>
      </c>
      <c r="H116" s="27">
        <v>450.4</v>
      </c>
      <c r="I116" s="27">
        <f t="shared" si="5"/>
        <v>99.99999999999999</v>
      </c>
    </row>
    <row r="117" spans="1:9" ht="31.5">
      <c r="A117" s="26" t="s">
        <v>182</v>
      </c>
      <c r="B117" s="17">
        <v>902</v>
      </c>
      <c r="C117" s="21" t="s">
        <v>169</v>
      </c>
      <c r="D117" s="21" t="s">
        <v>191</v>
      </c>
      <c r="E117" s="21" t="s">
        <v>241</v>
      </c>
      <c r="F117" s="21" t="s">
        <v>183</v>
      </c>
      <c r="G117" s="27">
        <f>G118</f>
        <v>459.3</v>
      </c>
      <c r="H117" s="27">
        <f>H118</f>
        <v>358.5</v>
      </c>
      <c r="I117" s="27">
        <f t="shared" si="5"/>
        <v>78.05355976485957</v>
      </c>
    </row>
    <row r="118" spans="1:9" ht="47.25">
      <c r="A118" s="26" t="s">
        <v>184</v>
      </c>
      <c r="B118" s="17">
        <v>902</v>
      </c>
      <c r="C118" s="21" t="s">
        <v>169</v>
      </c>
      <c r="D118" s="21" t="s">
        <v>191</v>
      </c>
      <c r="E118" s="21" t="s">
        <v>241</v>
      </c>
      <c r="F118" s="21" t="s">
        <v>185</v>
      </c>
      <c r="G118" s="27">
        <f>223-20.7+20.7+236.3</f>
        <v>459.3</v>
      </c>
      <c r="H118" s="27">
        <v>358.5</v>
      </c>
      <c r="I118" s="27">
        <f t="shared" si="5"/>
        <v>78.05355976485957</v>
      </c>
    </row>
    <row r="119" spans="1:9" ht="47.25" hidden="1">
      <c r="A119" s="35" t="s">
        <v>242</v>
      </c>
      <c r="B119" s="17">
        <v>902</v>
      </c>
      <c r="C119" s="21" t="s">
        <v>169</v>
      </c>
      <c r="D119" s="21" t="s">
        <v>191</v>
      </c>
      <c r="E119" s="21" t="s">
        <v>243</v>
      </c>
      <c r="F119" s="21"/>
      <c r="G119" s="27">
        <f>G120</f>
        <v>0</v>
      </c>
      <c r="H119" s="27">
        <f>H120</f>
        <v>0</v>
      </c>
      <c r="I119" s="27" t="e">
        <f t="shared" si="5"/>
        <v>#DIV/0!</v>
      </c>
    </row>
    <row r="120" spans="1:9" ht="31.5" hidden="1">
      <c r="A120" s="26" t="s">
        <v>182</v>
      </c>
      <c r="B120" s="17">
        <v>902</v>
      </c>
      <c r="C120" s="21" t="s">
        <v>169</v>
      </c>
      <c r="D120" s="21" t="s">
        <v>191</v>
      </c>
      <c r="E120" s="21" t="s">
        <v>243</v>
      </c>
      <c r="F120" s="21" t="s">
        <v>183</v>
      </c>
      <c r="G120" s="27">
        <f>G121</f>
        <v>0</v>
      </c>
      <c r="H120" s="27">
        <f>H121</f>
        <v>0</v>
      </c>
      <c r="I120" s="27" t="e">
        <f t="shared" si="5"/>
        <v>#DIV/0!</v>
      </c>
    </row>
    <row r="121" spans="1:9" ht="47.25" hidden="1">
      <c r="A121" s="26" t="s">
        <v>184</v>
      </c>
      <c r="B121" s="17">
        <v>902</v>
      </c>
      <c r="C121" s="21" t="s">
        <v>169</v>
      </c>
      <c r="D121" s="21" t="s">
        <v>191</v>
      </c>
      <c r="E121" s="21" t="s">
        <v>243</v>
      </c>
      <c r="F121" s="21" t="s">
        <v>185</v>
      </c>
      <c r="G121" s="27">
        <f>36+4-40</f>
        <v>0</v>
      </c>
      <c r="H121" s="27">
        <f>36+4-40</f>
        <v>0</v>
      </c>
      <c r="I121" s="27" t="e">
        <f t="shared" si="5"/>
        <v>#DIV/0!</v>
      </c>
    </row>
    <row r="122" spans="1:9" ht="31.5" customHeight="1" hidden="1">
      <c r="A122" s="33" t="s">
        <v>244</v>
      </c>
      <c r="B122" s="17">
        <v>902</v>
      </c>
      <c r="C122" s="21" t="s">
        <v>169</v>
      </c>
      <c r="D122" s="21" t="s">
        <v>191</v>
      </c>
      <c r="E122" s="21" t="s">
        <v>243</v>
      </c>
      <c r="F122" s="21"/>
      <c r="G122" s="27">
        <f>G123</f>
        <v>0</v>
      </c>
      <c r="H122" s="27">
        <f>H123</f>
        <v>0</v>
      </c>
      <c r="I122" s="27" t="e">
        <f t="shared" si="5"/>
        <v>#DIV/0!</v>
      </c>
    </row>
    <row r="123" spans="1:9" ht="31.5" customHeight="1" hidden="1">
      <c r="A123" s="26" t="s">
        <v>182</v>
      </c>
      <c r="B123" s="17">
        <v>902</v>
      </c>
      <c r="C123" s="21" t="s">
        <v>169</v>
      </c>
      <c r="D123" s="21" t="s">
        <v>191</v>
      </c>
      <c r="E123" s="21" t="s">
        <v>243</v>
      </c>
      <c r="F123" s="21" t="s">
        <v>183</v>
      </c>
      <c r="G123" s="27">
        <f>G124</f>
        <v>0</v>
      </c>
      <c r="H123" s="27">
        <f>H124</f>
        <v>0</v>
      </c>
      <c r="I123" s="27" t="e">
        <f t="shared" si="5"/>
        <v>#DIV/0!</v>
      </c>
    </row>
    <row r="124" spans="1:9" ht="47.25" customHeight="1" hidden="1">
      <c r="A124" s="26" t="s">
        <v>184</v>
      </c>
      <c r="B124" s="17">
        <v>902</v>
      </c>
      <c r="C124" s="21" t="s">
        <v>169</v>
      </c>
      <c r="D124" s="21" t="s">
        <v>191</v>
      </c>
      <c r="E124" s="21" t="s">
        <v>243</v>
      </c>
      <c r="F124" s="21" t="s">
        <v>185</v>
      </c>
      <c r="G124" s="27"/>
      <c r="H124" s="27"/>
      <c r="I124" s="27" t="e">
        <f t="shared" si="5"/>
        <v>#DIV/0!</v>
      </c>
    </row>
    <row r="125" spans="1:9" ht="63">
      <c r="A125" s="33" t="s">
        <v>245</v>
      </c>
      <c r="B125" s="17">
        <v>902</v>
      </c>
      <c r="C125" s="21" t="s">
        <v>169</v>
      </c>
      <c r="D125" s="21" t="s">
        <v>191</v>
      </c>
      <c r="E125" s="21" t="s">
        <v>246</v>
      </c>
      <c r="F125" s="21"/>
      <c r="G125" s="27">
        <f>G126+G128</f>
        <v>1421.3</v>
      </c>
      <c r="H125" s="27">
        <f>H126+H128</f>
        <v>1384.8</v>
      </c>
      <c r="I125" s="27">
        <f t="shared" si="5"/>
        <v>97.4319285161472</v>
      </c>
    </row>
    <row r="126" spans="1:9" ht="94.5">
      <c r="A126" s="26" t="s">
        <v>178</v>
      </c>
      <c r="B126" s="17">
        <v>902</v>
      </c>
      <c r="C126" s="21" t="s">
        <v>169</v>
      </c>
      <c r="D126" s="21" t="s">
        <v>191</v>
      </c>
      <c r="E126" s="21" t="s">
        <v>246</v>
      </c>
      <c r="F126" s="21" t="s">
        <v>179</v>
      </c>
      <c r="G126" s="27">
        <f>G127</f>
        <v>1316.1</v>
      </c>
      <c r="H126" s="27">
        <f>H127</f>
        <v>1288</v>
      </c>
      <c r="I126" s="27">
        <f t="shared" si="5"/>
        <v>97.86490388268369</v>
      </c>
    </row>
    <row r="127" spans="1:10" ht="31.5">
      <c r="A127" s="26" t="s">
        <v>180</v>
      </c>
      <c r="B127" s="17">
        <v>902</v>
      </c>
      <c r="C127" s="21" t="s">
        <v>169</v>
      </c>
      <c r="D127" s="21" t="s">
        <v>191</v>
      </c>
      <c r="E127" s="21" t="s">
        <v>246</v>
      </c>
      <c r="F127" s="21" t="s">
        <v>181</v>
      </c>
      <c r="G127" s="27">
        <f>1752.9+-156.9+116.5-356.2-50-6+25.3-9.5</f>
        <v>1316.1</v>
      </c>
      <c r="H127" s="27">
        <v>1288</v>
      </c>
      <c r="I127" s="27">
        <f t="shared" si="5"/>
        <v>97.86490388268369</v>
      </c>
      <c r="J127" s="277"/>
    </row>
    <row r="128" spans="1:9" ht="31.5">
      <c r="A128" s="26" t="s">
        <v>182</v>
      </c>
      <c r="B128" s="17">
        <v>902</v>
      </c>
      <c r="C128" s="21" t="s">
        <v>169</v>
      </c>
      <c r="D128" s="21" t="s">
        <v>191</v>
      </c>
      <c r="E128" s="21" t="s">
        <v>246</v>
      </c>
      <c r="F128" s="21" t="s">
        <v>183</v>
      </c>
      <c r="G128" s="27">
        <f>G129</f>
        <v>105.2</v>
      </c>
      <c r="H128" s="27">
        <f>H129</f>
        <v>96.8</v>
      </c>
      <c r="I128" s="27">
        <f t="shared" si="5"/>
        <v>92.01520912547528</v>
      </c>
    </row>
    <row r="129" spans="1:10" ht="47.25">
      <c r="A129" s="26" t="s">
        <v>184</v>
      </c>
      <c r="B129" s="17">
        <v>902</v>
      </c>
      <c r="C129" s="21" t="s">
        <v>169</v>
      </c>
      <c r="D129" s="21" t="s">
        <v>191</v>
      </c>
      <c r="E129" s="21" t="s">
        <v>246</v>
      </c>
      <c r="F129" s="21" t="s">
        <v>185</v>
      </c>
      <c r="G129" s="27">
        <f>156.9-116.5-0.7+50+6+9.5</f>
        <v>105.2</v>
      </c>
      <c r="H129" s="27">
        <v>96.8</v>
      </c>
      <c r="I129" s="27">
        <f t="shared" si="5"/>
        <v>92.01520912547528</v>
      </c>
      <c r="J129" s="277"/>
    </row>
    <row r="130" spans="1:9" ht="47.25">
      <c r="A130" s="33" t="s">
        <v>247</v>
      </c>
      <c r="B130" s="17">
        <v>902</v>
      </c>
      <c r="C130" s="21" t="s">
        <v>169</v>
      </c>
      <c r="D130" s="21" t="s">
        <v>191</v>
      </c>
      <c r="E130" s="21" t="s">
        <v>248</v>
      </c>
      <c r="F130" s="21"/>
      <c r="G130" s="27">
        <f>G131+G133</f>
        <v>1106.2</v>
      </c>
      <c r="H130" s="27">
        <f>H131+H133</f>
        <v>951</v>
      </c>
      <c r="I130" s="27">
        <f t="shared" si="5"/>
        <v>85.96998734406075</v>
      </c>
    </row>
    <row r="131" spans="1:9" ht="94.5">
      <c r="A131" s="26" t="s">
        <v>178</v>
      </c>
      <c r="B131" s="17">
        <v>902</v>
      </c>
      <c r="C131" s="21" t="s">
        <v>169</v>
      </c>
      <c r="D131" s="21" t="s">
        <v>191</v>
      </c>
      <c r="E131" s="21" t="s">
        <v>248</v>
      </c>
      <c r="F131" s="21" t="s">
        <v>179</v>
      </c>
      <c r="G131" s="27">
        <f>G132</f>
        <v>1025.5</v>
      </c>
      <c r="H131" s="27">
        <f>H132</f>
        <v>939</v>
      </c>
      <c r="I131" s="27">
        <f t="shared" si="5"/>
        <v>91.56509019990249</v>
      </c>
    </row>
    <row r="132" spans="1:9" ht="31.5">
      <c r="A132" s="26" t="s">
        <v>180</v>
      </c>
      <c r="B132" s="17">
        <v>902</v>
      </c>
      <c r="C132" s="21" t="s">
        <v>169</v>
      </c>
      <c r="D132" s="21" t="s">
        <v>191</v>
      </c>
      <c r="E132" s="21" t="s">
        <v>248</v>
      </c>
      <c r="F132" s="21" t="s">
        <v>181</v>
      </c>
      <c r="G132" s="27">
        <f>1537-463.9-47.6</f>
        <v>1025.5</v>
      </c>
      <c r="H132" s="27">
        <v>939</v>
      </c>
      <c r="I132" s="27">
        <f t="shared" si="5"/>
        <v>91.56509019990249</v>
      </c>
    </row>
    <row r="133" spans="1:9" ht="47.25">
      <c r="A133" s="26" t="s">
        <v>249</v>
      </c>
      <c r="B133" s="17">
        <v>902</v>
      </c>
      <c r="C133" s="21" t="s">
        <v>169</v>
      </c>
      <c r="D133" s="21" t="s">
        <v>191</v>
      </c>
      <c r="E133" s="21" t="s">
        <v>248</v>
      </c>
      <c r="F133" s="21" t="s">
        <v>183</v>
      </c>
      <c r="G133" s="27">
        <f>G134</f>
        <v>80.7</v>
      </c>
      <c r="H133" s="27">
        <f>H134</f>
        <v>12</v>
      </c>
      <c r="I133" s="27">
        <f t="shared" si="5"/>
        <v>14.869888475836431</v>
      </c>
    </row>
    <row r="134" spans="1:9" ht="47.25">
      <c r="A134" s="26" t="s">
        <v>184</v>
      </c>
      <c r="B134" s="17">
        <v>902</v>
      </c>
      <c r="C134" s="21" t="s">
        <v>169</v>
      </c>
      <c r="D134" s="21" t="s">
        <v>191</v>
      </c>
      <c r="E134" s="21" t="s">
        <v>248</v>
      </c>
      <c r="F134" s="21" t="s">
        <v>185</v>
      </c>
      <c r="G134" s="27">
        <f>33.1+47.6</f>
        <v>80.7</v>
      </c>
      <c r="H134" s="27">
        <v>12</v>
      </c>
      <c r="I134" s="27">
        <f t="shared" si="5"/>
        <v>14.869888475836431</v>
      </c>
    </row>
    <row r="135" spans="1:9" ht="15.75">
      <c r="A135" s="26" t="s">
        <v>192</v>
      </c>
      <c r="B135" s="17">
        <v>902</v>
      </c>
      <c r="C135" s="21" t="s">
        <v>169</v>
      </c>
      <c r="D135" s="21" t="s">
        <v>191</v>
      </c>
      <c r="E135" s="21" t="s">
        <v>193</v>
      </c>
      <c r="F135" s="21"/>
      <c r="G135" s="27">
        <f>G148+G153+G158</f>
        <v>6334.9</v>
      </c>
      <c r="H135" s="27">
        <f>H148+H153+H158</f>
        <v>6263.2</v>
      </c>
      <c r="I135" s="27">
        <f t="shared" si="5"/>
        <v>98.86817471467585</v>
      </c>
    </row>
    <row r="136" spans="1:9" ht="15.75" customHeight="1" hidden="1">
      <c r="A136" s="26" t="s">
        <v>250</v>
      </c>
      <c r="B136" s="17">
        <v>902</v>
      </c>
      <c r="C136" s="21" t="s">
        <v>169</v>
      </c>
      <c r="D136" s="21" t="s">
        <v>191</v>
      </c>
      <c r="E136" s="21" t="s">
        <v>251</v>
      </c>
      <c r="F136" s="21"/>
      <c r="G136" s="27">
        <f>G137</f>
        <v>0</v>
      </c>
      <c r="H136" s="27">
        <f>H137</f>
        <v>0</v>
      </c>
      <c r="I136" s="27" t="e">
        <f t="shared" si="5"/>
        <v>#DIV/0!</v>
      </c>
    </row>
    <row r="137" spans="1:9" ht="33" customHeight="1" hidden="1">
      <c r="A137" s="26" t="s">
        <v>249</v>
      </c>
      <c r="B137" s="17">
        <v>902</v>
      </c>
      <c r="C137" s="21" t="s">
        <v>169</v>
      </c>
      <c r="D137" s="21" t="s">
        <v>191</v>
      </c>
      <c r="E137" s="21" t="s">
        <v>251</v>
      </c>
      <c r="F137" s="21" t="s">
        <v>183</v>
      </c>
      <c r="G137" s="27">
        <f>G138</f>
        <v>0</v>
      </c>
      <c r="H137" s="27">
        <f>H138</f>
        <v>0</v>
      </c>
      <c r="I137" s="27" t="e">
        <f t="shared" si="5"/>
        <v>#DIV/0!</v>
      </c>
    </row>
    <row r="138" spans="1:9" ht="47.25" customHeight="1" hidden="1">
      <c r="A138" s="26" t="s">
        <v>184</v>
      </c>
      <c r="B138" s="17">
        <v>902</v>
      </c>
      <c r="C138" s="21" t="s">
        <v>169</v>
      </c>
      <c r="D138" s="21" t="s">
        <v>191</v>
      </c>
      <c r="E138" s="21" t="s">
        <v>251</v>
      </c>
      <c r="F138" s="21" t="s">
        <v>185</v>
      </c>
      <c r="G138" s="27">
        <v>0</v>
      </c>
      <c r="H138" s="27">
        <v>0</v>
      </c>
      <c r="I138" s="27" t="e">
        <f t="shared" si="5"/>
        <v>#DIV/0!</v>
      </c>
    </row>
    <row r="139" spans="1:9" ht="15.75" customHeight="1" hidden="1">
      <c r="A139" s="26" t="s">
        <v>252</v>
      </c>
      <c r="B139" s="17">
        <v>902</v>
      </c>
      <c r="C139" s="21" t="s">
        <v>169</v>
      </c>
      <c r="D139" s="21" t="s">
        <v>191</v>
      </c>
      <c r="E139" s="21" t="s">
        <v>253</v>
      </c>
      <c r="F139" s="25"/>
      <c r="G139" s="27">
        <f>G140</f>
        <v>0</v>
      </c>
      <c r="H139" s="27">
        <f>H140</f>
        <v>0</v>
      </c>
      <c r="I139" s="27" t="e">
        <f aca="true" t="shared" si="9" ref="I139:I202">H139/G139*100</f>
        <v>#DIV/0!</v>
      </c>
    </row>
    <row r="140" spans="1:9" ht="47.25" customHeight="1" hidden="1">
      <c r="A140" s="26" t="s">
        <v>249</v>
      </c>
      <c r="B140" s="17">
        <v>902</v>
      </c>
      <c r="C140" s="21" t="s">
        <v>169</v>
      </c>
      <c r="D140" s="21" t="s">
        <v>191</v>
      </c>
      <c r="E140" s="21" t="s">
        <v>253</v>
      </c>
      <c r="F140" s="21" t="s">
        <v>183</v>
      </c>
      <c r="G140" s="27">
        <f>G141</f>
        <v>0</v>
      </c>
      <c r="H140" s="27">
        <f>H141</f>
        <v>0</v>
      </c>
      <c r="I140" s="27" t="e">
        <f t="shared" si="9"/>
        <v>#DIV/0!</v>
      </c>
    </row>
    <row r="141" spans="1:9" ht="47.25" customHeight="1" hidden="1">
      <c r="A141" s="26" t="s">
        <v>184</v>
      </c>
      <c r="B141" s="17">
        <v>902</v>
      </c>
      <c r="C141" s="21" t="s">
        <v>169</v>
      </c>
      <c r="D141" s="21" t="s">
        <v>191</v>
      </c>
      <c r="E141" s="21" t="s">
        <v>253</v>
      </c>
      <c r="F141" s="21" t="s">
        <v>185</v>
      </c>
      <c r="G141" s="27">
        <v>0</v>
      </c>
      <c r="H141" s="27">
        <v>0</v>
      </c>
      <c r="I141" s="27" t="e">
        <f t="shared" si="9"/>
        <v>#DIV/0!</v>
      </c>
    </row>
    <row r="142" spans="1:9" ht="31.5" customHeight="1" hidden="1">
      <c r="A142" s="26" t="s">
        <v>254</v>
      </c>
      <c r="B142" s="17">
        <v>902</v>
      </c>
      <c r="C142" s="21" t="s">
        <v>169</v>
      </c>
      <c r="D142" s="21" t="s">
        <v>191</v>
      </c>
      <c r="E142" s="21" t="s">
        <v>255</v>
      </c>
      <c r="F142" s="21"/>
      <c r="G142" s="27">
        <f>G143</f>
        <v>0</v>
      </c>
      <c r="H142" s="27">
        <f>H143</f>
        <v>0</v>
      </c>
      <c r="I142" s="27" t="e">
        <f t="shared" si="9"/>
        <v>#DIV/0!</v>
      </c>
    </row>
    <row r="143" spans="1:9" ht="47.25" customHeight="1" hidden="1">
      <c r="A143" s="26" t="s">
        <v>249</v>
      </c>
      <c r="B143" s="17">
        <v>902</v>
      </c>
      <c r="C143" s="21" t="s">
        <v>169</v>
      </c>
      <c r="D143" s="21" t="s">
        <v>191</v>
      </c>
      <c r="E143" s="21" t="s">
        <v>255</v>
      </c>
      <c r="F143" s="21" t="s">
        <v>183</v>
      </c>
      <c r="G143" s="27">
        <f>G144</f>
        <v>0</v>
      </c>
      <c r="H143" s="27">
        <f>H144</f>
        <v>0</v>
      </c>
      <c r="I143" s="27" t="e">
        <f t="shared" si="9"/>
        <v>#DIV/0!</v>
      </c>
    </row>
    <row r="144" spans="1:9" ht="47.25" customHeight="1" hidden="1">
      <c r="A144" s="26" t="s">
        <v>184</v>
      </c>
      <c r="B144" s="17">
        <v>902</v>
      </c>
      <c r="C144" s="21" t="s">
        <v>169</v>
      </c>
      <c r="D144" s="21" t="s">
        <v>191</v>
      </c>
      <c r="E144" s="21" t="s">
        <v>255</v>
      </c>
      <c r="F144" s="21" t="s">
        <v>185</v>
      </c>
      <c r="G144" s="27">
        <v>0</v>
      </c>
      <c r="H144" s="27">
        <v>0</v>
      </c>
      <c r="I144" s="27" t="e">
        <f t="shared" si="9"/>
        <v>#DIV/0!</v>
      </c>
    </row>
    <row r="145" spans="1:9" ht="15.75" customHeight="1" hidden="1">
      <c r="A145" s="26" t="s">
        <v>230</v>
      </c>
      <c r="B145" s="17">
        <v>902</v>
      </c>
      <c r="C145" s="21" t="s">
        <v>169</v>
      </c>
      <c r="D145" s="21" t="s">
        <v>191</v>
      </c>
      <c r="E145" s="21" t="s">
        <v>256</v>
      </c>
      <c r="F145" s="21"/>
      <c r="G145" s="27">
        <f>G146</f>
        <v>0</v>
      </c>
      <c r="H145" s="27">
        <f>H146</f>
        <v>0</v>
      </c>
      <c r="I145" s="27" t="e">
        <f t="shared" si="9"/>
        <v>#DIV/0!</v>
      </c>
    </row>
    <row r="146" spans="1:9" ht="47.25" customHeight="1" hidden="1">
      <c r="A146" s="26" t="s">
        <v>249</v>
      </c>
      <c r="B146" s="17">
        <v>902</v>
      </c>
      <c r="C146" s="21" t="s">
        <v>169</v>
      </c>
      <c r="D146" s="21" t="s">
        <v>191</v>
      </c>
      <c r="E146" s="21" t="s">
        <v>256</v>
      </c>
      <c r="F146" s="21" t="s">
        <v>183</v>
      </c>
      <c r="G146" s="27">
        <f>G147</f>
        <v>0</v>
      </c>
      <c r="H146" s="27">
        <f>H147</f>
        <v>0</v>
      </c>
      <c r="I146" s="27" t="e">
        <f t="shared" si="9"/>
        <v>#DIV/0!</v>
      </c>
    </row>
    <row r="147" spans="1:9" ht="47.25" customHeight="1" hidden="1">
      <c r="A147" s="26" t="s">
        <v>184</v>
      </c>
      <c r="B147" s="17">
        <v>902</v>
      </c>
      <c r="C147" s="21" t="s">
        <v>169</v>
      </c>
      <c r="D147" s="21" t="s">
        <v>191</v>
      </c>
      <c r="E147" s="21" t="s">
        <v>256</v>
      </c>
      <c r="F147" s="21" t="s">
        <v>185</v>
      </c>
      <c r="G147" s="27">
        <v>0</v>
      </c>
      <c r="H147" s="27">
        <v>0</v>
      </c>
      <c r="I147" s="27" t="e">
        <f t="shared" si="9"/>
        <v>#DIV/0!</v>
      </c>
    </row>
    <row r="148" spans="1:9" ht="31.5">
      <c r="A148" s="26" t="s">
        <v>257</v>
      </c>
      <c r="B148" s="17">
        <v>902</v>
      </c>
      <c r="C148" s="21" t="s">
        <v>169</v>
      </c>
      <c r="D148" s="21" t="s">
        <v>191</v>
      </c>
      <c r="E148" s="21" t="s">
        <v>258</v>
      </c>
      <c r="F148" s="21"/>
      <c r="G148" s="27">
        <f>G149+G151</f>
        <v>6246.299999999999</v>
      </c>
      <c r="H148" s="27">
        <f>H149+H151</f>
        <v>6225.3</v>
      </c>
      <c r="I148" s="27">
        <f t="shared" si="9"/>
        <v>99.66380097017435</v>
      </c>
    </row>
    <row r="149" spans="1:9" ht="94.5">
      <c r="A149" s="26" t="s">
        <v>178</v>
      </c>
      <c r="B149" s="17">
        <v>902</v>
      </c>
      <c r="C149" s="21" t="s">
        <v>169</v>
      </c>
      <c r="D149" s="21" t="s">
        <v>191</v>
      </c>
      <c r="E149" s="21" t="s">
        <v>258</v>
      </c>
      <c r="F149" s="21" t="s">
        <v>179</v>
      </c>
      <c r="G149" s="27">
        <f>G150</f>
        <v>5071.599999999999</v>
      </c>
      <c r="H149" s="27">
        <f>H150</f>
        <v>5056.5</v>
      </c>
      <c r="I149" s="27">
        <f t="shared" si="9"/>
        <v>99.70226358545628</v>
      </c>
    </row>
    <row r="150" spans="1:9" ht="31.5">
      <c r="A150" s="26" t="s">
        <v>259</v>
      </c>
      <c r="B150" s="17">
        <v>902</v>
      </c>
      <c r="C150" s="21" t="s">
        <v>169</v>
      </c>
      <c r="D150" s="21" t="s">
        <v>191</v>
      </c>
      <c r="E150" s="21" t="s">
        <v>258</v>
      </c>
      <c r="F150" s="21" t="s">
        <v>260</v>
      </c>
      <c r="G150" s="28">
        <f>5174.7-222.7+231-75.1-36.3</f>
        <v>5071.599999999999</v>
      </c>
      <c r="H150" s="28">
        <v>5056.5</v>
      </c>
      <c r="I150" s="27">
        <f t="shared" si="9"/>
        <v>99.70226358545628</v>
      </c>
    </row>
    <row r="151" spans="1:9" ht="47.25">
      <c r="A151" s="26" t="s">
        <v>249</v>
      </c>
      <c r="B151" s="17">
        <v>902</v>
      </c>
      <c r="C151" s="21" t="s">
        <v>169</v>
      </c>
      <c r="D151" s="21" t="s">
        <v>191</v>
      </c>
      <c r="E151" s="21" t="s">
        <v>258</v>
      </c>
      <c r="F151" s="21" t="s">
        <v>183</v>
      </c>
      <c r="G151" s="27">
        <f>G152</f>
        <v>1174.7</v>
      </c>
      <c r="H151" s="27">
        <f>H152</f>
        <v>1168.8</v>
      </c>
      <c r="I151" s="27">
        <f t="shared" si="9"/>
        <v>99.49774410487784</v>
      </c>
    </row>
    <row r="152" spans="1:9" ht="47.25">
      <c r="A152" s="26" t="s">
        <v>184</v>
      </c>
      <c r="B152" s="17">
        <v>902</v>
      </c>
      <c r="C152" s="21" t="s">
        <v>169</v>
      </c>
      <c r="D152" s="21" t="s">
        <v>191</v>
      </c>
      <c r="E152" s="21" t="s">
        <v>258</v>
      </c>
      <c r="F152" s="21" t="s">
        <v>185</v>
      </c>
      <c r="G152" s="28">
        <f>724.7+450</f>
        <v>1174.7</v>
      </c>
      <c r="H152" s="28">
        <v>1168.8</v>
      </c>
      <c r="I152" s="27">
        <f t="shared" si="9"/>
        <v>99.49774410487784</v>
      </c>
    </row>
    <row r="153" spans="1:9" ht="47.25" hidden="1">
      <c r="A153" s="26" t="s">
        <v>261</v>
      </c>
      <c r="B153" s="17">
        <v>902</v>
      </c>
      <c r="C153" s="21" t="s">
        <v>169</v>
      </c>
      <c r="D153" s="21" t="s">
        <v>191</v>
      </c>
      <c r="E153" s="21" t="s">
        <v>262</v>
      </c>
      <c r="F153" s="21"/>
      <c r="G153" s="27">
        <f>G154+G156</f>
        <v>0</v>
      </c>
      <c r="H153" s="27">
        <f>H154+H156</f>
        <v>0</v>
      </c>
      <c r="I153" s="27" t="e">
        <f t="shared" si="9"/>
        <v>#DIV/0!</v>
      </c>
    </row>
    <row r="154" spans="1:9" ht="94.5" hidden="1">
      <c r="A154" s="26" t="s">
        <v>178</v>
      </c>
      <c r="B154" s="17">
        <v>902</v>
      </c>
      <c r="C154" s="21" t="s">
        <v>169</v>
      </c>
      <c r="D154" s="21" t="s">
        <v>191</v>
      </c>
      <c r="E154" s="21" t="s">
        <v>262</v>
      </c>
      <c r="F154" s="21" t="s">
        <v>179</v>
      </c>
      <c r="G154" s="27">
        <f>G155</f>
        <v>0</v>
      </c>
      <c r="H154" s="27">
        <f>H155</f>
        <v>0</v>
      </c>
      <c r="I154" s="27" t="e">
        <f t="shared" si="9"/>
        <v>#DIV/0!</v>
      </c>
    </row>
    <row r="155" spans="1:9" ht="31.5" hidden="1">
      <c r="A155" s="26" t="s">
        <v>180</v>
      </c>
      <c r="B155" s="17">
        <v>902</v>
      </c>
      <c r="C155" s="21" t="s">
        <v>169</v>
      </c>
      <c r="D155" s="21" t="s">
        <v>191</v>
      </c>
      <c r="E155" s="21" t="s">
        <v>262</v>
      </c>
      <c r="F155" s="21" t="s">
        <v>181</v>
      </c>
      <c r="G155" s="28"/>
      <c r="H155" s="28"/>
      <c r="I155" s="27" t="e">
        <f t="shared" si="9"/>
        <v>#DIV/0!</v>
      </c>
    </row>
    <row r="156" spans="1:9" ht="47.25" hidden="1">
      <c r="A156" s="26" t="s">
        <v>249</v>
      </c>
      <c r="B156" s="17">
        <v>902</v>
      </c>
      <c r="C156" s="21" t="s">
        <v>169</v>
      </c>
      <c r="D156" s="21" t="s">
        <v>191</v>
      </c>
      <c r="E156" s="21" t="s">
        <v>262</v>
      </c>
      <c r="F156" s="21" t="s">
        <v>183</v>
      </c>
      <c r="G156" s="27">
        <f>G157</f>
        <v>0</v>
      </c>
      <c r="H156" s="27">
        <f>H157</f>
        <v>0</v>
      </c>
      <c r="I156" s="27" t="e">
        <f t="shared" si="9"/>
        <v>#DIV/0!</v>
      </c>
    </row>
    <row r="157" spans="1:9" ht="47.25" hidden="1">
      <c r="A157" s="26" t="s">
        <v>184</v>
      </c>
      <c r="B157" s="17">
        <v>902</v>
      </c>
      <c r="C157" s="21" t="s">
        <v>169</v>
      </c>
      <c r="D157" s="21" t="s">
        <v>191</v>
      </c>
      <c r="E157" s="21" t="s">
        <v>262</v>
      </c>
      <c r="F157" s="21" t="s">
        <v>185</v>
      </c>
      <c r="G157" s="27"/>
      <c r="H157" s="27"/>
      <c r="I157" s="27" t="e">
        <f t="shared" si="9"/>
        <v>#DIV/0!</v>
      </c>
    </row>
    <row r="158" spans="1:9" ht="15.75">
      <c r="A158" s="47" t="s">
        <v>194</v>
      </c>
      <c r="B158" s="17">
        <v>902</v>
      </c>
      <c r="C158" s="21" t="s">
        <v>169</v>
      </c>
      <c r="D158" s="21" t="s">
        <v>191</v>
      </c>
      <c r="E158" s="21" t="s">
        <v>195</v>
      </c>
      <c r="F158" s="21"/>
      <c r="G158" s="27">
        <f>G159</f>
        <v>88.6</v>
      </c>
      <c r="H158" s="27">
        <f>H159</f>
        <v>37.9</v>
      </c>
      <c r="I158" s="27">
        <f t="shared" si="9"/>
        <v>42.776523702031604</v>
      </c>
    </row>
    <row r="159" spans="1:9" ht="15.75">
      <c r="A159" s="26" t="s">
        <v>186</v>
      </c>
      <c r="B159" s="17">
        <v>902</v>
      </c>
      <c r="C159" s="21" t="s">
        <v>169</v>
      </c>
      <c r="D159" s="21" t="s">
        <v>191</v>
      </c>
      <c r="E159" s="21" t="s">
        <v>195</v>
      </c>
      <c r="F159" s="21" t="s">
        <v>196</v>
      </c>
      <c r="G159" s="27">
        <f>G160</f>
        <v>88.6</v>
      </c>
      <c r="H159" s="27">
        <f>H160</f>
        <v>37.9</v>
      </c>
      <c r="I159" s="27">
        <f t="shared" si="9"/>
        <v>42.776523702031604</v>
      </c>
    </row>
    <row r="160" spans="1:10" ht="15.75">
      <c r="A160" s="26" t="s">
        <v>197</v>
      </c>
      <c r="B160" s="17">
        <v>902</v>
      </c>
      <c r="C160" s="21" t="s">
        <v>169</v>
      </c>
      <c r="D160" s="21" t="s">
        <v>191</v>
      </c>
      <c r="E160" s="21" t="s">
        <v>195</v>
      </c>
      <c r="F160" s="21" t="s">
        <v>198</v>
      </c>
      <c r="G160" s="27">
        <f>130-41.4</f>
        <v>88.6</v>
      </c>
      <c r="H160" s="27">
        <v>37.9</v>
      </c>
      <c r="I160" s="27">
        <f t="shared" si="9"/>
        <v>42.776523702031604</v>
      </c>
      <c r="J160" s="277"/>
    </row>
    <row r="161" spans="1:9" ht="15.75" customHeight="1" hidden="1">
      <c r="A161" s="24" t="s">
        <v>263</v>
      </c>
      <c r="B161" s="20">
        <v>902</v>
      </c>
      <c r="C161" s="25" t="s">
        <v>264</v>
      </c>
      <c r="D161" s="25"/>
      <c r="E161" s="25"/>
      <c r="F161" s="25"/>
      <c r="G161" s="22">
        <f>G162</f>
        <v>0</v>
      </c>
      <c r="H161" s="22">
        <f>H162</f>
        <v>0</v>
      </c>
      <c r="I161" s="22" t="e">
        <f t="shared" si="9"/>
        <v>#DIV/0!</v>
      </c>
    </row>
    <row r="162" spans="1:9" ht="31.5" customHeight="1" hidden="1">
      <c r="A162" s="24" t="s">
        <v>269</v>
      </c>
      <c r="B162" s="20">
        <v>902</v>
      </c>
      <c r="C162" s="25" t="s">
        <v>264</v>
      </c>
      <c r="D162" s="25" t="s">
        <v>270</v>
      </c>
      <c r="E162" s="25"/>
      <c r="F162" s="25"/>
      <c r="G162" s="22">
        <f aca="true" t="shared" si="10" ref="G162:H166">G163</f>
        <v>0</v>
      </c>
      <c r="H162" s="22">
        <f t="shared" si="10"/>
        <v>0</v>
      </c>
      <c r="I162" s="22" t="e">
        <f t="shared" si="9"/>
        <v>#DIV/0!</v>
      </c>
    </row>
    <row r="163" spans="1:9" ht="15.75" customHeight="1" hidden="1">
      <c r="A163" s="26" t="s">
        <v>172</v>
      </c>
      <c r="B163" s="17">
        <v>902</v>
      </c>
      <c r="C163" s="21" t="s">
        <v>264</v>
      </c>
      <c r="D163" s="21" t="s">
        <v>270</v>
      </c>
      <c r="E163" s="21" t="s">
        <v>173</v>
      </c>
      <c r="F163" s="21"/>
      <c r="G163" s="27">
        <f t="shared" si="10"/>
        <v>0</v>
      </c>
      <c r="H163" s="27">
        <f t="shared" si="10"/>
        <v>0</v>
      </c>
      <c r="I163" s="22" t="e">
        <f t="shared" si="9"/>
        <v>#DIV/0!</v>
      </c>
    </row>
    <row r="164" spans="1:9" ht="21.75" customHeight="1" hidden="1">
      <c r="A164" s="26" t="s">
        <v>192</v>
      </c>
      <c r="B164" s="17">
        <v>902</v>
      </c>
      <c r="C164" s="21" t="s">
        <v>264</v>
      </c>
      <c r="D164" s="21" t="s">
        <v>266</v>
      </c>
      <c r="E164" s="21" t="s">
        <v>193</v>
      </c>
      <c r="F164" s="21"/>
      <c r="G164" s="27">
        <f t="shared" si="10"/>
        <v>0</v>
      </c>
      <c r="H164" s="27">
        <f t="shared" si="10"/>
        <v>0</v>
      </c>
      <c r="I164" s="22" t="e">
        <f t="shared" si="9"/>
        <v>#DIV/0!</v>
      </c>
    </row>
    <row r="165" spans="1:9" ht="15.75" customHeight="1" hidden="1">
      <c r="A165" s="26" t="s">
        <v>271</v>
      </c>
      <c r="B165" s="17">
        <v>902</v>
      </c>
      <c r="C165" s="21" t="s">
        <v>264</v>
      </c>
      <c r="D165" s="21" t="s">
        <v>270</v>
      </c>
      <c r="E165" s="21" t="s">
        <v>272</v>
      </c>
      <c r="F165" s="21"/>
      <c r="G165" s="27">
        <f t="shared" si="10"/>
        <v>0</v>
      </c>
      <c r="H165" s="27">
        <f t="shared" si="10"/>
        <v>0</v>
      </c>
      <c r="I165" s="22" t="e">
        <f t="shared" si="9"/>
        <v>#DIV/0!</v>
      </c>
    </row>
    <row r="166" spans="1:9" ht="33.75" customHeight="1" hidden="1">
      <c r="A166" s="26" t="s">
        <v>249</v>
      </c>
      <c r="B166" s="17">
        <v>902</v>
      </c>
      <c r="C166" s="21" t="s">
        <v>264</v>
      </c>
      <c r="D166" s="21" t="s">
        <v>270</v>
      </c>
      <c r="E166" s="21" t="s">
        <v>272</v>
      </c>
      <c r="F166" s="21" t="s">
        <v>183</v>
      </c>
      <c r="G166" s="27">
        <f t="shared" si="10"/>
        <v>0</v>
      </c>
      <c r="H166" s="27">
        <f t="shared" si="10"/>
        <v>0</v>
      </c>
      <c r="I166" s="22" t="e">
        <f t="shared" si="9"/>
        <v>#DIV/0!</v>
      </c>
    </row>
    <row r="167" spans="1:9" ht="59.25" customHeight="1" hidden="1">
      <c r="A167" s="26" t="s">
        <v>184</v>
      </c>
      <c r="B167" s="17">
        <v>902</v>
      </c>
      <c r="C167" s="21" t="s">
        <v>264</v>
      </c>
      <c r="D167" s="21" t="s">
        <v>270</v>
      </c>
      <c r="E167" s="21" t="s">
        <v>272</v>
      </c>
      <c r="F167" s="21" t="s">
        <v>185</v>
      </c>
      <c r="G167" s="28">
        <v>0</v>
      </c>
      <c r="H167" s="28">
        <v>0</v>
      </c>
      <c r="I167" s="22" t="e">
        <f t="shared" si="9"/>
        <v>#DIV/0!</v>
      </c>
    </row>
    <row r="168" spans="1:9" ht="31.5">
      <c r="A168" s="24" t="s">
        <v>273</v>
      </c>
      <c r="B168" s="20">
        <v>902</v>
      </c>
      <c r="C168" s="25" t="s">
        <v>266</v>
      </c>
      <c r="D168" s="25"/>
      <c r="E168" s="25"/>
      <c r="F168" s="25"/>
      <c r="G168" s="22">
        <f aca="true" t="shared" si="11" ref="G168:H170">G169</f>
        <v>5701.9</v>
      </c>
      <c r="H168" s="22">
        <f t="shared" si="11"/>
        <v>5614.1</v>
      </c>
      <c r="I168" s="22">
        <f t="shared" si="9"/>
        <v>98.46016240200636</v>
      </c>
    </row>
    <row r="169" spans="1:9" ht="63">
      <c r="A169" s="24" t="s">
        <v>274</v>
      </c>
      <c r="B169" s="20">
        <v>902</v>
      </c>
      <c r="C169" s="25" t="s">
        <v>266</v>
      </c>
      <c r="D169" s="25" t="s">
        <v>270</v>
      </c>
      <c r="E169" s="21"/>
      <c r="F169" s="21"/>
      <c r="G169" s="22">
        <f t="shared" si="11"/>
        <v>5701.9</v>
      </c>
      <c r="H169" s="22">
        <f t="shared" si="11"/>
        <v>5614.1</v>
      </c>
      <c r="I169" s="22">
        <f t="shared" si="9"/>
        <v>98.46016240200636</v>
      </c>
    </row>
    <row r="170" spans="1:9" ht="15.75">
      <c r="A170" s="26" t="s">
        <v>172</v>
      </c>
      <c r="B170" s="17">
        <v>902</v>
      </c>
      <c r="C170" s="21" t="s">
        <v>266</v>
      </c>
      <c r="D170" s="21" t="s">
        <v>270</v>
      </c>
      <c r="E170" s="21" t="s">
        <v>173</v>
      </c>
      <c r="F170" s="21"/>
      <c r="G170" s="27">
        <f t="shared" si="11"/>
        <v>5701.9</v>
      </c>
      <c r="H170" s="27">
        <f t="shared" si="11"/>
        <v>5614.1</v>
      </c>
      <c r="I170" s="27">
        <f t="shared" si="9"/>
        <v>98.46016240200636</v>
      </c>
    </row>
    <row r="171" spans="1:10" ht="15.75">
      <c r="A171" s="26" t="s">
        <v>192</v>
      </c>
      <c r="B171" s="17">
        <v>902</v>
      </c>
      <c r="C171" s="21" t="s">
        <v>266</v>
      </c>
      <c r="D171" s="21" t="s">
        <v>270</v>
      </c>
      <c r="E171" s="21" t="s">
        <v>193</v>
      </c>
      <c r="F171" s="21"/>
      <c r="G171" s="27">
        <f>G172+G178+G183+G175</f>
        <v>5701.9</v>
      </c>
      <c r="H171" s="27">
        <f>H172+H178+H183+H175</f>
        <v>5614.1</v>
      </c>
      <c r="I171" s="27">
        <f t="shared" si="9"/>
        <v>98.46016240200636</v>
      </c>
      <c r="J171" s="209"/>
    </row>
    <row r="172" spans="1:9" ht="47.25">
      <c r="A172" s="26" t="s">
        <v>275</v>
      </c>
      <c r="B172" s="17">
        <v>902</v>
      </c>
      <c r="C172" s="21" t="s">
        <v>266</v>
      </c>
      <c r="D172" s="21" t="s">
        <v>270</v>
      </c>
      <c r="E172" s="21" t="s">
        <v>276</v>
      </c>
      <c r="F172" s="21"/>
      <c r="G172" s="27">
        <f>G173</f>
        <v>367.9</v>
      </c>
      <c r="H172" s="27">
        <f>H173</f>
        <v>363.8</v>
      </c>
      <c r="I172" s="27">
        <f t="shared" si="9"/>
        <v>98.8855667300897</v>
      </c>
    </row>
    <row r="173" spans="1:9" ht="47.25">
      <c r="A173" s="26" t="s">
        <v>249</v>
      </c>
      <c r="B173" s="17">
        <v>902</v>
      </c>
      <c r="C173" s="21" t="s">
        <v>266</v>
      </c>
      <c r="D173" s="21" t="s">
        <v>270</v>
      </c>
      <c r="E173" s="21" t="s">
        <v>276</v>
      </c>
      <c r="F173" s="21" t="s">
        <v>183</v>
      </c>
      <c r="G173" s="27">
        <f>G174</f>
        <v>367.9</v>
      </c>
      <c r="H173" s="27">
        <f>H174</f>
        <v>363.8</v>
      </c>
      <c r="I173" s="27">
        <f t="shared" si="9"/>
        <v>98.8855667300897</v>
      </c>
    </row>
    <row r="174" spans="1:10" ht="47.25">
      <c r="A174" s="26" t="s">
        <v>184</v>
      </c>
      <c r="B174" s="17">
        <v>902</v>
      </c>
      <c r="C174" s="21" t="s">
        <v>266</v>
      </c>
      <c r="D174" s="21" t="s">
        <v>270</v>
      </c>
      <c r="E174" s="21" t="s">
        <v>276</v>
      </c>
      <c r="F174" s="21" t="s">
        <v>185</v>
      </c>
      <c r="G174" s="314">
        <f>500+150-130.2-56.7-60-35.2</f>
        <v>367.9</v>
      </c>
      <c r="H174" s="314">
        <v>363.8</v>
      </c>
      <c r="I174" s="27">
        <f t="shared" si="9"/>
        <v>98.8855667300897</v>
      </c>
      <c r="J174" s="209"/>
    </row>
    <row r="175" spans="1:9" ht="15.75" customHeight="1" hidden="1">
      <c r="A175" s="26" t="s">
        <v>277</v>
      </c>
      <c r="B175" s="17">
        <v>902</v>
      </c>
      <c r="C175" s="21" t="s">
        <v>266</v>
      </c>
      <c r="D175" s="21" t="s">
        <v>270</v>
      </c>
      <c r="E175" s="21" t="s">
        <v>278</v>
      </c>
      <c r="F175" s="21"/>
      <c r="G175" s="27">
        <f>G176</f>
        <v>0</v>
      </c>
      <c r="H175" s="27">
        <f>H176</f>
        <v>0</v>
      </c>
      <c r="I175" s="27" t="e">
        <f t="shared" si="9"/>
        <v>#DIV/0!</v>
      </c>
    </row>
    <row r="176" spans="1:9" ht="47.25" customHeight="1" hidden="1">
      <c r="A176" s="26" t="s">
        <v>249</v>
      </c>
      <c r="B176" s="17">
        <v>902</v>
      </c>
      <c r="C176" s="21" t="s">
        <v>266</v>
      </c>
      <c r="D176" s="21" t="s">
        <v>270</v>
      </c>
      <c r="E176" s="21" t="s">
        <v>278</v>
      </c>
      <c r="F176" s="21" t="s">
        <v>183</v>
      </c>
      <c r="G176" s="27">
        <f>G177</f>
        <v>0</v>
      </c>
      <c r="H176" s="27">
        <f>H177</f>
        <v>0</v>
      </c>
      <c r="I176" s="27" t="e">
        <f t="shared" si="9"/>
        <v>#DIV/0!</v>
      </c>
    </row>
    <row r="177" spans="1:9" ht="47.25" customHeight="1" hidden="1">
      <c r="A177" s="26" t="s">
        <v>184</v>
      </c>
      <c r="B177" s="17">
        <v>902</v>
      </c>
      <c r="C177" s="21" t="s">
        <v>266</v>
      </c>
      <c r="D177" s="21" t="s">
        <v>270</v>
      </c>
      <c r="E177" s="21" t="s">
        <v>278</v>
      </c>
      <c r="F177" s="21" t="s">
        <v>185</v>
      </c>
      <c r="G177" s="27">
        <f>764.4-764.4</f>
        <v>0</v>
      </c>
      <c r="H177" s="27">
        <f>764.4-764.4</f>
        <v>0</v>
      </c>
      <c r="I177" s="27" t="e">
        <f t="shared" si="9"/>
        <v>#DIV/0!</v>
      </c>
    </row>
    <row r="178" spans="1:9" ht="31.5">
      <c r="A178" s="26" t="s">
        <v>279</v>
      </c>
      <c r="B178" s="17">
        <v>902</v>
      </c>
      <c r="C178" s="21" t="s">
        <v>266</v>
      </c>
      <c r="D178" s="21" t="s">
        <v>270</v>
      </c>
      <c r="E178" s="21" t="s">
        <v>280</v>
      </c>
      <c r="F178" s="21"/>
      <c r="G178" s="27">
        <f>G179+G181</f>
        <v>5280.3</v>
      </c>
      <c r="H178" s="27">
        <f>H179+H181</f>
        <v>5196.6</v>
      </c>
      <c r="I178" s="27">
        <f t="shared" si="9"/>
        <v>98.41486279188683</v>
      </c>
    </row>
    <row r="179" spans="1:9" ht="94.5">
      <c r="A179" s="26" t="s">
        <v>178</v>
      </c>
      <c r="B179" s="17">
        <v>902</v>
      </c>
      <c r="C179" s="21" t="s">
        <v>266</v>
      </c>
      <c r="D179" s="21" t="s">
        <v>270</v>
      </c>
      <c r="E179" s="21" t="s">
        <v>280</v>
      </c>
      <c r="F179" s="21" t="s">
        <v>179</v>
      </c>
      <c r="G179" s="27">
        <f>G180</f>
        <v>5017.8</v>
      </c>
      <c r="H179" s="27">
        <f>H180</f>
        <v>4942.8</v>
      </c>
      <c r="I179" s="27">
        <f t="shared" si="9"/>
        <v>98.50532105703694</v>
      </c>
    </row>
    <row r="180" spans="1:10" ht="31.5">
      <c r="A180" s="26" t="s">
        <v>259</v>
      </c>
      <c r="B180" s="17">
        <v>902</v>
      </c>
      <c r="C180" s="21" t="s">
        <v>266</v>
      </c>
      <c r="D180" s="21" t="s">
        <v>270</v>
      </c>
      <c r="E180" s="21" t="s">
        <v>280</v>
      </c>
      <c r="F180" s="21" t="s">
        <v>260</v>
      </c>
      <c r="G180" s="28">
        <f>4656.5-36.5+44.4+104.7+18.3+56+133.8+40.6</f>
        <v>5017.8</v>
      </c>
      <c r="H180" s="28">
        <v>4942.8</v>
      </c>
      <c r="I180" s="27">
        <f t="shared" si="9"/>
        <v>98.50532105703694</v>
      </c>
      <c r="J180" s="277"/>
    </row>
    <row r="181" spans="1:9" ht="47.25">
      <c r="A181" s="26" t="s">
        <v>249</v>
      </c>
      <c r="B181" s="17">
        <v>902</v>
      </c>
      <c r="C181" s="21" t="s">
        <v>266</v>
      </c>
      <c r="D181" s="21" t="s">
        <v>270</v>
      </c>
      <c r="E181" s="21" t="s">
        <v>280</v>
      </c>
      <c r="F181" s="21" t="s">
        <v>183</v>
      </c>
      <c r="G181" s="27">
        <f>G182</f>
        <v>262.4999999999997</v>
      </c>
      <c r="H181" s="27">
        <f>H182</f>
        <v>253.8</v>
      </c>
      <c r="I181" s="27">
        <f t="shared" si="9"/>
        <v>96.6857142857144</v>
      </c>
    </row>
    <row r="182" spans="1:13" ht="47.25">
      <c r="A182" s="26" t="s">
        <v>184</v>
      </c>
      <c r="B182" s="17">
        <v>902</v>
      </c>
      <c r="C182" s="21" t="s">
        <v>266</v>
      </c>
      <c r="D182" s="21" t="s">
        <v>270</v>
      </c>
      <c r="E182" s="21" t="s">
        <v>280</v>
      </c>
      <c r="F182" s="21" t="s">
        <v>185</v>
      </c>
      <c r="G182" s="28">
        <f>300+3000-150-49-44.4-2584.3-71.3-123-15.5</f>
        <v>262.4999999999997</v>
      </c>
      <c r="H182" s="28">
        <v>253.8</v>
      </c>
      <c r="I182" s="27">
        <f t="shared" si="9"/>
        <v>96.6857142857144</v>
      </c>
      <c r="J182" s="277"/>
      <c r="K182" s="281"/>
      <c r="L182" s="281"/>
      <c r="M182" s="281"/>
    </row>
    <row r="183" spans="1:9" ht="15.75">
      <c r="A183" s="26" t="s">
        <v>281</v>
      </c>
      <c r="B183" s="17">
        <v>902</v>
      </c>
      <c r="C183" s="21" t="s">
        <v>266</v>
      </c>
      <c r="D183" s="21" t="s">
        <v>270</v>
      </c>
      <c r="E183" s="21" t="s">
        <v>282</v>
      </c>
      <c r="F183" s="21"/>
      <c r="G183" s="28">
        <f>G184</f>
        <v>53.7</v>
      </c>
      <c r="H183" s="28">
        <f>H184</f>
        <v>53.7</v>
      </c>
      <c r="I183" s="27">
        <f t="shared" si="9"/>
        <v>100</v>
      </c>
    </row>
    <row r="184" spans="1:9" ht="47.25">
      <c r="A184" s="26" t="s">
        <v>249</v>
      </c>
      <c r="B184" s="17">
        <v>902</v>
      </c>
      <c r="C184" s="21" t="s">
        <v>266</v>
      </c>
      <c r="D184" s="21" t="s">
        <v>270</v>
      </c>
      <c r="E184" s="21" t="s">
        <v>282</v>
      </c>
      <c r="F184" s="21" t="s">
        <v>183</v>
      </c>
      <c r="G184" s="28">
        <f>G185</f>
        <v>53.7</v>
      </c>
      <c r="H184" s="28">
        <f>H185</f>
        <v>53.7</v>
      </c>
      <c r="I184" s="27">
        <f t="shared" si="9"/>
        <v>100</v>
      </c>
    </row>
    <row r="185" spans="1:9" ht="47.25">
      <c r="A185" s="26" t="s">
        <v>184</v>
      </c>
      <c r="B185" s="17">
        <v>902</v>
      </c>
      <c r="C185" s="21" t="s">
        <v>266</v>
      </c>
      <c r="D185" s="21" t="s">
        <v>270</v>
      </c>
      <c r="E185" s="21" t="s">
        <v>282</v>
      </c>
      <c r="F185" s="21" t="s">
        <v>185</v>
      </c>
      <c r="G185" s="28">
        <f>50+49-40-5.3</f>
        <v>53.7</v>
      </c>
      <c r="H185" s="28">
        <v>53.7</v>
      </c>
      <c r="I185" s="27">
        <f t="shared" si="9"/>
        <v>100</v>
      </c>
    </row>
    <row r="186" spans="1:9" ht="15.75">
      <c r="A186" s="24" t="s">
        <v>283</v>
      </c>
      <c r="B186" s="20">
        <v>902</v>
      </c>
      <c r="C186" s="25" t="s">
        <v>201</v>
      </c>
      <c r="D186" s="25"/>
      <c r="E186" s="25"/>
      <c r="F186" s="21"/>
      <c r="G186" s="22">
        <f>G203+G187</f>
        <v>2219.7999999999997</v>
      </c>
      <c r="H186" s="22">
        <f>H203+H187</f>
        <v>2028.1999999999998</v>
      </c>
      <c r="I186" s="22">
        <f t="shared" si="9"/>
        <v>91.36859176502388</v>
      </c>
    </row>
    <row r="187" spans="1:9" ht="15.75">
      <c r="A187" s="24" t="s">
        <v>284</v>
      </c>
      <c r="B187" s="20">
        <v>902</v>
      </c>
      <c r="C187" s="25" t="s">
        <v>201</v>
      </c>
      <c r="D187" s="25" t="s">
        <v>285</v>
      </c>
      <c r="E187" s="25"/>
      <c r="F187" s="21"/>
      <c r="G187" s="22">
        <f>G195+G188</f>
        <v>919.6</v>
      </c>
      <c r="H187" s="22">
        <f>H195+H188</f>
        <v>822.6</v>
      </c>
      <c r="I187" s="22">
        <f t="shared" si="9"/>
        <v>89.45193562418443</v>
      </c>
    </row>
    <row r="188" spans="1:9" ht="47.25">
      <c r="A188" s="33" t="s">
        <v>232</v>
      </c>
      <c r="B188" s="17">
        <v>902</v>
      </c>
      <c r="C188" s="21" t="s">
        <v>201</v>
      </c>
      <c r="D188" s="21" t="s">
        <v>285</v>
      </c>
      <c r="E188" s="32" t="s">
        <v>233</v>
      </c>
      <c r="F188" s="34"/>
      <c r="G188" s="27">
        <f>G189+G192</f>
        <v>120</v>
      </c>
      <c r="H188" s="27">
        <f>H189+H192</f>
        <v>53</v>
      </c>
      <c r="I188" s="27">
        <f t="shared" si="9"/>
        <v>44.166666666666664</v>
      </c>
    </row>
    <row r="189" spans="1:9" ht="31.5">
      <c r="A189" s="26" t="s">
        <v>208</v>
      </c>
      <c r="B189" s="17">
        <v>902</v>
      </c>
      <c r="C189" s="21" t="s">
        <v>201</v>
      </c>
      <c r="D189" s="21" t="s">
        <v>285</v>
      </c>
      <c r="E189" s="21" t="s">
        <v>234</v>
      </c>
      <c r="F189" s="34"/>
      <c r="G189" s="27">
        <f>G190</f>
        <v>119</v>
      </c>
      <c r="H189" s="27">
        <f>H190</f>
        <v>52</v>
      </c>
      <c r="I189" s="27">
        <f t="shared" si="9"/>
        <v>43.69747899159664</v>
      </c>
    </row>
    <row r="190" spans="1:9" ht="15.75">
      <c r="A190" s="31" t="s">
        <v>186</v>
      </c>
      <c r="B190" s="17">
        <v>902</v>
      </c>
      <c r="C190" s="21" t="s">
        <v>201</v>
      </c>
      <c r="D190" s="21" t="s">
        <v>285</v>
      </c>
      <c r="E190" s="21" t="s">
        <v>234</v>
      </c>
      <c r="F190" s="34" t="s">
        <v>196</v>
      </c>
      <c r="G190" s="27">
        <f>G191</f>
        <v>119</v>
      </c>
      <c r="H190" s="27">
        <f>H191</f>
        <v>52</v>
      </c>
      <c r="I190" s="27">
        <f t="shared" si="9"/>
        <v>43.69747899159664</v>
      </c>
    </row>
    <row r="191" spans="1:9" ht="63">
      <c r="A191" s="31" t="s">
        <v>235</v>
      </c>
      <c r="B191" s="17">
        <v>902</v>
      </c>
      <c r="C191" s="21" t="s">
        <v>201</v>
      </c>
      <c r="D191" s="21" t="s">
        <v>285</v>
      </c>
      <c r="E191" s="21" t="s">
        <v>234</v>
      </c>
      <c r="F191" s="34" t="s">
        <v>211</v>
      </c>
      <c r="G191" s="27">
        <f>100+20-1</f>
        <v>119</v>
      </c>
      <c r="H191" s="27">
        <v>52</v>
      </c>
      <c r="I191" s="27">
        <f t="shared" si="9"/>
        <v>43.69747899159664</v>
      </c>
    </row>
    <row r="192" spans="1:9" ht="31.5">
      <c r="A192" s="26" t="s">
        <v>966</v>
      </c>
      <c r="B192" s="17">
        <v>902</v>
      </c>
      <c r="C192" s="21" t="s">
        <v>201</v>
      </c>
      <c r="D192" s="21" t="s">
        <v>285</v>
      </c>
      <c r="E192" s="21" t="s">
        <v>968</v>
      </c>
      <c r="F192" s="34"/>
      <c r="G192" s="27">
        <f>G193</f>
        <v>1</v>
      </c>
      <c r="H192" s="27">
        <f>H193</f>
        <v>1</v>
      </c>
      <c r="I192" s="27">
        <f t="shared" si="9"/>
        <v>100</v>
      </c>
    </row>
    <row r="193" spans="1:9" ht="15.75">
      <c r="A193" s="31" t="s">
        <v>186</v>
      </c>
      <c r="B193" s="17">
        <v>902</v>
      </c>
      <c r="C193" s="21" t="s">
        <v>201</v>
      </c>
      <c r="D193" s="21" t="s">
        <v>285</v>
      </c>
      <c r="E193" s="21" t="s">
        <v>968</v>
      </c>
      <c r="F193" s="34" t="s">
        <v>196</v>
      </c>
      <c r="G193" s="27">
        <f>G194</f>
        <v>1</v>
      </c>
      <c r="H193" s="27">
        <f>H194</f>
        <v>1</v>
      </c>
      <c r="I193" s="27">
        <f t="shared" si="9"/>
        <v>100</v>
      </c>
    </row>
    <row r="194" spans="1:9" ht="63">
      <c r="A194" s="31" t="s">
        <v>235</v>
      </c>
      <c r="B194" s="17">
        <v>902</v>
      </c>
      <c r="C194" s="21" t="s">
        <v>201</v>
      </c>
      <c r="D194" s="21" t="s">
        <v>285</v>
      </c>
      <c r="E194" s="21" t="s">
        <v>968</v>
      </c>
      <c r="F194" s="34" t="s">
        <v>211</v>
      </c>
      <c r="G194" s="27">
        <v>1</v>
      </c>
      <c r="H194" s="27">
        <v>1</v>
      </c>
      <c r="I194" s="27">
        <f t="shared" si="9"/>
        <v>100</v>
      </c>
    </row>
    <row r="195" spans="1:9" ht="15.75">
      <c r="A195" s="26" t="s">
        <v>172</v>
      </c>
      <c r="B195" s="17">
        <v>902</v>
      </c>
      <c r="C195" s="21" t="s">
        <v>201</v>
      </c>
      <c r="D195" s="21" t="s">
        <v>285</v>
      </c>
      <c r="E195" s="21" t="s">
        <v>173</v>
      </c>
      <c r="F195" s="21"/>
      <c r="G195" s="27">
        <f>G196</f>
        <v>799.6</v>
      </c>
      <c r="H195" s="27">
        <f>H196</f>
        <v>769.6</v>
      </c>
      <c r="I195" s="27">
        <f t="shared" si="9"/>
        <v>96.24812406203101</v>
      </c>
    </row>
    <row r="196" spans="1:9" ht="31.5">
      <c r="A196" s="26" t="s">
        <v>236</v>
      </c>
      <c r="B196" s="17">
        <v>902</v>
      </c>
      <c r="C196" s="21" t="s">
        <v>201</v>
      </c>
      <c r="D196" s="21" t="s">
        <v>285</v>
      </c>
      <c r="E196" s="21" t="s">
        <v>237</v>
      </c>
      <c r="F196" s="21"/>
      <c r="G196" s="27">
        <f>G200+G197</f>
        <v>799.6</v>
      </c>
      <c r="H196" s="27">
        <f>H200+H197</f>
        <v>769.6</v>
      </c>
      <c r="I196" s="27">
        <f t="shared" si="9"/>
        <v>96.24812406203101</v>
      </c>
    </row>
    <row r="197" spans="1:9" ht="31.5">
      <c r="A197" s="26" t="s">
        <v>966</v>
      </c>
      <c r="B197" s="17">
        <v>902</v>
      </c>
      <c r="C197" s="21" t="s">
        <v>201</v>
      </c>
      <c r="D197" s="21" t="s">
        <v>285</v>
      </c>
      <c r="E197" s="21" t="s">
        <v>967</v>
      </c>
      <c r="F197" s="21"/>
      <c r="G197" s="27">
        <f>G198</f>
        <v>289.6</v>
      </c>
      <c r="H197" s="27">
        <f>H198</f>
        <v>289.6</v>
      </c>
      <c r="I197" s="27">
        <f t="shared" si="9"/>
        <v>100</v>
      </c>
    </row>
    <row r="198" spans="1:9" ht="15.75">
      <c r="A198" s="31" t="s">
        <v>186</v>
      </c>
      <c r="B198" s="17">
        <v>902</v>
      </c>
      <c r="C198" s="21" t="s">
        <v>201</v>
      </c>
      <c r="D198" s="21" t="s">
        <v>285</v>
      </c>
      <c r="E198" s="21" t="s">
        <v>967</v>
      </c>
      <c r="F198" s="21" t="s">
        <v>196</v>
      </c>
      <c r="G198" s="27">
        <f>G199</f>
        <v>289.6</v>
      </c>
      <c r="H198" s="27">
        <f>H199</f>
        <v>289.6</v>
      </c>
      <c r="I198" s="27">
        <f t="shared" si="9"/>
        <v>100</v>
      </c>
    </row>
    <row r="199" spans="1:9" ht="63">
      <c r="A199" s="31" t="s">
        <v>235</v>
      </c>
      <c r="B199" s="17">
        <v>902</v>
      </c>
      <c r="C199" s="21" t="s">
        <v>201</v>
      </c>
      <c r="D199" s="21" t="s">
        <v>285</v>
      </c>
      <c r="E199" s="21" t="s">
        <v>967</v>
      </c>
      <c r="F199" s="21" t="s">
        <v>211</v>
      </c>
      <c r="G199" s="27">
        <v>289.6</v>
      </c>
      <c r="H199" s="27">
        <v>289.6</v>
      </c>
      <c r="I199" s="27">
        <f t="shared" si="9"/>
        <v>100</v>
      </c>
    </row>
    <row r="200" spans="1:9" ht="31.5">
      <c r="A200" s="26" t="s">
        <v>286</v>
      </c>
      <c r="B200" s="17">
        <v>902</v>
      </c>
      <c r="C200" s="21" t="s">
        <v>201</v>
      </c>
      <c r="D200" s="21" t="s">
        <v>285</v>
      </c>
      <c r="E200" s="21" t="s">
        <v>287</v>
      </c>
      <c r="F200" s="21"/>
      <c r="G200" s="27">
        <f>G201</f>
        <v>510</v>
      </c>
      <c r="H200" s="27">
        <f>H201</f>
        <v>480</v>
      </c>
      <c r="I200" s="27">
        <f t="shared" si="9"/>
        <v>94.11764705882352</v>
      </c>
    </row>
    <row r="201" spans="1:9" ht="15.75">
      <c r="A201" s="26" t="s">
        <v>186</v>
      </c>
      <c r="B201" s="17">
        <v>902</v>
      </c>
      <c r="C201" s="21" t="s">
        <v>201</v>
      </c>
      <c r="D201" s="21" t="s">
        <v>285</v>
      </c>
      <c r="E201" s="21" t="s">
        <v>287</v>
      </c>
      <c r="F201" s="21" t="s">
        <v>196</v>
      </c>
      <c r="G201" s="27">
        <f>G202</f>
        <v>510</v>
      </c>
      <c r="H201" s="27">
        <f>H202</f>
        <v>480</v>
      </c>
      <c r="I201" s="27">
        <f t="shared" si="9"/>
        <v>94.11764705882352</v>
      </c>
    </row>
    <row r="202" spans="1:9" ht="50.25" customHeight="1">
      <c r="A202" s="26" t="s">
        <v>235</v>
      </c>
      <c r="B202" s="17">
        <v>902</v>
      </c>
      <c r="C202" s="21" t="s">
        <v>201</v>
      </c>
      <c r="D202" s="21" t="s">
        <v>285</v>
      </c>
      <c r="E202" s="21" t="s">
        <v>287</v>
      </c>
      <c r="F202" s="21" t="s">
        <v>211</v>
      </c>
      <c r="G202" s="27">
        <v>510</v>
      </c>
      <c r="H202" s="27">
        <v>480</v>
      </c>
      <c r="I202" s="27">
        <f t="shared" si="9"/>
        <v>94.11764705882352</v>
      </c>
    </row>
    <row r="203" spans="1:9" ht="31.5">
      <c r="A203" s="24" t="s">
        <v>288</v>
      </c>
      <c r="B203" s="20">
        <v>902</v>
      </c>
      <c r="C203" s="25" t="s">
        <v>201</v>
      </c>
      <c r="D203" s="25" t="s">
        <v>289</v>
      </c>
      <c r="E203" s="25"/>
      <c r="F203" s="25"/>
      <c r="G203" s="22">
        <f>G208+G204</f>
        <v>1300.1999999999998</v>
      </c>
      <c r="H203" s="22">
        <f>H208+H204</f>
        <v>1205.6</v>
      </c>
      <c r="I203" s="22">
        <f aca="true" t="shared" si="12" ref="I203:I266">H203/G203*100</f>
        <v>92.72419627749578</v>
      </c>
    </row>
    <row r="204" spans="1:9" ht="63">
      <c r="A204" s="26" t="s">
        <v>977</v>
      </c>
      <c r="B204" s="17">
        <v>902</v>
      </c>
      <c r="C204" s="21" t="s">
        <v>201</v>
      </c>
      <c r="D204" s="21" t="s">
        <v>289</v>
      </c>
      <c r="E204" s="21" t="s">
        <v>207</v>
      </c>
      <c r="F204" s="21"/>
      <c r="G204" s="27">
        <f aca="true" t="shared" si="13" ref="G204:H206">G205</f>
        <v>350</v>
      </c>
      <c r="H204" s="27">
        <f t="shared" si="13"/>
        <v>349.9</v>
      </c>
      <c r="I204" s="27">
        <f t="shared" si="12"/>
        <v>99.97142857142856</v>
      </c>
    </row>
    <row r="205" spans="1:9" ht="31.5">
      <c r="A205" s="26" t="s">
        <v>208</v>
      </c>
      <c r="B205" s="17">
        <v>902</v>
      </c>
      <c r="C205" s="21" t="s">
        <v>201</v>
      </c>
      <c r="D205" s="21" t="s">
        <v>289</v>
      </c>
      <c r="E205" s="21" t="s">
        <v>209</v>
      </c>
      <c r="F205" s="21"/>
      <c r="G205" s="27">
        <f t="shared" si="13"/>
        <v>350</v>
      </c>
      <c r="H205" s="27">
        <f t="shared" si="13"/>
        <v>349.9</v>
      </c>
      <c r="I205" s="27">
        <f t="shared" si="12"/>
        <v>99.97142857142856</v>
      </c>
    </row>
    <row r="206" spans="1:9" ht="15.75">
      <c r="A206" s="26" t="s">
        <v>186</v>
      </c>
      <c r="B206" s="17">
        <v>902</v>
      </c>
      <c r="C206" s="21" t="s">
        <v>201</v>
      </c>
      <c r="D206" s="21" t="s">
        <v>289</v>
      </c>
      <c r="E206" s="21" t="s">
        <v>209</v>
      </c>
      <c r="F206" s="21" t="s">
        <v>196</v>
      </c>
      <c r="G206" s="27">
        <f t="shared" si="13"/>
        <v>350</v>
      </c>
      <c r="H206" s="27">
        <f t="shared" si="13"/>
        <v>349.9</v>
      </c>
      <c r="I206" s="27">
        <f t="shared" si="12"/>
        <v>99.97142857142856</v>
      </c>
    </row>
    <row r="207" spans="1:9" ht="68.25" customHeight="1">
      <c r="A207" s="26" t="s">
        <v>210</v>
      </c>
      <c r="B207" s="17">
        <v>902</v>
      </c>
      <c r="C207" s="21" t="s">
        <v>201</v>
      </c>
      <c r="D207" s="21" t="s">
        <v>289</v>
      </c>
      <c r="E207" s="21" t="s">
        <v>209</v>
      </c>
      <c r="F207" s="21" t="s">
        <v>211</v>
      </c>
      <c r="G207" s="27">
        <f>100+150+100</f>
        <v>350</v>
      </c>
      <c r="H207" s="27">
        <v>349.9</v>
      </c>
      <c r="I207" s="27">
        <f t="shared" si="12"/>
        <v>99.97142857142856</v>
      </c>
    </row>
    <row r="208" spans="1:9" ht="15.75">
      <c r="A208" s="26" t="s">
        <v>172</v>
      </c>
      <c r="B208" s="17">
        <v>902</v>
      </c>
      <c r="C208" s="21" t="s">
        <v>201</v>
      </c>
      <c r="D208" s="21" t="s">
        <v>289</v>
      </c>
      <c r="E208" s="21" t="s">
        <v>173</v>
      </c>
      <c r="F208" s="25"/>
      <c r="G208" s="27">
        <f>G209</f>
        <v>950.1999999999999</v>
      </c>
      <c r="H208" s="27">
        <f>H209</f>
        <v>855.7</v>
      </c>
      <c r="I208" s="27">
        <f t="shared" si="12"/>
        <v>90.05472532098506</v>
      </c>
    </row>
    <row r="209" spans="1:9" ht="31.5">
      <c r="A209" s="26" t="s">
        <v>236</v>
      </c>
      <c r="B209" s="17">
        <v>902</v>
      </c>
      <c r="C209" s="21" t="s">
        <v>201</v>
      </c>
      <c r="D209" s="21" t="s">
        <v>289</v>
      </c>
      <c r="E209" s="21" t="s">
        <v>237</v>
      </c>
      <c r="F209" s="25"/>
      <c r="G209" s="27">
        <f>G213+G210</f>
        <v>950.1999999999999</v>
      </c>
      <c r="H209" s="27">
        <f>H213+H210</f>
        <v>855.7</v>
      </c>
      <c r="I209" s="27">
        <f t="shared" si="12"/>
        <v>90.05472532098506</v>
      </c>
    </row>
    <row r="210" spans="1:9" ht="31.5">
      <c r="A210" s="26" t="s">
        <v>290</v>
      </c>
      <c r="B210" s="17">
        <v>902</v>
      </c>
      <c r="C210" s="21" t="s">
        <v>201</v>
      </c>
      <c r="D210" s="21" t="s">
        <v>289</v>
      </c>
      <c r="E210" s="21" t="s">
        <v>291</v>
      </c>
      <c r="F210" s="25"/>
      <c r="G210" s="27">
        <f>G211</f>
        <v>48.9</v>
      </c>
      <c r="H210" s="27">
        <f>H211</f>
        <v>48.9</v>
      </c>
      <c r="I210" s="27">
        <f t="shared" si="12"/>
        <v>100</v>
      </c>
    </row>
    <row r="211" spans="1:9" ht="15.75">
      <c r="A211" s="26" t="s">
        <v>186</v>
      </c>
      <c r="B211" s="17">
        <v>902</v>
      </c>
      <c r="C211" s="21" t="s">
        <v>201</v>
      </c>
      <c r="D211" s="21" t="s">
        <v>289</v>
      </c>
      <c r="E211" s="21" t="s">
        <v>291</v>
      </c>
      <c r="F211" s="21" t="s">
        <v>196</v>
      </c>
      <c r="G211" s="27">
        <f>G212</f>
        <v>48.9</v>
      </c>
      <c r="H211" s="27">
        <f>H212</f>
        <v>48.9</v>
      </c>
      <c r="I211" s="27">
        <f t="shared" si="12"/>
        <v>100</v>
      </c>
    </row>
    <row r="212" spans="1:9" ht="63">
      <c r="A212" s="26" t="s">
        <v>235</v>
      </c>
      <c r="B212" s="17">
        <v>902</v>
      </c>
      <c r="C212" s="21" t="s">
        <v>201</v>
      </c>
      <c r="D212" s="21" t="s">
        <v>289</v>
      </c>
      <c r="E212" s="21" t="s">
        <v>291</v>
      </c>
      <c r="F212" s="21" t="s">
        <v>211</v>
      </c>
      <c r="G212" s="27">
        <v>48.9</v>
      </c>
      <c r="H212" s="27">
        <v>48.9</v>
      </c>
      <c r="I212" s="27">
        <f t="shared" si="12"/>
        <v>100</v>
      </c>
    </row>
    <row r="213" spans="1:10" ht="63">
      <c r="A213" s="33" t="s">
        <v>292</v>
      </c>
      <c r="B213" s="17">
        <v>902</v>
      </c>
      <c r="C213" s="21" t="s">
        <v>201</v>
      </c>
      <c r="D213" s="21" t="s">
        <v>289</v>
      </c>
      <c r="E213" s="21" t="s">
        <v>293</v>
      </c>
      <c r="F213" s="21"/>
      <c r="G213" s="27">
        <f>G214+G216</f>
        <v>901.3</v>
      </c>
      <c r="H213" s="27">
        <f>H214+H216</f>
        <v>806.8000000000001</v>
      </c>
      <c r="I213" s="27">
        <f t="shared" si="12"/>
        <v>89.51514479085766</v>
      </c>
      <c r="J213" s="209"/>
    </row>
    <row r="214" spans="1:9" ht="94.5">
      <c r="A214" s="26" t="s">
        <v>178</v>
      </c>
      <c r="B214" s="17">
        <v>902</v>
      </c>
      <c r="C214" s="21" t="s">
        <v>201</v>
      </c>
      <c r="D214" s="21" t="s">
        <v>289</v>
      </c>
      <c r="E214" s="21" t="s">
        <v>293</v>
      </c>
      <c r="F214" s="21" t="s">
        <v>179</v>
      </c>
      <c r="G214" s="27">
        <f>G215</f>
        <v>779.6999999999999</v>
      </c>
      <c r="H214" s="27">
        <f>H215</f>
        <v>721.2</v>
      </c>
      <c r="I214" s="27">
        <f t="shared" si="12"/>
        <v>92.49711427472106</v>
      </c>
    </row>
    <row r="215" spans="1:9" ht="31.5">
      <c r="A215" s="26" t="s">
        <v>180</v>
      </c>
      <c r="B215" s="17">
        <v>902</v>
      </c>
      <c r="C215" s="21" t="s">
        <v>201</v>
      </c>
      <c r="D215" s="21" t="s">
        <v>289</v>
      </c>
      <c r="E215" s="21" t="s">
        <v>293</v>
      </c>
      <c r="F215" s="21" t="s">
        <v>181</v>
      </c>
      <c r="G215" s="27">
        <f>901.3-361.1+239.5</f>
        <v>779.6999999999999</v>
      </c>
      <c r="H215" s="27">
        <v>721.2</v>
      </c>
      <c r="I215" s="27">
        <f t="shared" si="12"/>
        <v>92.49711427472106</v>
      </c>
    </row>
    <row r="216" spans="1:9" ht="31.5">
      <c r="A216" s="26" t="s">
        <v>182</v>
      </c>
      <c r="B216" s="17">
        <v>902</v>
      </c>
      <c r="C216" s="21" t="s">
        <v>201</v>
      </c>
      <c r="D216" s="21" t="s">
        <v>289</v>
      </c>
      <c r="E216" s="21" t="s">
        <v>293</v>
      </c>
      <c r="F216" s="21" t="s">
        <v>183</v>
      </c>
      <c r="G216" s="27">
        <f>G217</f>
        <v>121.60000000000002</v>
      </c>
      <c r="H216" s="27">
        <f>H217</f>
        <v>85.6</v>
      </c>
      <c r="I216" s="27">
        <f t="shared" si="12"/>
        <v>70.39473684210525</v>
      </c>
    </row>
    <row r="217" spans="1:9" ht="47.25">
      <c r="A217" s="26" t="s">
        <v>184</v>
      </c>
      <c r="B217" s="17">
        <v>902</v>
      </c>
      <c r="C217" s="21" t="s">
        <v>201</v>
      </c>
      <c r="D217" s="21" t="s">
        <v>289</v>
      </c>
      <c r="E217" s="21" t="s">
        <v>293</v>
      </c>
      <c r="F217" s="21" t="s">
        <v>185</v>
      </c>
      <c r="G217" s="27">
        <f>361.1-239.5</f>
        <v>121.60000000000002</v>
      </c>
      <c r="H217" s="27">
        <v>85.6</v>
      </c>
      <c r="I217" s="27">
        <f t="shared" si="12"/>
        <v>70.39473684210525</v>
      </c>
    </row>
    <row r="218" spans="1:9" ht="16.5" customHeight="1">
      <c r="A218" s="24" t="s">
        <v>294</v>
      </c>
      <c r="B218" s="20">
        <v>902</v>
      </c>
      <c r="C218" s="25" t="s">
        <v>295</v>
      </c>
      <c r="D218" s="25"/>
      <c r="E218" s="25"/>
      <c r="F218" s="25"/>
      <c r="G218" s="22">
        <f>G219+G225+G235</f>
        <v>12181.400000000001</v>
      </c>
      <c r="H218" s="22">
        <f>H219+H225+H235</f>
        <v>12099.4</v>
      </c>
      <c r="I218" s="22">
        <f t="shared" si="12"/>
        <v>99.32684256325216</v>
      </c>
    </row>
    <row r="219" spans="1:9" ht="15.75">
      <c r="A219" s="24" t="s">
        <v>296</v>
      </c>
      <c r="B219" s="20">
        <v>902</v>
      </c>
      <c r="C219" s="25" t="s">
        <v>295</v>
      </c>
      <c r="D219" s="25" t="s">
        <v>169</v>
      </c>
      <c r="E219" s="25"/>
      <c r="F219" s="25"/>
      <c r="G219" s="22">
        <f aca="true" t="shared" si="14" ref="G219:H223">G220</f>
        <v>9133.1</v>
      </c>
      <c r="H219" s="22">
        <f t="shared" si="14"/>
        <v>9133.1</v>
      </c>
      <c r="I219" s="22">
        <f t="shared" si="12"/>
        <v>100</v>
      </c>
    </row>
    <row r="220" spans="1:9" ht="15.75">
      <c r="A220" s="26" t="s">
        <v>172</v>
      </c>
      <c r="B220" s="17">
        <v>902</v>
      </c>
      <c r="C220" s="21" t="s">
        <v>295</v>
      </c>
      <c r="D220" s="21" t="s">
        <v>169</v>
      </c>
      <c r="E220" s="21" t="s">
        <v>173</v>
      </c>
      <c r="F220" s="21"/>
      <c r="G220" s="27">
        <f t="shared" si="14"/>
        <v>9133.1</v>
      </c>
      <c r="H220" s="27">
        <f t="shared" si="14"/>
        <v>9133.1</v>
      </c>
      <c r="I220" s="27">
        <f t="shared" si="12"/>
        <v>100</v>
      </c>
    </row>
    <row r="221" spans="1:9" ht="15.75">
      <c r="A221" s="26" t="s">
        <v>192</v>
      </c>
      <c r="B221" s="17">
        <v>902</v>
      </c>
      <c r="C221" s="21" t="s">
        <v>295</v>
      </c>
      <c r="D221" s="21" t="s">
        <v>169</v>
      </c>
      <c r="E221" s="21" t="s">
        <v>193</v>
      </c>
      <c r="F221" s="21"/>
      <c r="G221" s="27">
        <f t="shared" si="14"/>
        <v>9133.1</v>
      </c>
      <c r="H221" s="27">
        <f t="shared" si="14"/>
        <v>9133.1</v>
      </c>
      <c r="I221" s="27">
        <f t="shared" si="12"/>
        <v>100</v>
      </c>
    </row>
    <row r="222" spans="1:9" ht="15.75">
      <c r="A222" s="26" t="s">
        <v>297</v>
      </c>
      <c r="B222" s="17">
        <v>902</v>
      </c>
      <c r="C222" s="21" t="s">
        <v>295</v>
      </c>
      <c r="D222" s="21" t="s">
        <v>169</v>
      </c>
      <c r="E222" s="21" t="s">
        <v>298</v>
      </c>
      <c r="F222" s="21"/>
      <c r="G222" s="27">
        <f t="shared" si="14"/>
        <v>9133.1</v>
      </c>
      <c r="H222" s="27">
        <f t="shared" si="14"/>
        <v>9133.1</v>
      </c>
      <c r="I222" s="27">
        <f t="shared" si="12"/>
        <v>100</v>
      </c>
    </row>
    <row r="223" spans="1:9" ht="31.5">
      <c r="A223" s="26" t="s">
        <v>299</v>
      </c>
      <c r="B223" s="17">
        <v>902</v>
      </c>
      <c r="C223" s="21" t="s">
        <v>295</v>
      </c>
      <c r="D223" s="21" t="s">
        <v>169</v>
      </c>
      <c r="E223" s="21" t="s">
        <v>298</v>
      </c>
      <c r="F223" s="21" t="s">
        <v>300</v>
      </c>
      <c r="G223" s="27">
        <f t="shared" si="14"/>
        <v>9133.1</v>
      </c>
      <c r="H223" s="27">
        <f t="shared" si="14"/>
        <v>9133.1</v>
      </c>
      <c r="I223" s="27">
        <f t="shared" si="12"/>
        <v>100</v>
      </c>
    </row>
    <row r="224" spans="1:9" ht="31.5">
      <c r="A224" s="26" t="s">
        <v>301</v>
      </c>
      <c r="B224" s="17">
        <v>902</v>
      </c>
      <c r="C224" s="21" t="s">
        <v>295</v>
      </c>
      <c r="D224" s="21" t="s">
        <v>169</v>
      </c>
      <c r="E224" s="21" t="s">
        <v>298</v>
      </c>
      <c r="F224" s="21" t="s">
        <v>302</v>
      </c>
      <c r="G224" s="28">
        <f>9066.4+66.7</f>
        <v>9133.1</v>
      </c>
      <c r="H224" s="28">
        <v>9133.1</v>
      </c>
      <c r="I224" s="27">
        <f t="shared" si="12"/>
        <v>100</v>
      </c>
    </row>
    <row r="225" spans="1:9" ht="15.75" hidden="1">
      <c r="A225" s="24" t="s">
        <v>303</v>
      </c>
      <c r="B225" s="20">
        <v>902</v>
      </c>
      <c r="C225" s="25" t="s">
        <v>295</v>
      </c>
      <c r="D225" s="25" t="s">
        <v>266</v>
      </c>
      <c r="E225" s="21"/>
      <c r="F225" s="21"/>
      <c r="G225" s="22">
        <f>G226+G230</f>
        <v>0</v>
      </c>
      <c r="H225" s="22">
        <f>H226+H230</f>
        <v>0</v>
      </c>
      <c r="I225" s="22" t="e">
        <f t="shared" si="12"/>
        <v>#DIV/0!</v>
      </c>
    </row>
    <row r="226" spans="1:9" ht="78.75" hidden="1">
      <c r="A226" s="26" t="s">
        <v>304</v>
      </c>
      <c r="B226" s="17">
        <v>902</v>
      </c>
      <c r="C226" s="21" t="s">
        <v>295</v>
      </c>
      <c r="D226" s="21" t="s">
        <v>266</v>
      </c>
      <c r="E226" s="21" t="s">
        <v>305</v>
      </c>
      <c r="F226" s="21"/>
      <c r="G226" s="27">
        <f aca="true" t="shared" si="15" ref="G226:H228">G227</f>
        <v>0</v>
      </c>
      <c r="H226" s="27">
        <f t="shared" si="15"/>
        <v>0</v>
      </c>
      <c r="I226" s="22" t="e">
        <f t="shared" si="12"/>
        <v>#DIV/0!</v>
      </c>
    </row>
    <row r="227" spans="1:9" ht="31.5" hidden="1">
      <c r="A227" s="26" t="s">
        <v>208</v>
      </c>
      <c r="B227" s="17">
        <v>902</v>
      </c>
      <c r="C227" s="21" t="s">
        <v>295</v>
      </c>
      <c r="D227" s="21" t="s">
        <v>266</v>
      </c>
      <c r="E227" s="21" t="s">
        <v>306</v>
      </c>
      <c r="F227" s="21"/>
      <c r="G227" s="27">
        <f t="shared" si="15"/>
        <v>0</v>
      </c>
      <c r="H227" s="27">
        <f t="shared" si="15"/>
        <v>0</v>
      </c>
      <c r="I227" s="22" t="e">
        <f t="shared" si="12"/>
        <v>#DIV/0!</v>
      </c>
    </row>
    <row r="228" spans="1:9" ht="31.5" hidden="1">
      <c r="A228" s="26" t="s">
        <v>299</v>
      </c>
      <c r="B228" s="17">
        <v>902</v>
      </c>
      <c r="C228" s="21" t="s">
        <v>295</v>
      </c>
      <c r="D228" s="21" t="s">
        <v>266</v>
      </c>
      <c r="E228" s="21" t="s">
        <v>306</v>
      </c>
      <c r="F228" s="21" t="s">
        <v>300</v>
      </c>
      <c r="G228" s="27">
        <f t="shared" si="15"/>
        <v>0</v>
      </c>
      <c r="H228" s="27">
        <f t="shared" si="15"/>
        <v>0</v>
      </c>
      <c r="I228" s="22" t="e">
        <f t="shared" si="12"/>
        <v>#DIV/0!</v>
      </c>
    </row>
    <row r="229" spans="1:9" ht="31.5" hidden="1">
      <c r="A229" s="26" t="s">
        <v>301</v>
      </c>
      <c r="B229" s="17">
        <v>902</v>
      </c>
      <c r="C229" s="21" t="s">
        <v>295</v>
      </c>
      <c r="D229" s="21" t="s">
        <v>266</v>
      </c>
      <c r="E229" s="21" t="s">
        <v>306</v>
      </c>
      <c r="F229" s="21" t="s">
        <v>302</v>
      </c>
      <c r="G229" s="27">
        <f>10-10</f>
        <v>0</v>
      </c>
      <c r="H229" s="27">
        <f>10-10</f>
        <v>0</v>
      </c>
      <c r="I229" s="22" t="e">
        <f t="shared" si="12"/>
        <v>#DIV/0!</v>
      </c>
    </row>
    <row r="230" spans="1:9" ht="15.75" customHeight="1" hidden="1">
      <c r="A230" s="26" t="s">
        <v>172</v>
      </c>
      <c r="B230" s="17">
        <v>902</v>
      </c>
      <c r="C230" s="21" t="s">
        <v>295</v>
      </c>
      <c r="D230" s="21" t="s">
        <v>266</v>
      </c>
      <c r="E230" s="21" t="s">
        <v>173</v>
      </c>
      <c r="F230" s="21"/>
      <c r="G230" s="27">
        <f aca="true" t="shared" si="16" ref="G230:H233">G231</f>
        <v>0</v>
      </c>
      <c r="H230" s="27">
        <f t="shared" si="16"/>
        <v>0</v>
      </c>
      <c r="I230" s="22" t="e">
        <f t="shared" si="12"/>
        <v>#DIV/0!</v>
      </c>
    </row>
    <row r="231" spans="1:9" ht="31.5" customHeight="1" hidden="1">
      <c r="A231" s="26" t="s">
        <v>236</v>
      </c>
      <c r="B231" s="17">
        <v>902</v>
      </c>
      <c r="C231" s="21" t="s">
        <v>295</v>
      </c>
      <c r="D231" s="21" t="s">
        <v>266</v>
      </c>
      <c r="E231" s="21" t="s">
        <v>237</v>
      </c>
      <c r="F231" s="21"/>
      <c r="G231" s="27">
        <f t="shared" si="16"/>
        <v>0</v>
      </c>
      <c r="H231" s="27">
        <f t="shared" si="16"/>
        <v>0</v>
      </c>
      <c r="I231" s="22" t="e">
        <f t="shared" si="12"/>
        <v>#DIV/0!</v>
      </c>
    </row>
    <row r="232" spans="1:9" ht="47.25" customHeight="1" hidden="1">
      <c r="A232" s="33" t="s">
        <v>307</v>
      </c>
      <c r="B232" s="17">
        <v>902</v>
      </c>
      <c r="C232" s="21" t="s">
        <v>295</v>
      </c>
      <c r="D232" s="21" t="s">
        <v>266</v>
      </c>
      <c r="E232" s="21" t="s">
        <v>308</v>
      </c>
      <c r="F232" s="21"/>
      <c r="G232" s="27">
        <f t="shared" si="16"/>
        <v>0</v>
      </c>
      <c r="H232" s="27">
        <f t="shared" si="16"/>
        <v>0</v>
      </c>
      <c r="I232" s="22" t="e">
        <f t="shared" si="12"/>
        <v>#DIV/0!</v>
      </c>
    </row>
    <row r="233" spans="1:9" ht="31.5" customHeight="1" hidden="1">
      <c r="A233" s="26" t="s">
        <v>299</v>
      </c>
      <c r="B233" s="17">
        <v>902</v>
      </c>
      <c r="C233" s="21" t="s">
        <v>295</v>
      </c>
      <c r="D233" s="21" t="s">
        <v>266</v>
      </c>
      <c r="E233" s="21" t="s">
        <v>308</v>
      </c>
      <c r="F233" s="21" t="s">
        <v>300</v>
      </c>
      <c r="G233" s="27">
        <f t="shared" si="16"/>
        <v>0</v>
      </c>
      <c r="H233" s="27">
        <f t="shared" si="16"/>
        <v>0</v>
      </c>
      <c r="I233" s="22" t="e">
        <f t="shared" si="12"/>
        <v>#DIV/0!</v>
      </c>
    </row>
    <row r="234" spans="1:9" ht="31.5" customHeight="1" hidden="1">
      <c r="A234" s="26" t="s">
        <v>301</v>
      </c>
      <c r="B234" s="17">
        <v>902</v>
      </c>
      <c r="C234" s="21" t="s">
        <v>295</v>
      </c>
      <c r="D234" s="21" t="s">
        <v>266</v>
      </c>
      <c r="E234" s="21" t="s">
        <v>308</v>
      </c>
      <c r="F234" s="21" t="s">
        <v>302</v>
      </c>
      <c r="G234" s="27">
        <f>6250-6250</f>
        <v>0</v>
      </c>
      <c r="H234" s="27">
        <f>6250-6250</f>
        <v>0</v>
      </c>
      <c r="I234" s="22" t="e">
        <f t="shared" si="12"/>
        <v>#DIV/0!</v>
      </c>
    </row>
    <row r="235" spans="1:9" ht="31.5">
      <c r="A235" s="24" t="s">
        <v>309</v>
      </c>
      <c r="B235" s="20">
        <v>902</v>
      </c>
      <c r="C235" s="25" t="s">
        <v>295</v>
      </c>
      <c r="D235" s="25" t="s">
        <v>171</v>
      </c>
      <c r="E235" s="25"/>
      <c r="F235" s="25"/>
      <c r="G235" s="22">
        <f aca="true" t="shared" si="17" ref="G235:H237">G236</f>
        <v>3048.3</v>
      </c>
      <c r="H235" s="22">
        <f t="shared" si="17"/>
        <v>2966.2999999999997</v>
      </c>
      <c r="I235" s="22">
        <f t="shared" si="12"/>
        <v>97.3099760522258</v>
      </c>
    </row>
    <row r="236" spans="1:9" ht="15.75">
      <c r="A236" s="26" t="s">
        <v>172</v>
      </c>
      <c r="B236" s="17">
        <v>902</v>
      </c>
      <c r="C236" s="21" t="s">
        <v>295</v>
      </c>
      <c r="D236" s="21" t="s">
        <v>171</v>
      </c>
      <c r="E236" s="21" t="s">
        <v>173</v>
      </c>
      <c r="F236" s="25"/>
      <c r="G236" s="27">
        <f t="shared" si="17"/>
        <v>3048.3</v>
      </c>
      <c r="H236" s="27">
        <f t="shared" si="17"/>
        <v>2966.2999999999997</v>
      </c>
      <c r="I236" s="27">
        <f t="shared" si="12"/>
        <v>97.3099760522258</v>
      </c>
    </row>
    <row r="237" spans="1:9" ht="31.5">
      <c r="A237" s="26" t="s">
        <v>236</v>
      </c>
      <c r="B237" s="17">
        <v>902</v>
      </c>
      <c r="C237" s="21" t="s">
        <v>295</v>
      </c>
      <c r="D237" s="21" t="s">
        <v>171</v>
      </c>
      <c r="E237" s="21" t="s">
        <v>237</v>
      </c>
      <c r="F237" s="21"/>
      <c r="G237" s="27">
        <f t="shared" si="17"/>
        <v>3048.3</v>
      </c>
      <c r="H237" s="27">
        <f t="shared" si="17"/>
        <v>2966.2999999999997</v>
      </c>
      <c r="I237" s="27">
        <f t="shared" si="12"/>
        <v>97.3099760522258</v>
      </c>
    </row>
    <row r="238" spans="1:9" ht="47.25">
      <c r="A238" s="33" t="s">
        <v>310</v>
      </c>
      <c r="B238" s="17">
        <v>902</v>
      </c>
      <c r="C238" s="21" t="s">
        <v>295</v>
      </c>
      <c r="D238" s="21" t="s">
        <v>171</v>
      </c>
      <c r="E238" s="21" t="s">
        <v>311</v>
      </c>
      <c r="F238" s="21"/>
      <c r="G238" s="27">
        <f>G239+G241</f>
        <v>3048.3</v>
      </c>
      <c r="H238" s="27">
        <f>H239+H241</f>
        <v>2966.2999999999997</v>
      </c>
      <c r="I238" s="27">
        <f t="shared" si="12"/>
        <v>97.3099760522258</v>
      </c>
    </row>
    <row r="239" spans="1:9" ht="94.5">
      <c r="A239" s="26" t="s">
        <v>178</v>
      </c>
      <c r="B239" s="17">
        <v>902</v>
      </c>
      <c r="C239" s="21" t="s">
        <v>295</v>
      </c>
      <c r="D239" s="21" t="s">
        <v>171</v>
      </c>
      <c r="E239" s="21" t="s">
        <v>311</v>
      </c>
      <c r="F239" s="21" t="s">
        <v>179</v>
      </c>
      <c r="G239" s="27">
        <f>G240</f>
        <v>2776</v>
      </c>
      <c r="H239" s="27">
        <f>H240</f>
        <v>2698.7</v>
      </c>
      <c r="I239" s="27">
        <f t="shared" si="12"/>
        <v>97.21541786743515</v>
      </c>
    </row>
    <row r="240" spans="1:12" ht="31.5">
      <c r="A240" s="26" t="s">
        <v>180</v>
      </c>
      <c r="B240" s="17">
        <v>902</v>
      </c>
      <c r="C240" s="21" t="s">
        <v>295</v>
      </c>
      <c r="D240" s="21" t="s">
        <v>171</v>
      </c>
      <c r="E240" s="21" t="s">
        <v>311</v>
      </c>
      <c r="F240" s="21" t="s">
        <v>181</v>
      </c>
      <c r="G240" s="28">
        <f>2529.8+327.5-20-50-11.3</f>
        <v>2776</v>
      </c>
      <c r="H240" s="28">
        <v>2698.7</v>
      </c>
      <c r="I240" s="27">
        <f t="shared" si="12"/>
        <v>97.21541786743515</v>
      </c>
      <c r="L240" s="293"/>
    </row>
    <row r="241" spans="1:9" ht="31.5">
      <c r="A241" s="26" t="s">
        <v>182</v>
      </c>
      <c r="B241" s="17">
        <v>902</v>
      </c>
      <c r="C241" s="21" t="s">
        <v>295</v>
      </c>
      <c r="D241" s="21" t="s">
        <v>171</v>
      </c>
      <c r="E241" s="21" t="s">
        <v>311</v>
      </c>
      <c r="F241" s="21" t="s">
        <v>183</v>
      </c>
      <c r="G241" s="27">
        <f>G242</f>
        <v>272.3</v>
      </c>
      <c r="H241" s="27">
        <f>H242</f>
        <v>267.6</v>
      </c>
      <c r="I241" s="27">
        <f t="shared" si="12"/>
        <v>98.27396254131473</v>
      </c>
    </row>
    <row r="242" spans="1:9" ht="47.25">
      <c r="A242" s="26" t="s">
        <v>184</v>
      </c>
      <c r="B242" s="17">
        <v>902</v>
      </c>
      <c r="C242" s="21" t="s">
        <v>295</v>
      </c>
      <c r="D242" s="21" t="s">
        <v>171</v>
      </c>
      <c r="E242" s="21" t="s">
        <v>311</v>
      </c>
      <c r="F242" s="21" t="s">
        <v>185</v>
      </c>
      <c r="G242" s="28">
        <f>433.9-112.2-14.8-42.5+354.5-327.5+20-50.4+11.3</f>
        <v>272.3</v>
      </c>
      <c r="H242" s="28">
        <v>267.6</v>
      </c>
      <c r="I242" s="27">
        <f t="shared" si="12"/>
        <v>98.27396254131473</v>
      </c>
    </row>
    <row r="243" spans="1:9" ht="47.25">
      <c r="A243" s="20" t="s">
        <v>312</v>
      </c>
      <c r="B243" s="20">
        <v>903</v>
      </c>
      <c r="C243" s="21"/>
      <c r="D243" s="21"/>
      <c r="E243" s="21"/>
      <c r="F243" s="21"/>
      <c r="G243" s="22">
        <f>G283+G328+G454+G244</f>
        <v>85073.59999999999</v>
      </c>
      <c r="H243" s="22">
        <f>H283+H328+H454+H244</f>
        <v>83825.90000000001</v>
      </c>
      <c r="I243" s="22">
        <f t="shared" si="12"/>
        <v>98.53338756088847</v>
      </c>
    </row>
    <row r="244" spans="1:9" ht="15.75">
      <c r="A244" s="24" t="s">
        <v>168</v>
      </c>
      <c r="B244" s="20">
        <v>903</v>
      </c>
      <c r="C244" s="25" t="s">
        <v>169</v>
      </c>
      <c r="D244" s="21"/>
      <c r="E244" s="21"/>
      <c r="F244" s="21"/>
      <c r="G244" s="22">
        <f>G245</f>
        <v>2261.6000000000004</v>
      </c>
      <c r="H244" s="22">
        <f>H245</f>
        <v>2245.9</v>
      </c>
      <c r="I244" s="22">
        <f t="shared" si="12"/>
        <v>99.30580120268834</v>
      </c>
    </row>
    <row r="245" spans="1:9" ht="15.75">
      <c r="A245" s="24" t="s">
        <v>190</v>
      </c>
      <c r="B245" s="20">
        <v>903</v>
      </c>
      <c r="C245" s="25" t="s">
        <v>169</v>
      </c>
      <c r="D245" s="25" t="s">
        <v>191</v>
      </c>
      <c r="E245" s="21"/>
      <c r="F245" s="21"/>
      <c r="G245" s="22">
        <f>G271+G251+G267+G276+G246</f>
        <v>2261.6000000000004</v>
      </c>
      <c r="H245" s="22">
        <f>H271+H251+H267+H276+H246</f>
        <v>2245.9</v>
      </c>
      <c r="I245" s="22">
        <f t="shared" si="12"/>
        <v>99.30580120268834</v>
      </c>
    </row>
    <row r="246" spans="1:9" ht="94.5">
      <c r="A246" s="31" t="s">
        <v>218</v>
      </c>
      <c r="B246" s="17">
        <v>903</v>
      </c>
      <c r="C246" s="10" t="s">
        <v>169</v>
      </c>
      <c r="D246" s="10" t="s">
        <v>191</v>
      </c>
      <c r="E246" s="6" t="s">
        <v>219</v>
      </c>
      <c r="F246" s="10"/>
      <c r="G246" s="27">
        <f aca="true" t="shared" si="18" ref="G246:H249">G247</f>
        <v>25</v>
      </c>
      <c r="H246" s="27">
        <f t="shared" si="18"/>
        <v>25</v>
      </c>
      <c r="I246" s="27">
        <f t="shared" si="12"/>
        <v>100</v>
      </c>
    </row>
    <row r="247" spans="1:9" ht="78.75">
      <c r="A247" s="31" t="s">
        <v>220</v>
      </c>
      <c r="B247" s="17">
        <v>903</v>
      </c>
      <c r="C247" s="10" t="s">
        <v>169</v>
      </c>
      <c r="D247" s="10" t="s">
        <v>191</v>
      </c>
      <c r="E247" s="32" t="s">
        <v>221</v>
      </c>
      <c r="F247" s="10"/>
      <c r="G247" s="27">
        <f t="shared" si="18"/>
        <v>25</v>
      </c>
      <c r="H247" s="27">
        <f t="shared" si="18"/>
        <v>25</v>
      </c>
      <c r="I247" s="27">
        <f t="shared" si="12"/>
        <v>100</v>
      </c>
    </row>
    <row r="248" spans="1:9" ht="31.5">
      <c r="A248" s="208" t="s">
        <v>222</v>
      </c>
      <c r="B248" s="17">
        <v>903</v>
      </c>
      <c r="C248" s="10" t="s">
        <v>169</v>
      </c>
      <c r="D248" s="10" t="s">
        <v>191</v>
      </c>
      <c r="E248" s="6" t="s">
        <v>223</v>
      </c>
      <c r="F248" s="10"/>
      <c r="G248" s="27">
        <f t="shared" si="18"/>
        <v>25</v>
      </c>
      <c r="H248" s="27">
        <f t="shared" si="18"/>
        <v>25</v>
      </c>
      <c r="I248" s="27">
        <f t="shared" si="12"/>
        <v>100</v>
      </c>
    </row>
    <row r="249" spans="1:9" ht="31.5">
      <c r="A249" s="26" t="s">
        <v>182</v>
      </c>
      <c r="B249" s="17">
        <v>903</v>
      </c>
      <c r="C249" s="10" t="s">
        <v>169</v>
      </c>
      <c r="D249" s="10" t="s">
        <v>191</v>
      </c>
      <c r="E249" s="6" t="s">
        <v>223</v>
      </c>
      <c r="F249" s="10" t="s">
        <v>183</v>
      </c>
      <c r="G249" s="27">
        <f t="shared" si="18"/>
        <v>25</v>
      </c>
      <c r="H249" s="27">
        <f t="shared" si="18"/>
        <v>25</v>
      </c>
      <c r="I249" s="27">
        <f t="shared" si="12"/>
        <v>100</v>
      </c>
    </row>
    <row r="250" spans="1:9" ht="47.25">
      <c r="A250" s="26" t="s">
        <v>184</v>
      </c>
      <c r="B250" s="17">
        <v>903</v>
      </c>
      <c r="C250" s="10" t="s">
        <v>169</v>
      </c>
      <c r="D250" s="10" t="s">
        <v>191</v>
      </c>
      <c r="E250" s="6" t="s">
        <v>223</v>
      </c>
      <c r="F250" s="10" t="s">
        <v>185</v>
      </c>
      <c r="G250" s="27">
        <f>25</f>
        <v>25</v>
      </c>
      <c r="H250" s="27">
        <v>25</v>
      </c>
      <c r="I250" s="27">
        <f t="shared" si="12"/>
        <v>100</v>
      </c>
    </row>
    <row r="251" spans="1:9" ht="47.25">
      <c r="A251" s="26" t="s">
        <v>385</v>
      </c>
      <c r="B251" s="17">
        <v>903</v>
      </c>
      <c r="C251" s="21" t="s">
        <v>169</v>
      </c>
      <c r="D251" s="21" t="s">
        <v>191</v>
      </c>
      <c r="E251" s="21" t="s">
        <v>386</v>
      </c>
      <c r="F251" s="21"/>
      <c r="G251" s="27">
        <f>G255+G261+G252+G258+G264</f>
        <v>120</v>
      </c>
      <c r="H251" s="27">
        <f>H255+H261+H252+H258+H264</f>
        <v>117.6</v>
      </c>
      <c r="I251" s="27">
        <f t="shared" si="12"/>
        <v>98</v>
      </c>
    </row>
    <row r="252" spans="1:9" ht="47.25">
      <c r="A252" s="121" t="s">
        <v>917</v>
      </c>
      <c r="B252" s="17">
        <v>903</v>
      </c>
      <c r="C252" s="21" t="s">
        <v>169</v>
      </c>
      <c r="D252" s="21" t="s">
        <v>191</v>
      </c>
      <c r="E252" s="21" t="s">
        <v>388</v>
      </c>
      <c r="F252" s="21"/>
      <c r="G252" s="27">
        <f>G253</f>
        <v>100</v>
      </c>
      <c r="H252" s="27">
        <f>H253</f>
        <v>100</v>
      </c>
      <c r="I252" s="27">
        <f t="shared" si="12"/>
        <v>100</v>
      </c>
    </row>
    <row r="253" spans="1:9" ht="31.5">
      <c r="A253" s="26" t="s">
        <v>182</v>
      </c>
      <c r="B253" s="17">
        <v>903</v>
      </c>
      <c r="C253" s="21" t="s">
        <v>169</v>
      </c>
      <c r="D253" s="21" t="s">
        <v>191</v>
      </c>
      <c r="E253" s="21" t="s">
        <v>388</v>
      </c>
      <c r="F253" s="21" t="s">
        <v>183</v>
      </c>
      <c r="G253" s="27">
        <f>G254</f>
        <v>100</v>
      </c>
      <c r="H253" s="27">
        <f>H254</f>
        <v>100</v>
      </c>
      <c r="I253" s="27">
        <f t="shared" si="12"/>
        <v>100</v>
      </c>
    </row>
    <row r="254" spans="1:9" ht="47.25">
      <c r="A254" s="26" t="s">
        <v>184</v>
      </c>
      <c r="B254" s="17">
        <v>903</v>
      </c>
      <c r="C254" s="21" t="s">
        <v>169</v>
      </c>
      <c r="D254" s="21" t="s">
        <v>191</v>
      </c>
      <c r="E254" s="21" t="s">
        <v>388</v>
      </c>
      <c r="F254" s="21" t="s">
        <v>185</v>
      </c>
      <c r="G254" s="27">
        <f>50+25+25</f>
        <v>100</v>
      </c>
      <c r="H254" s="27">
        <v>100</v>
      </c>
      <c r="I254" s="27">
        <f t="shared" si="12"/>
        <v>100</v>
      </c>
    </row>
    <row r="255" spans="1:9" ht="31.5">
      <c r="A255" s="26" t="s">
        <v>389</v>
      </c>
      <c r="B255" s="17">
        <v>903</v>
      </c>
      <c r="C255" s="21" t="s">
        <v>169</v>
      </c>
      <c r="D255" s="21" t="s">
        <v>191</v>
      </c>
      <c r="E255" s="21" t="s">
        <v>390</v>
      </c>
      <c r="F255" s="21"/>
      <c r="G255" s="27">
        <f>G256</f>
        <v>20</v>
      </c>
      <c r="H255" s="27">
        <f>H256</f>
        <v>17.6</v>
      </c>
      <c r="I255" s="27">
        <f t="shared" si="12"/>
        <v>88.00000000000001</v>
      </c>
    </row>
    <row r="256" spans="1:9" ht="31.5">
      <c r="A256" s="26" t="s">
        <v>182</v>
      </c>
      <c r="B256" s="17">
        <v>903</v>
      </c>
      <c r="C256" s="21" t="s">
        <v>169</v>
      </c>
      <c r="D256" s="21" t="s">
        <v>191</v>
      </c>
      <c r="E256" s="21" t="s">
        <v>390</v>
      </c>
      <c r="F256" s="21" t="s">
        <v>183</v>
      </c>
      <c r="G256" s="27">
        <f>G257</f>
        <v>20</v>
      </c>
      <c r="H256" s="27">
        <f>H257</f>
        <v>17.6</v>
      </c>
      <c r="I256" s="27">
        <f t="shared" si="12"/>
        <v>88.00000000000001</v>
      </c>
    </row>
    <row r="257" spans="1:9" ht="47.25">
      <c r="A257" s="26" t="s">
        <v>184</v>
      </c>
      <c r="B257" s="17">
        <v>903</v>
      </c>
      <c r="C257" s="21" t="s">
        <v>169</v>
      </c>
      <c r="D257" s="21" t="s">
        <v>191</v>
      </c>
      <c r="E257" s="21" t="s">
        <v>390</v>
      </c>
      <c r="F257" s="21" t="s">
        <v>185</v>
      </c>
      <c r="G257" s="27">
        <f>20</f>
        <v>20</v>
      </c>
      <c r="H257" s="27">
        <v>17.6</v>
      </c>
      <c r="I257" s="27">
        <f t="shared" si="12"/>
        <v>88.00000000000001</v>
      </c>
    </row>
    <row r="258" spans="1:9" ht="47.25" hidden="1">
      <c r="A258" s="33" t="s">
        <v>918</v>
      </c>
      <c r="B258" s="17">
        <v>903</v>
      </c>
      <c r="C258" s="21" t="s">
        <v>169</v>
      </c>
      <c r="D258" s="21" t="s">
        <v>191</v>
      </c>
      <c r="E258" s="21" t="s">
        <v>915</v>
      </c>
      <c r="F258" s="21"/>
      <c r="G258" s="27">
        <f>G259</f>
        <v>0</v>
      </c>
      <c r="H258" s="27">
        <f>H259</f>
        <v>0</v>
      </c>
      <c r="I258" s="27" t="e">
        <f t="shared" si="12"/>
        <v>#DIV/0!</v>
      </c>
    </row>
    <row r="259" spans="1:9" ht="31.5" hidden="1">
      <c r="A259" s="26" t="s">
        <v>182</v>
      </c>
      <c r="B259" s="17">
        <v>903</v>
      </c>
      <c r="C259" s="21" t="s">
        <v>169</v>
      </c>
      <c r="D259" s="21" t="s">
        <v>191</v>
      </c>
      <c r="E259" s="21" t="s">
        <v>915</v>
      </c>
      <c r="F259" s="21" t="s">
        <v>183</v>
      </c>
      <c r="G259" s="27">
        <f>G260</f>
        <v>0</v>
      </c>
      <c r="H259" s="27">
        <f>H260</f>
        <v>0</v>
      </c>
      <c r="I259" s="27" t="e">
        <f t="shared" si="12"/>
        <v>#DIV/0!</v>
      </c>
    </row>
    <row r="260" spans="1:9" ht="47.25" hidden="1">
      <c r="A260" s="26" t="s">
        <v>184</v>
      </c>
      <c r="B260" s="17">
        <v>903</v>
      </c>
      <c r="C260" s="21" t="s">
        <v>169</v>
      </c>
      <c r="D260" s="21" t="s">
        <v>191</v>
      </c>
      <c r="E260" s="21" t="s">
        <v>915</v>
      </c>
      <c r="F260" s="21" t="s">
        <v>185</v>
      </c>
      <c r="G260" s="27">
        <f>5-5</f>
        <v>0</v>
      </c>
      <c r="H260" s="27">
        <f>5-5</f>
        <v>0</v>
      </c>
      <c r="I260" s="27" t="e">
        <f t="shared" si="12"/>
        <v>#DIV/0!</v>
      </c>
    </row>
    <row r="261" spans="1:9" ht="63" hidden="1">
      <c r="A261" s="26" t="s">
        <v>798</v>
      </c>
      <c r="B261" s="17">
        <v>903</v>
      </c>
      <c r="C261" s="21" t="s">
        <v>169</v>
      </c>
      <c r="D261" s="21" t="s">
        <v>191</v>
      </c>
      <c r="E261" s="21" t="s">
        <v>920</v>
      </c>
      <c r="F261" s="21"/>
      <c r="G261" s="27">
        <f>G262</f>
        <v>0</v>
      </c>
      <c r="H261" s="27">
        <f>H262</f>
        <v>0</v>
      </c>
      <c r="I261" s="27" t="e">
        <f t="shared" si="12"/>
        <v>#DIV/0!</v>
      </c>
    </row>
    <row r="262" spans="1:9" ht="31.5" hidden="1">
      <c r="A262" s="26" t="s">
        <v>182</v>
      </c>
      <c r="B262" s="17">
        <v>903</v>
      </c>
      <c r="C262" s="21" t="s">
        <v>169</v>
      </c>
      <c r="D262" s="21" t="s">
        <v>191</v>
      </c>
      <c r="E262" s="21" t="s">
        <v>920</v>
      </c>
      <c r="F262" s="21" t="s">
        <v>183</v>
      </c>
      <c r="G262" s="27">
        <f>G263</f>
        <v>0</v>
      </c>
      <c r="H262" s="27">
        <f>H263</f>
        <v>0</v>
      </c>
      <c r="I262" s="27" t="e">
        <f t="shared" si="12"/>
        <v>#DIV/0!</v>
      </c>
    </row>
    <row r="263" spans="1:9" ht="47.25" hidden="1">
      <c r="A263" s="26" t="s">
        <v>184</v>
      </c>
      <c r="B263" s="17">
        <v>903</v>
      </c>
      <c r="C263" s="21" t="s">
        <v>169</v>
      </c>
      <c r="D263" s="21" t="s">
        <v>191</v>
      </c>
      <c r="E263" s="21" t="s">
        <v>920</v>
      </c>
      <c r="F263" s="21" t="s">
        <v>185</v>
      </c>
      <c r="G263" s="27">
        <v>0</v>
      </c>
      <c r="H263" s="27">
        <v>0</v>
      </c>
      <c r="I263" s="27" t="e">
        <f t="shared" si="12"/>
        <v>#DIV/0!</v>
      </c>
    </row>
    <row r="264" spans="1:9" ht="31.5" hidden="1">
      <c r="A264" s="33" t="s">
        <v>919</v>
      </c>
      <c r="B264" s="17">
        <v>903</v>
      </c>
      <c r="C264" s="21" t="s">
        <v>169</v>
      </c>
      <c r="D264" s="21" t="s">
        <v>191</v>
      </c>
      <c r="E264" s="21" t="s">
        <v>916</v>
      </c>
      <c r="F264" s="21"/>
      <c r="G264" s="27">
        <f>G265</f>
        <v>0</v>
      </c>
      <c r="H264" s="27">
        <f>H265</f>
        <v>0</v>
      </c>
      <c r="I264" s="27" t="e">
        <f t="shared" si="12"/>
        <v>#DIV/0!</v>
      </c>
    </row>
    <row r="265" spans="1:9" ht="31.5" hidden="1">
      <c r="A265" s="26" t="s">
        <v>182</v>
      </c>
      <c r="B265" s="17">
        <v>903</v>
      </c>
      <c r="C265" s="21" t="s">
        <v>169</v>
      </c>
      <c r="D265" s="21" t="s">
        <v>191</v>
      </c>
      <c r="E265" s="21" t="s">
        <v>916</v>
      </c>
      <c r="F265" s="21" t="s">
        <v>183</v>
      </c>
      <c r="G265" s="27">
        <f>G266</f>
        <v>0</v>
      </c>
      <c r="H265" s="27">
        <f>H266</f>
        <v>0</v>
      </c>
      <c r="I265" s="27" t="e">
        <f t="shared" si="12"/>
        <v>#DIV/0!</v>
      </c>
    </row>
    <row r="266" spans="1:9" ht="47.25" hidden="1">
      <c r="A266" s="26" t="s">
        <v>184</v>
      </c>
      <c r="B266" s="17">
        <v>903</v>
      </c>
      <c r="C266" s="21" t="s">
        <v>169</v>
      </c>
      <c r="D266" s="21" t="s">
        <v>191</v>
      </c>
      <c r="E266" s="21" t="s">
        <v>916</v>
      </c>
      <c r="F266" s="21" t="s">
        <v>185</v>
      </c>
      <c r="G266" s="27">
        <f>20-20</f>
        <v>0</v>
      </c>
      <c r="H266" s="27">
        <f>20-20</f>
        <v>0</v>
      </c>
      <c r="I266" s="27" t="e">
        <f t="shared" si="12"/>
        <v>#DIV/0!</v>
      </c>
    </row>
    <row r="267" spans="1:9" ht="63" hidden="1">
      <c r="A267" s="31" t="s">
        <v>797</v>
      </c>
      <c r="B267" s="17">
        <v>903</v>
      </c>
      <c r="C267" s="21" t="s">
        <v>169</v>
      </c>
      <c r="D267" s="21" t="s">
        <v>191</v>
      </c>
      <c r="E267" s="21" t="s">
        <v>795</v>
      </c>
      <c r="F267" s="21"/>
      <c r="G267" s="27">
        <f aca="true" t="shared" si="19" ref="G267:H269">G268</f>
        <v>0</v>
      </c>
      <c r="H267" s="27">
        <f t="shared" si="19"/>
        <v>0</v>
      </c>
      <c r="I267" s="27" t="e">
        <f aca="true" t="shared" si="20" ref="I267:I330">H267/G267*100</f>
        <v>#DIV/0!</v>
      </c>
    </row>
    <row r="268" spans="1:9" ht="31.5" hidden="1">
      <c r="A268" s="26" t="s">
        <v>420</v>
      </c>
      <c r="B268" s="17">
        <v>903</v>
      </c>
      <c r="C268" s="21" t="s">
        <v>169</v>
      </c>
      <c r="D268" s="21" t="s">
        <v>191</v>
      </c>
      <c r="E268" s="21" t="s">
        <v>803</v>
      </c>
      <c r="F268" s="21"/>
      <c r="G268" s="27">
        <f t="shared" si="19"/>
        <v>0</v>
      </c>
      <c r="H268" s="27">
        <f t="shared" si="19"/>
        <v>0</v>
      </c>
      <c r="I268" s="27" t="e">
        <f t="shared" si="20"/>
        <v>#DIV/0!</v>
      </c>
    </row>
    <row r="269" spans="1:9" ht="31.5" hidden="1">
      <c r="A269" s="26" t="s">
        <v>182</v>
      </c>
      <c r="B269" s="17">
        <v>903</v>
      </c>
      <c r="C269" s="21" t="s">
        <v>169</v>
      </c>
      <c r="D269" s="21" t="s">
        <v>191</v>
      </c>
      <c r="E269" s="21" t="s">
        <v>803</v>
      </c>
      <c r="F269" s="21" t="s">
        <v>183</v>
      </c>
      <c r="G269" s="27">
        <f t="shared" si="19"/>
        <v>0</v>
      </c>
      <c r="H269" s="27">
        <f t="shared" si="19"/>
        <v>0</v>
      </c>
      <c r="I269" s="27" t="e">
        <f t="shared" si="20"/>
        <v>#DIV/0!</v>
      </c>
    </row>
    <row r="270" spans="1:9" ht="47.25" hidden="1">
      <c r="A270" s="26" t="s">
        <v>184</v>
      </c>
      <c r="B270" s="17">
        <v>903</v>
      </c>
      <c r="C270" s="21" t="s">
        <v>169</v>
      </c>
      <c r="D270" s="21" t="s">
        <v>191</v>
      </c>
      <c r="E270" s="21" t="s">
        <v>803</v>
      </c>
      <c r="F270" s="21" t="s">
        <v>185</v>
      </c>
      <c r="G270" s="27">
        <v>0</v>
      </c>
      <c r="H270" s="27">
        <v>0</v>
      </c>
      <c r="I270" s="27" t="e">
        <f t="shared" si="20"/>
        <v>#DIV/0!</v>
      </c>
    </row>
    <row r="271" spans="1:9" ht="15.75" hidden="1">
      <c r="A271" s="26" t="s">
        <v>172</v>
      </c>
      <c r="B271" s="17">
        <v>903</v>
      </c>
      <c r="C271" s="21" t="s">
        <v>169</v>
      </c>
      <c r="D271" s="21" t="s">
        <v>191</v>
      </c>
      <c r="E271" s="21" t="s">
        <v>173</v>
      </c>
      <c r="F271" s="21"/>
      <c r="G271" s="27">
        <f aca="true" t="shared" si="21" ref="G271:H274">G272</f>
        <v>0</v>
      </c>
      <c r="H271" s="27">
        <f t="shared" si="21"/>
        <v>0</v>
      </c>
      <c r="I271" s="27" t="e">
        <f t="shared" si="20"/>
        <v>#DIV/0!</v>
      </c>
    </row>
    <row r="272" spans="1:9" ht="31.5" hidden="1">
      <c r="A272" s="26" t="s">
        <v>236</v>
      </c>
      <c r="B272" s="17">
        <v>903</v>
      </c>
      <c r="C272" s="21" t="s">
        <v>169</v>
      </c>
      <c r="D272" s="21" t="s">
        <v>191</v>
      </c>
      <c r="E272" s="21" t="s">
        <v>237</v>
      </c>
      <c r="F272" s="21"/>
      <c r="G272" s="27">
        <f t="shared" si="21"/>
        <v>0</v>
      </c>
      <c r="H272" s="27">
        <f t="shared" si="21"/>
        <v>0</v>
      </c>
      <c r="I272" s="27" t="e">
        <f t="shared" si="20"/>
        <v>#DIV/0!</v>
      </c>
    </row>
    <row r="273" spans="1:9" ht="47.25" hidden="1">
      <c r="A273" s="37" t="s">
        <v>825</v>
      </c>
      <c r="B273" s="17">
        <v>903</v>
      </c>
      <c r="C273" s="21" t="s">
        <v>169</v>
      </c>
      <c r="D273" s="21" t="s">
        <v>191</v>
      </c>
      <c r="E273" s="21" t="s">
        <v>824</v>
      </c>
      <c r="F273" s="25"/>
      <c r="G273" s="27">
        <f t="shared" si="21"/>
        <v>0</v>
      </c>
      <c r="H273" s="27">
        <f t="shared" si="21"/>
        <v>0</v>
      </c>
      <c r="I273" s="27" t="e">
        <f t="shared" si="20"/>
        <v>#DIV/0!</v>
      </c>
    </row>
    <row r="274" spans="1:9" ht="31.5" hidden="1">
      <c r="A274" s="26" t="s">
        <v>182</v>
      </c>
      <c r="B274" s="17">
        <v>903</v>
      </c>
      <c r="C274" s="21" t="s">
        <v>169</v>
      </c>
      <c r="D274" s="21" t="s">
        <v>191</v>
      </c>
      <c r="E274" s="21" t="s">
        <v>824</v>
      </c>
      <c r="F274" s="21" t="s">
        <v>183</v>
      </c>
      <c r="G274" s="27">
        <f t="shared" si="21"/>
        <v>0</v>
      </c>
      <c r="H274" s="27">
        <f t="shared" si="21"/>
        <v>0</v>
      </c>
      <c r="I274" s="27" t="e">
        <f t="shared" si="20"/>
        <v>#DIV/0!</v>
      </c>
    </row>
    <row r="275" spans="1:9" ht="53.25" customHeight="1" hidden="1">
      <c r="A275" s="26" t="s">
        <v>184</v>
      </c>
      <c r="B275" s="17">
        <v>903</v>
      </c>
      <c r="C275" s="21" t="s">
        <v>169</v>
      </c>
      <c r="D275" s="21" t="s">
        <v>191</v>
      </c>
      <c r="E275" s="21" t="s">
        <v>824</v>
      </c>
      <c r="F275" s="21" t="s">
        <v>185</v>
      </c>
      <c r="G275" s="27">
        <v>0</v>
      </c>
      <c r="H275" s="27">
        <v>0</v>
      </c>
      <c r="I275" s="27" t="e">
        <f t="shared" si="20"/>
        <v>#DIV/0!</v>
      </c>
    </row>
    <row r="276" spans="1:9" ht="66" customHeight="1">
      <c r="A276" s="31" t="s">
        <v>797</v>
      </c>
      <c r="B276" s="17">
        <v>903</v>
      </c>
      <c r="C276" s="21" t="s">
        <v>169</v>
      </c>
      <c r="D276" s="21" t="s">
        <v>191</v>
      </c>
      <c r="E276" s="21" t="s">
        <v>795</v>
      </c>
      <c r="F276" s="34"/>
      <c r="G276" s="27">
        <f>G277+G280</f>
        <v>2116.6000000000004</v>
      </c>
      <c r="H276" s="27">
        <f>H277+H280</f>
        <v>2103.3</v>
      </c>
      <c r="I276" s="27">
        <f t="shared" si="20"/>
        <v>99.37163375224416</v>
      </c>
    </row>
    <row r="277" spans="1:9" ht="53.25" customHeight="1">
      <c r="A277" s="123" t="s">
        <v>926</v>
      </c>
      <c r="B277" s="17">
        <v>903</v>
      </c>
      <c r="C277" s="21" t="s">
        <v>169</v>
      </c>
      <c r="D277" s="21" t="s">
        <v>191</v>
      </c>
      <c r="E277" s="21" t="s">
        <v>925</v>
      </c>
      <c r="F277" s="34"/>
      <c r="G277" s="27">
        <f>G278</f>
        <v>5</v>
      </c>
      <c r="H277" s="27">
        <f>H278</f>
        <v>0</v>
      </c>
      <c r="I277" s="27">
        <f t="shared" si="20"/>
        <v>0</v>
      </c>
    </row>
    <row r="278" spans="1:9" ht="42" customHeight="1">
      <c r="A278" s="26" t="s">
        <v>182</v>
      </c>
      <c r="B278" s="17">
        <v>903</v>
      </c>
      <c r="C278" s="21" t="s">
        <v>169</v>
      </c>
      <c r="D278" s="21" t="s">
        <v>191</v>
      </c>
      <c r="E278" s="21" t="s">
        <v>925</v>
      </c>
      <c r="F278" s="34" t="s">
        <v>183</v>
      </c>
      <c r="G278" s="27">
        <f>G279</f>
        <v>5</v>
      </c>
      <c r="H278" s="27">
        <f>H279</f>
        <v>0</v>
      </c>
      <c r="I278" s="27">
        <f t="shared" si="20"/>
        <v>0</v>
      </c>
    </row>
    <row r="279" spans="1:9" ht="43.5" customHeight="1">
      <c r="A279" s="26" t="s">
        <v>184</v>
      </c>
      <c r="B279" s="17">
        <v>903</v>
      </c>
      <c r="C279" s="21" t="s">
        <v>169</v>
      </c>
      <c r="D279" s="21" t="s">
        <v>191</v>
      </c>
      <c r="E279" s="21" t="s">
        <v>925</v>
      </c>
      <c r="F279" s="34" t="s">
        <v>185</v>
      </c>
      <c r="G279" s="27">
        <v>5</v>
      </c>
      <c r="H279" s="27">
        <v>0</v>
      </c>
      <c r="I279" s="27">
        <f t="shared" si="20"/>
        <v>0</v>
      </c>
    </row>
    <row r="280" spans="1:9" ht="51" customHeight="1">
      <c r="A280" s="123" t="s">
        <v>943</v>
      </c>
      <c r="B280" s="21" t="s">
        <v>704</v>
      </c>
      <c r="C280" s="21" t="s">
        <v>169</v>
      </c>
      <c r="D280" s="21" t="s">
        <v>191</v>
      </c>
      <c r="E280" s="21" t="s">
        <v>944</v>
      </c>
      <c r="F280" s="34"/>
      <c r="G280" s="27">
        <f>G281</f>
        <v>2111.6000000000004</v>
      </c>
      <c r="H280" s="27">
        <f>H281</f>
        <v>2103.3</v>
      </c>
      <c r="I280" s="27">
        <f t="shared" si="20"/>
        <v>99.60693313127486</v>
      </c>
    </row>
    <row r="281" spans="1:9" ht="47.25" customHeight="1">
      <c r="A281" s="31" t="s">
        <v>323</v>
      </c>
      <c r="B281" s="17">
        <v>903</v>
      </c>
      <c r="C281" s="21" t="s">
        <v>169</v>
      </c>
      <c r="D281" s="21" t="s">
        <v>191</v>
      </c>
      <c r="E281" s="21" t="s">
        <v>944</v>
      </c>
      <c r="F281" s="34" t="s">
        <v>324</v>
      </c>
      <c r="G281" s="27">
        <f>G282</f>
        <v>2111.6000000000004</v>
      </c>
      <c r="H281" s="27">
        <f>H282</f>
        <v>2103.3</v>
      </c>
      <c r="I281" s="27">
        <f t="shared" si="20"/>
        <v>99.60693313127486</v>
      </c>
    </row>
    <row r="282" spans="1:12" ht="21" customHeight="1">
      <c r="A282" s="246" t="s">
        <v>325</v>
      </c>
      <c r="B282" s="17">
        <v>903</v>
      </c>
      <c r="C282" s="21" t="s">
        <v>169</v>
      </c>
      <c r="D282" s="21" t="s">
        <v>191</v>
      </c>
      <c r="E282" s="21" t="s">
        <v>944</v>
      </c>
      <c r="F282" s="34" t="s">
        <v>326</v>
      </c>
      <c r="G282" s="27">
        <f>1014.2+329.5+17.9+310+160+280</f>
        <v>2111.6000000000004</v>
      </c>
      <c r="H282" s="27">
        <v>2103.3</v>
      </c>
      <c r="I282" s="27">
        <f t="shared" si="20"/>
        <v>99.60693313127486</v>
      </c>
      <c r="J282" s="288"/>
      <c r="K282" s="290"/>
      <c r="L282" s="290"/>
    </row>
    <row r="283" spans="1:9" ht="15.75">
      <c r="A283" s="24" t="s">
        <v>314</v>
      </c>
      <c r="B283" s="20">
        <v>903</v>
      </c>
      <c r="C283" s="25" t="s">
        <v>315</v>
      </c>
      <c r="D283" s="21"/>
      <c r="E283" s="21"/>
      <c r="F283" s="21"/>
      <c r="G283" s="22">
        <f>G284+G322</f>
        <v>15103.900000000001</v>
      </c>
      <c r="H283" s="22">
        <f>H284+H322</f>
        <v>14846.2</v>
      </c>
      <c r="I283" s="22">
        <f t="shared" si="20"/>
        <v>98.29381815292739</v>
      </c>
    </row>
    <row r="284" spans="1:9" ht="15.75">
      <c r="A284" s="24" t="s">
        <v>316</v>
      </c>
      <c r="B284" s="20">
        <v>903</v>
      </c>
      <c r="C284" s="25" t="s">
        <v>315</v>
      </c>
      <c r="D284" s="25" t="s">
        <v>266</v>
      </c>
      <c r="E284" s="25"/>
      <c r="F284" s="25"/>
      <c r="G284" s="22">
        <f>G285+G311</f>
        <v>15103.900000000001</v>
      </c>
      <c r="H284" s="22">
        <f>H285+H311</f>
        <v>14846.2</v>
      </c>
      <c r="I284" s="22">
        <f t="shared" si="20"/>
        <v>98.29381815292739</v>
      </c>
    </row>
    <row r="285" spans="1:9" ht="47.25">
      <c r="A285" s="26" t="s">
        <v>317</v>
      </c>
      <c r="B285" s="17">
        <v>903</v>
      </c>
      <c r="C285" s="21" t="s">
        <v>315</v>
      </c>
      <c r="D285" s="21" t="s">
        <v>266</v>
      </c>
      <c r="E285" s="21" t="s">
        <v>318</v>
      </c>
      <c r="F285" s="21"/>
      <c r="G285" s="27">
        <f>G286</f>
        <v>14160.2</v>
      </c>
      <c r="H285" s="27">
        <f>H286</f>
        <v>14120.300000000001</v>
      </c>
      <c r="I285" s="27">
        <f t="shared" si="20"/>
        <v>99.71822431886555</v>
      </c>
    </row>
    <row r="286" spans="1:9" ht="63">
      <c r="A286" s="26" t="s">
        <v>319</v>
      </c>
      <c r="B286" s="17">
        <v>903</v>
      </c>
      <c r="C286" s="21" t="s">
        <v>315</v>
      </c>
      <c r="D286" s="21" t="s">
        <v>266</v>
      </c>
      <c r="E286" s="21" t="s">
        <v>320</v>
      </c>
      <c r="F286" s="21"/>
      <c r="G286" s="27">
        <f>G287+G299+G302+G305+G308+G293+G290</f>
        <v>14160.2</v>
      </c>
      <c r="H286" s="27">
        <f>H287+H299+H302+H305+H308+H293+H290</f>
        <v>14120.300000000001</v>
      </c>
      <c r="I286" s="27">
        <f t="shared" si="20"/>
        <v>99.71822431886555</v>
      </c>
    </row>
    <row r="287" spans="1:9" ht="47.25">
      <c r="A287" s="26" t="s">
        <v>321</v>
      </c>
      <c r="B287" s="17">
        <v>903</v>
      </c>
      <c r="C287" s="21" t="s">
        <v>315</v>
      </c>
      <c r="D287" s="21" t="s">
        <v>266</v>
      </c>
      <c r="E287" s="21" t="s">
        <v>322</v>
      </c>
      <c r="F287" s="21"/>
      <c r="G287" s="27">
        <f>G288</f>
        <v>13608.66</v>
      </c>
      <c r="H287" s="27">
        <f>H288</f>
        <v>13608.7</v>
      </c>
      <c r="I287" s="27">
        <f t="shared" si="20"/>
        <v>100.00029393048251</v>
      </c>
    </row>
    <row r="288" spans="1:9" ht="47.25">
      <c r="A288" s="26" t="s">
        <v>323</v>
      </c>
      <c r="B288" s="17">
        <v>903</v>
      </c>
      <c r="C288" s="21" t="s">
        <v>315</v>
      </c>
      <c r="D288" s="21" t="s">
        <v>266</v>
      </c>
      <c r="E288" s="21" t="s">
        <v>322</v>
      </c>
      <c r="F288" s="21" t="s">
        <v>324</v>
      </c>
      <c r="G288" s="27">
        <f>G289</f>
        <v>13608.66</v>
      </c>
      <c r="H288" s="27">
        <f>H289</f>
        <v>13608.7</v>
      </c>
      <c r="I288" s="27">
        <f t="shared" si="20"/>
        <v>100.00029393048251</v>
      </c>
    </row>
    <row r="289" spans="1:18" ht="15.75">
      <c r="A289" s="26" t="s">
        <v>325</v>
      </c>
      <c r="B289" s="17">
        <v>903</v>
      </c>
      <c r="C289" s="21" t="s">
        <v>315</v>
      </c>
      <c r="D289" s="21" t="s">
        <v>266</v>
      </c>
      <c r="E289" s="21" t="s">
        <v>322</v>
      </c>
      <c r="F289" s="21" t="s">
        <v>326</v>
      </c>
      <c r="G289" s="28">
        <f>16378.1-221-37.94-80.6-145.1-46.8-185-1613.9-400-280-58.5+299.4</f>
        <v>13608.66</v>
      </c>
      <c r="H289" s="28">
        <v>13608.7</v>
      </c>
      <c r="I289" s="27">
        <f t="shared" si="20"/>
        <v>100.00029393048251</v>
      </c>
      <c r="J289" s="275"/>
      <c r="R289" s="292"/>
    </row>
    <row r="290" spans="1:9" ht="47.25" customHeight="1">
      <c r="A290" s="26" t="s">
        <v>327</v>
      </c>
      <c r="B290" s="17">
        <v>903</v>
      </c>
      <c r="C290" s="21" t="s">
        <v>315</v>
      </c>
      <c r="D290" s="21" t="s">
        <v>266</v>
      </c>
      <c r="E290" s="21" t="s">
        <v>328</v>
      </c>
      <c r="F290" s="21"/>
      <c r="G290" s="27">
        <f>G291</f>
        <v>26.1</v>
      </c>
      <c r="H290" s="27">
        <f>H291</f>
        <v>26.1</v>
      </c>
      <c r="I290" s="27">
        <f t="shared" si="20"/>
        <v>100</v>
      </c>
    </row>
    <row r="291" spans="1:9" ht="47.25" customHeight="1">
      <c r="A291" s="26" t="s">
        <v>323</v>
      </c>
      <c r="B291" s="17">
        <v>903</v>
      </c>
      <c r="C291" s="21" t="s">
        <v>315</v>
      </c>
      <c r="D291" s="21" t="s">
        <v>266</v>
      </c>
      <c r="E291" s="21" t="s">
        <v>328</v>
      </c>
      <c r="F291" s="21" t="s">
        <v>324</v>
      </c>
      <c r="G291" s="27">
        <f>G292</f>
        <v>26.1</v>
      </c>
      <c r="H291" s="27">
        <f>H292</f>
        <v>26.1</v>
      </c>
      <c r="I291" s="27">
        <f t="shared" si="20"/>
        <v>100</v>
      </c>
    </row>
    <row r="292" spans="1:9" ht="15.75" customHeight="1">
      <c r="A292" s="26" t="s">
        <v>325</v>
      </c>
      <c r="B292" s="17">
        <v>903</v>
      </c>
      <c r="C292" s="21" t="s">
        <v>315</v>
      </c>
      <c r="D292" s="21" t="s">
        <v>266</v>
      </c>
      <c r="E292" s="21" t="s">
        <v>328</v>
      </c>
      <c r="F292" s="21" t="s">
        <v>326</v>
      </c>
      <c r="G292" s="27">
        <f>58.5-32.4</f>
        <v>26.1</v>
      </c>
      <c r="H292" s="27">
        <v>26.1</v>
      </c>
      <c r="I292" s="27">
        <f t="shared" si="20"/>
        <v>100</v>
      </c>
    </row>
    <row r="293" spans="1:18" ht="47.25" customHeight="1">
      <c r="A293" s="26" t="s">
        <v>329</v>
      </c>
      <c r="B293" s="17">
        <v>903</v>
      </c>
      <c r="C293" s="21" t="s">
        <v>315</v>
      </c>
      <c r="D293" s="21" t="s">
        <v>266</v>
      </c>
      <c r="E293" s="21" t="s">
        <v>330</v>
      </c>
      <c r="F293" s="21"/>
      <c r="G293" s="27">
        <f>G294</f>
        <v>127.39999999999999</v>
      </c>
      <c r="H293" s="27">
        <f>H294</f>
        <v>127.3</v>
      </c>
      <c r="I293" s="27">
        <f t="shared" si="20"/>
        <v>99.9215070643642</v>
      </c>
      <c r="M293" s="294"/>
      <c r="R293" s="138"/>
    </row>
    <row r="294" spans="1:9" ht="47.25" customHeight="1">
      <c r="A294" s="26" t="s">
        <v>323</v>
      </c>
      <c r="B294" s="17">
        <v>903</v>
      </c>
      <c r="C294" s="21" t="s">
        <v>315</v>
      </c>
      <c r="D294" s="21" t="s">
        <v>266</v>
      </c>
      <c r="E294" s="21" t="s">
        <v>330</v>
      </c>
      <c r="F294" s="21" t="s">
        <v>324</v>
      </c>
      <c r="G294" s="27">
        <f>G295</f>
        <v>127.39999999999999</v>
      </c>
      <c r="H294" s="27">
        <f>H295</f>
        <v>127.3</v>
      </c>
      <c r="I294" s="27">
        <f t="shared" si="20"/>
        <v>99.9215070643642</v>
      </c>
    </row>
    <row r="295" spans="1:9" ht="15.75" customHeight="1">
      <c r="A295" s="26" t="s">
        <v>325</v>
      </c>
      <c r="B295" s="17">
        <v>903</v>
      </c>
      <c r="C295" s="21" t="s">
        <v>315</v>
      </c>
      <c r="D295" s="21" t="s">
        <v>266</v>
      </c>
      <c r="E295" s="21" t="s">
        <v>330</v>
      </c>
      <c r="F295" s="21" t="s">
        <v>326</v>
      </c>
      <c r="G295" s="27">
        <f>80.6+46.8</f>
        <v>127.39999999999999</v>
      </c>
      <c r="H295" s="27">
        <v>127.3</v>
      </c>
      <c r="I295" s="27">
        <f t="shared" si="20"/>
        <v>99.9215070643642</v>
      </c>
    </row>
    <row r="296" spans="1:9" ht="31.5" customHeight="1" hidden="1">
      <c r="A296" s="26" t="s">
        <v>331</v>
      </c>
      <c r="B296" s="17">
        <v>903</v>
      </c>
      <c r="C296" s="21" t="s">
        <v>315</v>
      </c>
      <c r="D296" s="21" t="s">
        <v>266</v>
      </c>
      <c r="E296" s="21" t="s">
        <v>332</v>
      </c>
      <c r="F296" s="21"/>
      <c r="G296" s="27">
        <f>G297</f>
        <v>0</v>
      </c>
      <c r="H296" s="27">
        <f>H297</f>
        <v>0</v>
      </c>
      <c r="I296" s="27" t="e">
        <f t="shared" si="20"/>
        <v>#DIV/0!</v>
      </c>
    </row>
    <row r="297" spans="1:9" ht="47.25" customHeight="1" hidden="1">
      <c r="A297" s="26" t="s">
        <v>323</v>
      </c>
      <c r="B297" s="17">
        <v>903</v>
      </c>
      <c r="C297" s="21" t="s">
        <v>315</v>
      </c>
      <c r="D297" s="21" t="s">
        <v>266</v>
      </c>
      <c r="E297" s="21" t="s">
        <v>332</v>
      </c>
      <c r="F297" s="21" t="s">
        <v>324</v>
      </c>
      <c r="G297" s="27">
        <f>G298</f>
        <v>0</v>
      </c>
      <c r="H297" s="27">
        <f>H298</f>
        <v>0</v>
      </c>
      <c r="I297" s="27" t="e">
        <f t="shared" si="20"/>
        <v>#DIV/0!</v>
      </c>
    </row>
    <row r="298" spans="1:9" ht="15.75" customHeight="1" hidden="1">
      <c r="A298" s="26" t="s">
        <v>325</v>
      </c>
      <c r="B298" s="17">
        <v>903</v>
      </c>
      <c r="C298" s="21" t="s">
        <v>315</v>
      </c>
      <c r="D298" s="21" t="s">
        <v>266</v>
      </c>
      <c r="E298" s="21" t="s">
        <v>332</v>
      </c>
      <c r="F298" s="21" t="s">
        <v>326</v>
      </c>
      <c r="G298" s="27">
        <v>0</v>
      </c>
      <c r="H298" s="27">
        <v>0</v>
      </c>
      <c r="I298" s="27" t="e">
        <f t="shared" si="20"/>
        <v>#DIV/0!</v>
      </c>
    </row>
    <row r="299" spans="1:9" ht="39.75" customHeight="1">
      <c r="A299" s="26" t="s">
        <v>333</v>
      </c>
      <c r="B299" s="17">
        <v>903</v>
      </c>
      <c r="C299" s="21" t="s">
        <v>315</v>
      </c>
      <c r="D299" s="21" t="s">
        <v>266</v>
      </c>
      <c r="E299" s="21" t="s">
        <v>334</v>
      </c>
      <c r="F299" s="21"/>
      <c r="G299" s="27">
        <f>G300</f>
        <v>44.4</v>
      </c>
      <c r="H299" s="27">
        <f>H300</f>
        <v>42.6</v>
      </c>
      <c r="I299" s="27">
        <f t="shared" si="20"/>
        <v>95.94594594594595</v>
      </c>
    </row>
    <row r="300" spans="1:9" ht="47.25">
      <c r="A300" s="26" t="s">
        <v>323</v>
      </c>
      <c r="B300" s="17">
        <v>903</v>
      </c>
      <c r="C300" s="21" t="s">
        <v>315</v>
      </c>
      <c r="D300" s="21" t="s">
        <v>266</v>
      </c>
      <c r="E300" s="21" t="s">
        <v>334</v>
      </c>
      <c r="F300" s="21" t="s">
        <v>324</v>
      </c>
      <c r="G300" s="27">
        <f>G301</f>
        <v>44.4</v>
      </c>
      <c r="H300" s="27">
        <f>H301</f>
        <v>42.6</v>
      </c>
      <c r="I300" s="27">
        <f t="shared" si="20"/>
        <v>95.94594594594595</v>
      </c>
    </row>
    <row r="301" spans="1:9" ht="15.75">
      <c r="A301" s="26" t="s">
        <v>325</v>
      </c>
      <c r="B301" s="17">
        <v>903</v>
      </c>
      <c r="C301" s="21" t="s">
        <v>315</v>
      </c>
      <c r="D301" s="21" t="s">
        <v>266</v>
      </c>
      <c r="E301" s="21" t="s">
        <v>334</v>
      </c>
      <c r="F301" s="21" t="s">
        <v>326</v>
      </c>
      <c r="G301" s="27">
        <f>50-5.6</f>
        <v>44.4</v>
      </c>
      <c r="H301" s="27">
        <v>42.6</v>
      </c>
      <c r="I301" s="27">
        <f t="shared" si="20"/>
        <v>95.94594594594595</v>
      </c>
    </row>
    <row r="302" spans="1:9" ht="31.5" customHeight="1">
      <c r="A302" s="26" t="s">
        <v>335</v>
      </c>
      <c r="B302" s="17">
        <v>903</v>
      </c>
      <c r="C302" s="21" t="s">
        <v>315</v>
      </c>
      <c r="D302" s="21" t="s">
        <v>266</v>
      </c>
      <c r="E302" s="21" t="s">
        <v>337</v>
      </c>
      <c r="F302" s="21"/>
      <c r="G302" s="27">
        <f>G303</f>
        <v>37.94</v>
      </c>
      <c r="H302" s="27">
        <f>H303</f>
        <v>37.9</v>
      </c>
      <c r="I302" s="27">
        <f t="shared" si="20"/>
        <v>99.89457037427518</v>
      </c>
    </row>
    <row r="303" spans="1:9" ht="47.25" customHeight="1">
      <c r="A303" s="26" t="s">
        <v>323</v>
      </c>
      <c r="B303" s="17">
        <v>903</v>
      </c>
      <c r="C303" s="21" t="s">
        <v>315</v>
      </c>
      <c r="D303" s="21" t="s">
        <v>266</v>
      </c>
      <c r="E303" s="21" t="s">
        <v>337</v>
      </c>
      <c r="F303" s="21" t="s">
        <v>324</v>
      </c>
      <c r="G303" s="27">
        <f>G304</f>
        <v>37.94</v>
      </c>
      <c r="H303" s="27">
        <f>H304</f>
        <v>37.9</v>
      </c>
      <c r="I303" s="27">
        <f t="shared" si="20"/>
        <v>99.89457037427518</v>
      </c>
    </row>
    <row r="304" spans="1:9" ht="15.75" customHeight="1">
      <c r="A304" s="26" t="s">
        <v>325</v>
      </c>
      <c r="B304" s="17">
        <v>903</v>
      </c>
      <c r="C304" s="21" t="s">
        <v>315</v>
      </c>
      <c r="D304" s="21" t="s">
        <v>266</v>
      </c>
      <c r="E304" s="21" t="s">
        <v>337</v>
      </c>
      <c r="F304" s="21" t="s">
        <v>326</v>
      </c>
      <c r="G304" s="27">
        <v>37.94</v>
      </c>
      <c r="H304" s="27">
        <v>37.9</v>
      </c>
      <c r="I304" s="27">
        <f t="shared" si="20"/>
        <v>99.89457037427518</v>
      </c>
    </row>
    <row r="305" spans="1:9" ht="47.25" customHeight="1" hidden="1">
      <c r="A305" s="70" t="s">
        <v>338</v>
      </c>
      <c r="B305" s="17">
        <v>903</v>
      </c>
      <c r="C305" s="21" t="s">
        <v>315</v>
      </c>
      <c r="D305" s="21" t="s">
        <v>266</v>
      </c>
      <c r="E305" s="21" t="s">
        <v>339</v>
      </c>
      <c r="F305" s="21"/>
      <c r="G305" s="27">
        <f>G306</f>
        <v>0</v>
      </c>
      <c r="H305" s="27">
        <f>H306</f>
        <v>0</v>
      </c>
      <c r="I305" s="27" t="e">
        <f t="shared" si="20"/>
        <v>#DIV/0!</v>
      </c>
    </row>
    <row r="306" spans="1:9" ht="47.25" customHeight="1" hidden="1">
      <c r="A306" s="31" t="s">
        <v>323</v>
      </c>
      <c r="B306" s="17">
        <v>903</v>
      </c>
      <c r="C306" s="21" t="s">
        <v>315</v>
      </c>
      <c r="D306" s="21" t="s">
        <v>266</v>
      </c>
      <c r="E306" s="21" t="s">
        <v>339</v>
      </c>
      <c r="F306" s="21" t="s">
        <v>324</v>
      </c>
      <c r="G306" s="27">
        <f>G307</f>
        <v>0</v>
      </c>
      <c r="H306" s="27">
        <f>H307</f>
        <v>0</v>
      </c>
      <c r="I306" s="27" t="e">
        <f t="shared" si="20"/>
        <v>#DIV/0!</v>
      </c>
    </row>
    <row r="307" spans="1:9" ht="15.75" customHeight="1" hidden="1">
      <c r="A307" s="246" t="s">
        <v>325</v>
      </c>
      <c r="B307" s="17">
        <v>903</v>
      </c>
      <c r="C307" s="21" t="s">
        <v>315</v>
      </c>
      <c r="D307" s="21" t="s">
        <v>266</v>
      </c>
      <c r="E307" s="21" t="s">
        <v>339</v>
      </c>
      <c r="F307" s="21" t="s">
        <v>326</v>
      </c>
      <c r="G307" s="27">
        <v>0</v>
      </c>
      <c r="H307" s="27">
        <v>0</v>
      </c>
      <c r="I307" s="27" t="e">
        <f t="shared" si="20"/>
        <v>#DIV/0!</v>
      </c>
    </row>
    <row r="308" spans="1:9" ht="48" customHeight="1">
      <c r="A308" s="70" t="s">
        <v>857</v>
      </c>
      <c r="B308" s="17">
        <v>903</v>
      </c>
      <c r="C308" s="21" t="s">
        <v>315</v>
      </c>
      <c r="D308" s="21" t="s">
        <v>266</v>
      </c>
      <c r="E308" s="21" t="s">
        <v>863</v>
      </c>
      <c r="F308" s="21"/>
      <c r="G308" s="27">
        <f>G309</f>
        <v>315.69999999999993</v>
      </c>
      <c r="H308" s="27">
        <f>H309</f>
        <v>277.7</v>
      </c>
      <c r="I308" s="27">
        <f t="shared" si="20"/>
        <v>87.9632562559392</v>
      </c>
    </row>
    <row r="309" spans="1:9" ht="51.75" customHeight="1">
      <c r="A309" s="31" t="s">
        <v>323</v>
      </c>
      <c r="B309" s="17">
        <v>903</v>
      </c>
      <c r="C309" s="21" t="s">
        <v>315</v>
      </c>
      <c r="D309" s="21" t="s">
        <v>266</v>
      </c>
      <c r="E309" s="21" t="s">
        <v>863</v>
      </c>
      <c r="F309" s="21" t="s">
        <v>324</v>
      </c>
      <c r="G309" s="27">
        <f>G310</f>
        <v>315.69999999999993</v>
      </c>
      <c r="H309" s="27">
        <f>H310</f>
        <v>277.7</v>
      </c>
      <c r="I309" s="27">
        <f t="shared" si="20"/>
        <v>87.9632562559392</v>
      </c>
    </row>
    <row r="310" spans="1:9" ht="15.75" customHeight="1">
      <c r="A310" s="246" t="s">
        <v>325</v>
      </c>
      <c r="B310" s="17">
        <v>903</v>
      </c>
      <c r="C310" s="21" t="s">
        <v>315</v>
      </c>
      <c r="D310" s="21" t="s">
        <v>266</v>
      </c>
      <c r="E310" s="21" t="s">
        <v>863</v>
      </c>
      <c r="F310" s="21" t="s">
        <v>326</v>
      </c>
      <c r="G310" s="27">
        <f>661.8-352.1+6</f>
        <v>315.69999999999993</v>
      </c>
      <c r="H310" s="27">
        <v>277.7</v>
      </c>
      <c r="I310" s="27">
        <f t="shared" si="20"/>
        <v>87.9632562559392</v>
      </c>
    </row>
    <row r="311" spans="1:9" ht="15.75">
      <c r="A311" s="26" t="s">
        <v>172</v>
      </c>
      <c r="B311" s="17">
        <v>903</v>
      </c>
      <c r="C311" s="21" t="s">
        <v>315</v>
      </c>
      <c r="D311" s="21" t="s">
        <v>266</v>
      </c>
      <c r="E311" s="21" t="s">
        <v>173</v>
      </c>
      <c r="F311" s="21"/>
      <c r="G311" s="27">
        <f>G312</f>
        <v>943.7</v>
      </c>
      <c r="H311" s="27">
        <f>H312</f>
        <v>725.9</v>
      </c>
      <c r="I311" s="27">
        <f t="shared" si="20"/>
        <v>76.92063155663875</v>
      </c>
    </row>
    <row r="312" spans="1:9" ht="31.5">
      <c r="A312" s="26" t="s">
        <v>236</v>
      </c>
      <c r="B312" s="17">
        <v>903</v>
      </c>
      <c r="C312" s="21" t="s">
        <v>315</v>
      </c>
      <c r="D312" s="21" t="s">
        <v>266</v>
      </c>
      <c r="E312" s="21" t="s">
        <v>237</v>
      </c>
      <c r="F312" s="21"/>
      <c r="G312" s="27">
        <f>G313+G316+G319</f>
        <v>943.7</v>
      </c>
      <c r="H312" s="27">
        <f>H313+H316+H319</f>
        <v>725.9</v>
      </c>
      <c r="I312" s="27">
        <f t="shared" si="20"/>
        <v>76.92063155663875</v>
      </c>
    </row>
    <row r="313" spans="1:9" ht="63">
      <c r="A313" s="33" t="s">
        <v>340</v>
      </c>
      <c r="B313" s="17">
        <v>903</v>
      </c>
      <c r="C313" s="21" t="s">
        <v>315</v>
      </c>
      <c r="D313" s="21" t="s">
        <v>266</v>
      </c>
      <c r="E313" s="21" t="s">
        <v>341</v>
      </c>
      <c r="F313" s="21"/>
      <c r="G313" s="27">
        <f>G314</f>
        <v>100.89999999999999</v>
      </c>
      <c r="H313" s="27">
        <f>H314</f>
        <v>95.9</v>
      </c>
      <c r="I313" s="27">
        <f t="shared" si="20"/>
        <v>95.04459861248763</v>
      </c>
    </row>
    <row r="314" spans="1:9" ht="47.25">
      <c r="A314" s="26" t="s">
        <v>323</v>
      </c>
      <c r="B314" s="17">
        <v>903</v>
      </c>
      <c r="C314" s="21" t="s">
        <v>315</v>
      </c>
      <c r="D314" s="21" t="s">
        <v>266</v>
      </c>
      <c r="E314" s="21" t="s">
        <v>341</v>
      </c>
      <c r="F314" s="21" t="s">
        <v>324</v>
      </c>
      <c r="G314" s="27">
        <f>G315</f>
        <v>100.89999999999999</v>
      </c>
      <c r="H314" s="27">
        <f>H315</f>
        <v>95.9</v>
      </c>
      <c r="I314" s="27">
        <f t="shared" si="20"/>
        <v>95.04459861248763</v>
      </c>
    </row>
    <row r="315" spans="1:9" ht="15.75">
      <c r="A315" s="26" t="s">
        <v>325</v>
      </c>
      <c r="B315" s="17">
        <v>903</v>
      </c>
      <c r="C315" s="21" t="s">
        <v>315</v>
      </c>
      <c r="D315" s="21" t="s">
        <v>266</v>
      </c>
      <c r="E315" s="21" t="s">
        <v>341</v>
      </c>
      <c r="F315" s="21" t="s">
        <v>326</v>
      </c>
      <c r="G315" s="27">
        <f>162.6-35.9-25.8</f>
        <v>100.89999999999999</v>
      </c>
      <c r="H315" s="27">
        <v>95.9</v>
      </c>
      <c r="I315" s="27">
        <f t="shared" si="20"/>
        <v>95.04459861248763</v>
      </c>
    </row>
    <row r="316" spans="1:9" ht="78.75">
      <c r="A316" s="33" t="s">
        <v>342</v>
      </c>
      <c r="B316" s="17">
        <v>903</v>
      </c>
      <c r="C316" s="21" t="s">
        <v>315</v>
      </c>
      <c r="D316" s="21" t="s">
        <v>266</v>
      </c>
      <c r="E316" s="21" t="s">
        <v>343</v>
      </c>
      <c r="F316" s="21"/>
      <c r="G316" s="27">
        <f>G317</f>
        <v>253.30000000000007</v>
      </c>
      <c r="H316" s="27">
        <f>H317</f>
        <v>207</v>
      </c>
      <c r="I316" s="27">
        <f t="shared" si="20"/>
        <v>81.7212791156731</v>
      </c>
    </row>
    <row r="317" spans="1:9" ht="47.25">
      <c r="A317" s="26" t="s">
        <v>323</v>
      </c>
      <c r="B317" s="17">
        <v>903</v>
      </c>
      <c r="C317" s="21" t="s">
        <v>315</v>
      </c>
      <c r="D317" s="21" t="s">
        <v>266</v>
      </c>
      <c r="E317" s="21" t="s">
        <v>343</v>
      </c>
      <c r="F317" s="21" t="s">
        <v>324</v>
      </c>
      <c r="G317" s="27">
        <f>G318</f>
        <v>253.30000000000007</v>
      </c>
      <c r="H317" s="27">
        <f>H318</f>
        <v>207</v>
      </c>
      <c r="I317" s="27">
        <f t="shared" si="20"/>
        <v>81.7212791156731</v>
      </c>
    </row>
    <row r="318" spans="1:9" ht="15.75">
      <c r="A318" s="26" t="s">
        <v>325</v>
      </c>
      <c r="B318" s="17">
        <v>903</v>
      </c>
      <c r="C318" s="21" t="s">
        <v>315</v>
      </c>
      <c r="D318" s="21" t="s">
        <v>266</v>
      </c>
      <c r="E318" s="21" t="s">
        <v>343</v>
      </c>
      <c r="F318" s="21" t="s">
        <v>326</v>
      </c>
      <c r="G318" s="27">
        <f>393.3-82.6+10.8-68.2</f>
        <v>253.30000000000007</v>
      </c>
      <c r="H318" s="27">
        <v>207</v>
      </c>
      <c r="I318" s="27">
        <f t="shared" si="20"/>
        <v>81.7212791156731</v>
      </c>
    </row>
    <row r="319" spans="1:9" ht="110.25">
      <c r="A319" s="33" t="s">
        <v>344</v>
      </c>
      <c r="B319" s="17">
        <v>903</v>
      </c>
      <c r="C319" s="21" t="s">
        <v>315</v>
      </c>
      <c r="D319" s="21" t="s">
        <v>266</v>
      </c>
      <c r="E319" s="21" t="s">
        <v>345</v>
      </c>
      <c r="F319" s="21"/>
      <c r="G319" s="27">
        <f>G320</f>
        <v>589.5</v>
      </c>
      <c r="H319" s="27">
        <f>H320</f>
        <v>423</v>
      </c>
      <c r="I319" s="27">
        <f t="shared" si="20"/>
        <v>71.7557251908397</v>
      </c>
    </row>
    <row r="320" spans="1:9" ht="47.25">
      <c r="A320" s="26" t="s">
        <v>323</v>
      </c>
      <c r="B320" s="17">
        <v>903</v>
      </c>
      <c r="C320" s="21" t="s">
        <v>315</v>
      </c>
      <c r="D320" s="21" t="s">
        <v>266</v>
      </c>
      <c r="E320" s="21" t="s">
        <v>345</v>
      </c>
      <c r="F320" s="21" t="s">
        <v>324</v>
      </c>
      <c r="G320" s="27">
        <f>G321</f>
        <v>589.5</v>
      </c>
      <c r="H320" s="27">
        <f>H321</f>
        <v>423</v>
      </c>
      <c r="I320" s="27">
        <f t="shared" si="20"/>
        <v>71.7557251908397</v>
      </c>
    </row>
    <row r="321" spans="1:9" ht="15.75">
      <c r="A321" s="26" t="s">
        <v>325</v>
      </c>
      <c r="B321" s="17">
        <v>903</v>
      </c>
      <c r="C321" s="21" t="s">
        <v>315</v>
      </c>
      <c r="D321" s="21" t="s">
        <v>266</v>
      </c>
      <c r="E321" s="21" t="s">
        <v>345</v>
      </c>
      <c r="F321" s="21" t="s">
        <v>326</v>
      </c>
      <c r="G321" s="27">
        <f>600-0.3-10.2</f>
        <v>589.5</v>
      </c>
      <c r="H321" s="27">
        <v>423</v>
      </c>
      <c r="I321" s="27">
        <f t="shared" si="20"/>
        <v>71.7557251908397</v>
      </c>
    </row>
    <row r="322" spans="1:9" ht="15.75" customHeight="1" hidden="1">
      <c r="A322" s="24" t="s">
        <v>346</v>
      </c>
      <c r="B322" s="20">
        <v>903</v>
      </c>
      <c r="C322" s="25" t="s">
        <v>315</v>
      </c>
      <c r="D322" s="25" t="s">
        <v>270</v>
      </c>
      <c r="E322" s="25"/>
      <c r="F322" s="25"/>
      <c r="G322" s="27">
        <f aca="true" t="shared" si="22" ref="G322:H326">G323</f>
        <v>0</v>
      </c>
      <c r="H322" s="27">
        <f t="shared" si="22"/>
        <v>0</v>
      </c>
      <c r="I322" s="22" t="e">
        <f t="shared" si="20"/>
        <v>#DIV/0!</v>
      </c>
    </row>
    <row r="323" spans="1:9" ht="15.75" customHeight="1" hidden="1">
      <c r="A323" s="26" t="s">
        <v>172</v>
      </c>
      <c r="B323" s="17">
        <v>903</v>
      </c>
      <c r="C323" s="21" t="s">
        <v>315</v>
      </c>
      <c r="D323" s="21" t="s">
        <v>270</v>
      </c>
      <c r="E323" s="21" t="s">
        <v>173</v>
      </c>
      <c r="F323" s="21"/>
      <c r="G323" s="27">
        <f t="shared" si="22"/>
        <v>0</v>
      </c>
      <c r="H323" s="27">
        <f t="shared" si="22"/>
        <v>0</v>
      </c>
      <c r="I323" s="22" t="e">
        <f t="shared" si="20"/>
        <v>#DIV/0!</v>
      </c>
    </row>
    <row r="324" spans="1:9" ht="31.5" customHeight="1" hidden="1">
      <c r="A324" s="26" t="s">
        <v>236</v>
      </c>
      <c r="B324" s="17">
        <v>903</v>
      </c>
      <c r="C324" s="21" t="s">
        <v>315</v>
      </c>
      <c r="D324" s="21" t="s">
        <v>270</v>
      </c>
      <c r="E324" s="21" t="s">
        <v>237</v>
      </c>
      <c r="F324" s="21"/>
      <c r="G324" s="27">
        <f t="shared" si="22"/>
        <v>0</v>
      </c>
      <c r="H324" s="27">
        <f t="shared" si="22"/>
        <v>0</v>
      </c>
      <c r="I324" s="22" t="e">
        <f t="shared" si="20"/>
        <v>#DIV/0!</v>
      </c>
    </row>
    <row r="325" spans="1:9" ht="31.5" customHeight="1" hidden="1">
      <c r="A325" s="38" t="s">
        <v>347</v>
      </c>
      <c r="B325" s="39">
        <v>903</v>
      </c>
      <c r="C325" s="21" t="s">
        <v>315</v>
      </c>
      <c r="D325" s="21" t="s">
        <v>270</v>
      </c>
      <c r="E325" s="21" t="s">
        <v>348</v>
      </c>
      <c r="F325" s="21"/>
      <c r="G325" s="27">
        <f t="shared" si="22"/>
        <v>0</v>
      </c>
      <c r="H325" s="27">
        <f t="shared" si="22"/>
        <v>0</v>
      </c>
      <c r="I325" s="22" t="e">
        <f t="shared" si="20"/>
        <v>#DIV/0!</v>
      </c>
    </row>
    <row r="326" spans="1:9" ht="15.75" customHeight="1" hidden="1">
      <c r="A326" s="26" t="s">
        <v>186</v>
      </c>
      <c r="B326" s="17">
        <v>903</v>
      </c>
      <c r="C326" s="21" t="s">
        <v>315</v>
      </c>
      <c r="D326" s="21" t="s">
        <v>270</v>
      </c>
      <c r="E326" s="21" t="s">
        <v>348</v>
      </c>
      <c r="F326" s="21" t="s">
        <v>196</v>
      </c>
      <c r="G326" s="27">
        <f t="shared" si="22"/>
        <v>0</v>
      </c>
      <c r="H326" s="27">
        <f t="shared" si="22"/>
        <v>0</v>
      </c>
      <c r="I326" s="22" t="e">
        <f t="shared" si="20"/>
        <v>#DIV/0!</v>
      </c>
    </row>
    <row r="327" spans="1:9" ht="63" customHeight="1" hidden="1">
      <c r="A327" s="26" t="s">
        <v>235</v>
      </c>
      <c r="B327" s="17">
        <v>903</v>
      </c>
      <c r="C327" s="21" t="s">
        <v>315</v>
      </c>
      <c r="D327" s="21" t="s">
        <v>270</v>
      </c>
      <c r="E327" s="21" t="s">
        <v>348</v>
      </c>
      <c r="F327" s="21" t="s">
        <v>211</v>
      </c>
      <c r="G327" s="27"/>
      <c r="H327" s="27"/>
      <c r="I327" s="22" t="e">
        <f t="shared" si="20"/>
        <v>#DIV/0!</v>
      </c>
    </row>
    <row r="328" spans="1:9" ht="15.75">
      <c r="A328" s="24" t="s">
        <v>349</v>
      </c>
      <c r="B328" s="20">
        <v>903</v>
      </c>
      <c r="C328" s="25" t="s">
        <v>350</v>
      </c>
      <c r="D328" s="25"/>
      <c r="E328" s="25"/>
      <c r="F328" s="25"/>
      <c r="G328" s="22">
        <f>G329+G415</f>
        <v>63365.399999999994</v>
      </c>
      <c r="H328" s="22">
        <f>H329+H415</f>
        <v>62963.200000000004</v>
      </c>
      <c r="I328" s="22">
        <f t="shared" si="20"/>
        <v>99.36526874287863</v>
      </c>
    </row>
    <row r="329" spans="1:9" ht="15.75">
      <c r="A329" s="24" t="s">
        <v>351</v>
      </c>
      <c r="B329" s="20">
        <v>903</v>
      </c>
      <c r="C329" s="25" t="s">
        <v>350</v>
      </c>
      <c r="D329" s="25" t="s">
        <v>169</v>
      </c>
      <c r="E329" s="25"/>
      <c r="F329" s="25"/>
      <c r="G329" s="22">
        <f>G330+G394+G390</f>
        <v>45079.7</v>
      </c>
      <c r="H329" s="22">
        <f>H330+H394+H390</f>
        <v>44678.3</v>
      </c>
      <c r="I329" s="22">
        <f t="shared" si="20"/>
        <v>99.10957703800159</v>
      </c>
    </row>
    <row r="330" spans="1:9" ht="47.25">
      <c r="A330" s="26" t="s">
        <v>317</v>
      </c>
      <c r="B330" s="17">
        <v>903</v>
      </c>
      <c r="C330" s="21" t="s">
        <v>350</v>
      </c>
      <c r="D330" s="21" t="s">
        <v>169</v>
      </c>
      <c r="E330" s="21" t="s">
        <v>318</v>
      </c>
      <c r="F330" s="21"/>
      <c r="G330" s="27">
        <f>G331+G360</f>
        <v>42979.899999999994</v>
      </c>
      <c r="H330" s="27">
        <f>H331+H360</f>
        <v>42598.8</v>
      </c>
      <c r="I330" s="27">
        <f t="shared" si="20"/>
        <v>99.1133064525511</v>
      </c>
    </row>
    <row r="331" spans="1:9" ht="63">
      <c r="A331" s="26" t="s">
        <v>352</v>
      </c>
      <c r="B331" s="17">
        <v>903</v>
      </c>
      <c r="C331" s="21" t="s">
        <v>350</v>
      </c>
      <c r="D331" s="21" t="s">
        <v>169</v>
      </c>
      <c r="E331" s="21" t="s">
        <v>353</v>
      </c>
      <c r="F331" s="21"/>
      <c r="G331" s="27">
        <f>G332+G353+G335+G338+G341+G344+G347+G350</f>
        <v>24482.9</v>
      </c>
      <c r="H331" s="27">
        <f>H332+H353+H335+H338+H341+H344+H347+H350</f>
        <v>24106.800000000003</v>
      </c>
      <c r="I331" s="27">
        <f aca="true" t="shared" si="23" ref="I331:I394">H331/G331*100</f>
        <v>98.46382577227372</v>
      </c>
    </row>
    <row r="332" spans="1:9" ht="52.5" customHeight="1">
      <c r="A332" s="26" t="s">
        <v>354</v>
      </c>
      <c r="B332" s="17">
        <v>903</v>
      </c>
      <c r="C332" s="21" t="s">
        <v>350</v>
      </c>
      <c r="D332" s="21" t="s">
        <v>169</v>
      </c>
      <c r="E332" s="21" t="s">
        <v>355</v>
      </c>
      <c r="F332" s="21"/>
      <c r="G332" s="27">
        <f>G333</f>
        <v>22748.800000000003</v>
      </c>
      <c r="H332" s="27">
        <f>H333</f>
        <v>22386.4</v>
      </c>
      <c r="I332" s="27">
        <f t="shared" si="23"/>
        <v>98.40694893796595</v>
      </c>
    </row>
    <row r="333" spans="1:9" ht="47.25">
      <c r="A333" s="26" t="s">
        <v>323</v>
      </c>
      <c r="B333" s="17">
        <v>903</v>
      </c>
      <c r="C333" s="21" t="s">
        <v>350</v>
      </c>
      <c r="D333" s="21" t="s">
        <v>169</v>
      </c>
      <c r="E333" s="21" t="s">
        <v>355</v>
      </c>
      <c r="F333" s="21" t="s">
        <v>324</v>
      </c>
      <c r="G333" s="27">
        <f>G334</f>
        <v>22748.800000000003</v>
      </c>
      <c r="H333" s="27">
        <f>H334</f>
        <v>22386.4</v>
      </c>
      <c r="I333" s="27">
        <f t="shared" si="23"/>
        <v>98.40694893796595</v>
      </c>
    </row>
    <row r="334" spans="1:14" ht="15.75">
      <c r="A334" s="26" t="s">
        <v>325</v>
      </c>
      <c r="B334" s="17">
        <v>903</v>
      </c>
      <c r="C334" s="21" t="s">
        <v>350</v>
      </c>
      <c r="D334" s="21" t="s">
        <v>169</v>
      </c>
      <c r="E334" s="21" t="s">
        <v>355</v>
      </c>
      <c r="F334" s="21" t="s">
        <v>326</v>
      </c>
      <c r="G334" s="28">
        <f>23616.9-340-5.8-310-100-941.2+828.9</f>
        <v>22748.800000000003</v>
      </c>
      <c r="H334" s="28">
        <v>22386.4</v>
      </c>
      <c r="I334" s="27">
        <f t="shared" si="23"/>
        <v>98.40694893796595</v>
      </c>
      <c r="J334" s="275"/>
      <c r="K334" s="276"/>
      <c r="L334" s="276"/>
      <c r="M334" s="276"/>
      <c r="N334" s="304"/>
    </row>
    <row r="335" spans="1:10" ht="47.25">
      <c r="A335" s="26" t="s">
        <v>791</v>
      </c>
      <c r="B335" s="17">
        <v>903</v>
      </c>
      <c r="C335" s="21" t="s">
        <v>350</v>
      </c>
      <c r="D335" s="21" t="s">
        <v>169</v>
      </c>
      <c r="E335" s="21" t="s">
        <v>356</v>
      </c>
      <c r="F335" s="21"/>
      <c r="G335" s="27">
        <f>G336</f>
        <v>1402.1</v>
      </c>
      <c r="H335" s="27">
        <f>H336</f>
        <v>1388.4</v>
      </c>
      <c r="I335" s="27">
        <f t="shared" si="23"/>
        <v>99.02289423008345</v>
      </c>
      <c r="J335" s="209"/>
    </row>
    <row r="336" spans="1:9" ht="47.25">
      <c r="A336" s="26" t="s">
        <v>323</v>
      </c>
      <c r="B336" s="17">
        <v>903</v>
      </c>
      <c r="C336" s="21" t="s">
        <v>350</v>
      </c>
      <c r="D336" s="21" t="s">
        <v>169</v>
      </c>
      <c r="E336" s="21" t="s">
        <v>356</v>
      </c>
      <c r="F336" s="21" t="s">
        <v>324</v>
      </c>
      <c r="G336" s="27">
        <f>G337</f>
        <v>1402.1</v>
      </c>
      <c r="H336" s="27">
        <f>H337</f>
        <v>1388.4</v>
      </c>
      <c r="I336" s="27">
        <f t="shared" si="23"/>
        <v>99.02289423008345</v>
      </c>
    </row>
    <row r="337" spans="1:9" ht="15.75">
      <c r="A337" s="26" t="s">
        <v>325</v>
      </c>
      <c r="B337" s="17">
        <v>903</v>
      </c>
      <c r="C337" s="21" t="s">
        <v>350</v>
      </c>
      <c r="D337" s="21" t="s">
        <v>169</v>
      </c>
      <c r="E337" s="21" t="s">
        <v>356</v>
      </c>
      <c r="F337" s="21" t="s">
        <v>326</v>
      </c>
      <c r="G337" s="27">
        <f>145.1+941.2+77.6+183+32.4+22.8</f>
        <v>1402.1</v>
      </c>
      <c r="H337" s="27">
        <v>1388.4</v>
      </c>
      <c r="I337" s="27">
        <f t="shared" si="23"/>
        <v>99.02289423008345</v>
      </c>
    </row>
    <row r="338" spans="1:9" ht="47.25" hidden="1">
      <c r="A338" s="26" t="s">
        <v>329</v>
      </c>
      <c r="B338" s="17">
        <v>903</v>
      </c>
      <c r="C338" s="21" t="s">
        <v>350</v>
      </c>
      <c r="D338" s="21" t="s">
        <v>169</v>
      </c>
      <c r="E338" s="21" t="s">
        <v>357</v>
      </c>
      <c r="F338" s="21"/>
      <c r="G338" s="27">
        <f>G339</f>
        <v>0</v>
      </c>
      <c r="H338" s="27">
        <f>H339</f>
        <v>0</v>
      </c>
      <c r="I338" s="27" t="e">
        <f t="shared" si="23"/>
        <v>#DIV/0!</v>
      </c>
    </row>
    <row r="339" spans="1:9" ht="47.25" hidden="1">
      <c r="A339" s="26" t="s">
        <v>323</v>
      </c>
      <c r="B339" s="17">
        <v>903</v>
      </c>
      <c r="C339" s="21" t="s">
        <v>350</v>
      </c>
      <c r="D339" s="21" t="s">
        <v>169</v>
      </c>
      <c r="E339" s="21" t="s">
        <v>357</v>
      </c>
      <c r="F339" s="21" t="s">
        <v>324</v>
      </c>
      <c r="G339" s="27">
        <f>G340</f>
        <v>0</v>
      </c>
      <c r="H339" s="27">
        <f>H340</f>
        <v>0</v>
      </c>
      <c r="I339" s="27" t="e">
        <f t="shared" si="23"/>
        <v>#DIV/0!</v>
      </c>
    </row>
    <row r="340" spans="1:9" ht="15.75" hidden="1">
      <c r="A340" s="26" t="s">
        <v>325</v>
      </c>
      <c r="B340" s="17">
        <v>903</v>
      </c>
      <c r="C340" s="21" t="s">
        <v>350</v>
      </c>
      <c r="D340" s="21" t="s">
        <v>169</v>
      </c>
      <c r="E340" s="21" t="s">
        <v>357</v>
      </c>
      <c r="F340" s="21" t="s">
        <v>326</v>
      </c>
      <c r="G340" s="27">
        <v>0</v>
      </c>
      <c r="H340" s="27">
        <v>0</v>
      </c>
      <c r="I340" s="27" t="e">
        <f t="shared" si="23"/>
        <v>#DIV/0!</v>
      </c>
    </row>
    <row r="341" spans="1:9" ht="15.75">
      <c r="A341" s="26" t="s">
        <v>358</v>
      </c>
      <c r="B341" s="17">
        <v>903</v>
      </c>
      <c r="C341" s="21" t="s">
        <v>350</v>
      </c>
      <c r="D341" s="21" t="s">
        <v>169</v>
      </c>
      <c r="E341" s="21" t="s">
        <v>359</v>
      </c>
      <c r="F341" s="21"/>
      <c r="G341" s="27">
        <f>G342</f>
        <v>22.400000000000006</v>
      </c>
      <c r="H341" s="27">
        <f>H342</f>
        <v>22.4</v>
      </c>
      <c r="I341" s="27">
        <f t="shared" si="23"/>
        <v>99.99999999999997</v>
      </c>
    </row>
    <row r="342" spans="1:9" ht="47.25">
      <c r="A342" s="26" t="s">
        <v>323</v>
      </c>
      <c r="B342" s="17">
        <v>903</v>
      </c>
      <c r="C342" s="21" t="s">
        <v>350</v>
      </c>
      <c r="D342" s="21" t="s">
        <v>169</v>
      </c>
      <c r="E342" s="21" t="s">
        <v>359</v>
      </c>
      <c r="F342" s="21" t="s">
        <v>324</v>
      </c>
      <c r="G342" s="27">
        <f>G343</f>
        <v>22.400000000000006</v>
      </c>
      <c r="H342" s="27">
        <f>H343</f>
        <v>22.4</v>
      </c>
      <c r="I342" s="27">
        <f t="shared" si="23"/>
        <v>99.99999999999997</v>
      </c>
    </row>
    <row r="343" spans="1:9" ht="15.75">
      <c r="A343" s="26" t="s">
        <v>325</v>
      </c>
      <c r="B343" s="17">
        <v>903</v>
      </c>
      <c r="C343" s="21" t="s">
        <v>350</v>
      </c>
      <c r="D343" s="21" t="s">
        <v>169</v>
      </c>
      <c r="E343" s="21" t="s">
        <v>359</v>
      </c>
      <c r="F343" s="21" t="s">
        <v>326</v>
      </c>
      <c r="G343" s="27">
        <f>100-77.6</f>
        <v>22.400000000000006</v>
      </c>
      <c r="H343" s="27">
        <v>22.4</v>
      </c>
      <c r="I343" s="27">
        <f t="shared" si="23"/>
        <v>99.99999999999997</v>
      </c>
    </row>
    <row r="344" spans="1:9" ht="31.5" customHeight="1" hidden="1">
      <c r="A344" s="26" t="s">
        <v>335</v>
      </c>
      <c r="B344" s="17">
        <v>903</v>
      </c>
      <c r="C344" s="21" t="s">
        <v>350</v>
      </c>
      <c r="D344" s="21" t="s">
        <v>169</v>
      </c>
      <c r="E344" s="21" t="s">
        <v>336</v>
      </c>
      <c r="F344" s="21"/>
      <c r="G344" s="27">
        <f>G345</f>
        <v>0</v>
      </c>
      <c r="H344" s="27">
        <f>H345</f>
        <v>0</v>
      </c>
      <c r="I344" s="27" t="e">
        <f t="shared" si="23"/>
        <v>#DIV/0!</v>
      </c>
    </row>
    <row r="345" spans="1:9" ht="47.25" customHeight="1" hidden="1">
      <c r="A345" s="26" t="s">
        <v>323</v>
      </c>
      <c r="B345" s="17">
        <v>903</v>
      </c>
      <c r="C345" s="21" t="s">
        <v>350</v>
      </c>
      <c r="D345" s="21" t="s">
        <v>169</v>
      </c>
      <c r="E345" s="21" t="s">
        <v>336</v>
      </c>
      <c r="F345" s="21" t="s">
        <v>324</v>
      </c>
      <c r="G345" s="27">
        <f>G346</f>
        <v>0</v>
      </c>
      <c r="H345" s="27">
        <f>H346</f>
        <v>0</v>
      </c>
      <c r="I345" s="27" t="e">
        <f t="shared" si="23"/>
        <v>#DIV/0!</v>
      </c>
    </row>
    <row r="346" spans="1:9" ht="15.75" customHeight="1" hidden="1">
      <c r="A346" s="26" t="s">
        <v>325</v>
      </c>
      <c r="B346" s="17">
        <v>903</v>
      </c>
      <c r="C346" s="21" t="s">
        <v>350</v>
      </c>
      <c r="D346" s="21" t="s">
        <v>169</v>
      </c>
      <c r="E346" s="21" t="s">
        <v>336</v>
      </c>
      <c r="F346" s="21" t="s">
        <v>326</v>
      </c>
      <c r="G346" s="27">
        <v>0</v>
      </c>
      <c r="H346" s="27">
        <v>0</v>
      </c>
      <c r="I346" s="27" t="e">
        <f t="shared" si="23"/>
        <v>#DIV/0!</v>
      </c>
    </row>
    <row r="347" spans="1:9" ht="47.25" customHeight="1" hidden="1">
      <c r="A347" s="37" t="s">
        <v>338</v>
      </c>
      <c r="B347" s="17">
        <v>903</v>
      </c>
      <c r="C347" s="21" t="s">
        <v>350</v>
      </c>
      <c r="D347" s="21" t="s">
        <v>169</v>
      </c>
      <c r="E347" s="21" t="s">
        <v>360</v>
      </c>
      <c r="F347" s="21"/>
      <c r="G347" s="27">
        <f>G348</f>
        <v>0</v>
      </c>
      <c r="H347" s="27">
        <f>H348</f>
        <v>0</v>
      </c>
      <c r="I347" s="27" t="e">
        <f t="shared" si="23"/>
        <v>#DIV/0!</v>
      </c>
    </row>
    <row r="348" spans="1:9" ht="47.25" customHeight="1" hidden="1">
      <c r="A348" s="26" t="s">
        <v>323</v>
      </c>
      <c r="B348" s="17">
        <v>903</v>
      </c>
      <c r="C348" s="21" t="s">
        <v>350</v>
      </c>
      <c r="D348" s="21" t="s">
        <v>169</v>
      </c>
      <c r="E348" s="21" t="s">
        <v>360</v>
      </c>
      <c r="F348" s="21" t="s">
        <v>324</v>
      </c>
      <c r="G348" s="27">
        <f>G349</f>
        <v>0</v>
      </c>
      <c r="H348" s="27">
        <f>H349</f>
        <v>0</v>
      </c>
      <c r="I348" s="27" t="e">
        <f t="shared" si="23"/>
        <v>#DIV/0!</v>
      </c>
    </row>
    <row r="349" spans="1:9" ht="15.75" customHeight="1" hidden="1">
      <c r="A349" s="26" t="s">
        <v>325</v>
      </c>
      <c r="B349" s="17">
        <v>903</v>
      </c>
      <c r="C349" s="21" t="s">
        <v>350</v>
      </c>
      <c r="D349" s="21" t="s">
        <v>169</v>
      </c>
      <c r="E349" s="21" t="s">
        <v>360</v>
      </c>
      <c r="F349" s="21" t="s">
        <v>326</v>
      </c>
      <c r="G349" s="27">
        <v>0</v>
      </c>
      <c r="H349" s="27">
        <v>0</v>
      </c>
      <c r="I349" s="27" t="e">
        <f t="shared" si="23"/>
        <v>#DIV/0!</v>
      </c>
    </row>
    <row r="350" spans="1:9" ht="44.25" customHeight="1">
      <c r="A350" s="70" t="s">
        <v>857</v>
      </c>
      <c r="B350" s="17">
        <v>903</v>
      </c>
      <c r="C350" s="21" t="s">
        <v>350</v>
      </c>
      <c r="D350" s="21" t="s">
        <v>169</v>
      </c>
      <c r="E350" s="21" t="s">
        <v>862</v>
      </c>
      <c r="F350" s="21"/>
      <c r="G350" s="27">
        <f>G351</f>
        <v>309.6</v>
      </c>
      <c r="H350" s="27">
        <f>H351</f>
        <v>309.6</v>
      </c>
      <c r="I350" s="27">
        <f t="shared" si="23"/>
        <v>100</v>
      </c>
    </row>
    <row r="351" spans="1:9" ht="54.75" customHeight="1">
      <c r="A351" s="31" t="s">
        <v>323</v>
      </c>
      <c r="B351" s="17">
        <v>903</v>
      </c>
      <c r="C351" s="21" t="s">
        <v>350</v>
      </c>
      <c r="D351" s="21" t="s">
        <v>169</v>
      </c>
      <c r="E351" s="21" t="s">
        <v>862</v>
      </c>
      <c r="F351" s="21" t="s">
        <v>324</v>
      </c>
      <c r="G351" s="27">
        <f>G352</f>
        <v>309.6</v>
      </c>
      <c r="H351" s="27">
        <f>H352</f>
        <v>309.6</v>
      </c>
      <c r="I351" s="27">
        <f t="shared" si="23"/>
        <v>100</v>
      </c>
    </row>
    <row r="352" spans="1:9" ht="15.75" customHeight="1">
      <c r="A352" s="246" t="s">
        <v>325</v>
      </c>
      <c r="B352" s="17">
        <v>903</v>
      </c>
      <c r="C352" s="21" t="s">
        <v>350</v>
      </c>
      <c r="D352" s="21" t="s">
        <v>169</v>
      </c>
      <c r="E352" s="21" t="s">
        <v>862</v>
      </c>
      <c r="F352" s="21" t="s">
        <v>326</v>
      </c>
      <c r="G352" s="27">
        <f>753.1-460+16.5</f>
        <v>309.6</v>
      </c>
      <c r="H352" s="27">
        <v>309.6</v>
      </c>
      <c r="I352" s="27">
        <f t="shared" si="23"/>
        <v>100</v>
      </c>
    </row>
    <row r="353" spans="1:9" ht="47.25" customHeight="1" hidden="1">
      <c r="A353" s="26" t="s">
        <v>361</v>
      </c>
      <c r="B353" s="17">
        <v>903</v>
      </c>
      <c r="C353" s="21" t="s">
        <v>350</v>
      </c>
      <c r="D353" s="21" t="s">
        <v>169</v>
      </c>
      <c r="E353" s="21" t="s">
        <v>362</v>
      </c>
      <c r="F353" s="21"/>
      <c r="G353" s="27">
        <f>G354+G356+G358</f>
        <v>0</v>
      </c>
      <c r="H353" s="27">
        <f>H354+H356+H358</f>
        <v>0</v>
      </c>
      <c r="I353" s="27" t="e">
        <f t="shared" si="23"/>
        <v>#DIV/0!</v>
      </c>
    </row>
    <row r="354" spans="1:9" ht="94.5" customHeight="1" hidden="1">
      <c r="A354" s="26" t="s">
        <v>178</v>
      </c>
      <c r="B354" s="17">
        <v>903</v>
      </c>
      <c r="C354" s="21" t="s">
        <v>350</v>
      </c>
      <c r="D354" s="21" t="s">
        <v>169</v>
      </c>
      <c r="E354" s="21" t="s">
        <v>362</v>
      </c>
      <c r="F354" s="21" t="s">
        <v>179</v>
      </c>
      <c r="G354" s="27">
        <f>G355</f>
        <v>0</v>
      </c>
      <c r="H354" s="27">
        <f>H355</f>
        <v>0</v>
      </c>
      <c r="I354" s="27" t="e">
        <f t="shared" si="23"/>
        <v>#DIV/0!</v>
      </c>
    </row>
    <row r="355" spans="1:9" ht="31.5" customHeight="1" hidden="1">
      <c r="A355" s="26" t="s">
        <v>259</v>
      </c>
      <c r="B355" s="17">
        <v>903</v>
      </c>
      <c r="C355" s="21" t="s">
        <v>350</v>
      </c>
      <c r="D355" s="21" t="s">
        <v>169</v>
      </c>
      <c r="E355" s="21" t="s">
        <v>362</v>
      </c>
      <c r="F355" s="21" t="s">
        <v>260</v>
      </c>
      <c r="G355" s="28">
        <v>0</v>
      </c>
      <c r="H355" s="28">
        <v>0</v>
      </c>
      <c r="I355" s="27" t="e">
        <f t="shared" si="23"/>
        <v>#DIV/0!</v>
      </c>
    </row>
    <row r="356" spans="1:9" ht="31.5" customHeight="1" hidden="1">
      <c r="A356" s="26" t="s">
        <v>182</v>
      </c>
      <c r="B356" s="17">
        <v>903</v>
      </c>
      <c r="C356" s="21" t="s">
        <v>350</v>
      </c>
      <c r="D356" s="21" t="s">
        <v>169</v>
      </c>
      <c r="E356" s="21" t="s">
        <v>362</v>
      </c>
      <c r="F356" s="21" t="s">
        <v>183</v>
      </c>
      <c r="G356" s="27">
        <f>G357</f>
        <v>0</v>
      </c>
      <c r="H356" s="27">
        <f>H357</f>
        <v>0</v>
      </c>
      <c r="I356" s="27" t="e">
        <f t="shared" si="23"/>
        <v>#DIV/0!</v>
      </c>
    </row>
    <row r="357" spans="1:9" ht="47.25" customHeight="1" hidden="1">
      <c r="A357" s="26" t="s">
        <v>184</v>
      </c>
      <c r="B357" s="17">
        <v>903</v>
      </c>
      <c r="C357" s="21" t="s">
        <v>350</v>
      </c>
      <c r="D357" s="21" t="s">
        <v>169</v>
      </c>
      <c r="E357" s="21" t="s">
        <v>362</v>
      </c>
      <c r="F357" s="21" t="s">
        <v>185</v>
      </c>
      <c r="G357" s="28">
        <v>0</v>
      </c>
      <c r="H357" s="28">
        <v>0</v>
      </c>
      <c r="I357" s="27" t="e">
        <f t="shared" si="23"/>
        <v>#DIV/0!</v>
      </c>
    </row>
    <row r="358" spans="1:9" ht="15.75" customHeight="1" hidden="1">
      <c r="A358" s="26" t="s">
        <v>186</v>
      </c>
      <c r="B358" s="17">
        <v>903</v>
      </c>
      <c r="C358" s="21" t="s">
        <v>350</v>
      </c>
      <c r="D358" s="21" t="s">
        <v>169</v>
      </c>
      <c r="E358" s="21" t="s">
        <v>362</v>
      </c>
      <c r="F358" s="21" t="s">
        <v>196</v>
      </c>
      <c r="G358" s="27">
        <f>G359</f>
        <v>0</v>
      </c>
      <c r="H358" s="27">
        <f>H359</f>
        <v>0</v>
      </c>
      <c r="I358" s="27" t="e">
        <f t="shared" si="23"/>
        <v>#DIV/0!</v>
      </c>
    </row>
    <row r="359" spans="1:9" ht="15.75" customHeight="1" hidden="1">
      <c r="A359" s="26" t="s">
        <v>188</v>
      </c>
      <c r="B359" s="17">
        <v>903</v>
      </c>
      <c r="C359" s="21" t="s">
        <v>350</v>
      </c>
      <c r="D359" s="21" t="s">
        <v>169</v>
      </c>
      <c r="E359" s="21" t="s">
        <v>362</v>
      </c>
      <c r="F359" s="21" t="s">
        <v>189</v>
      </c>
      <c r="G359" s="27">
        <v>0</v>
      </c>
      <c r="H359" s="27">
        <v>0</v>
      </c>
      <c r="I359" s="27" t="e">
        <f t="shared" si="23"/>
        <v>#DIV/0!</v>
      </c>
    </row>
    <row r="360" spans="1:9" ht="47.25">
      <c r="A360" s="26" t="s">
        <v>363</v>
      </c>
      <c r="B360" s="17">
        <v>903</v>
      </c>
      <c r="C360" s="21" t="s">
        <v>350</v>
      </c>
      <c r="D360" s="21" t="s">
        <v>169</v>
      </c>
      <c r="E360" s="21" t="s">
        <v>364</v>
      </c>
      <c r="F360" s="21"/>
      <c r="G360" s="27">
        <f>G361+G384+G372+G375+G378+G381+G364+G369+G387</f>
        <v>18496.999999999996</v>
      </c>
      <c r="H360" s="27">
        <f>H361+H384+H372+H375+H378+H381+H364+H369+H387</f>
        <v>18492</v>
      </c>
      <c r="I360" s="27">
        <f t="shared" si="23"/>
        <v>99.97296858950102</v>
      </c>
    </row>
    <row r="361" spans="1:9" ht="51" customHeight="1">
      <c r="A361" s="26" t="s">
        <v>354</v>
      </c>
      <c r="B361" s="17">
        <v>903</v>
      </c>
      <c r="C361" s="21" t="s">
        <v>350</v>
      </c>
      <c r="D361" s="21" t="s">
        <v>169</v>
      </c>
      <c r="E361" s="21" t="s">
        <v>365</v>
      </c>
      <c r="F361" s="21"/>
      <c r="G361" s="27">
        <f>G362</f>
        <v>17901.199999999997</v>
      </c>
      <c r="H361" s="27">
        <f>H362</f>
        <v>17901.2</v>
      </c>
      <c r="I361" s="27">
        <f t="shared" si="23"/>
        <v>100.00000000000003</v>
      </c>
    </row>
    <row r="362" spans="1:9" ht="47.25">
      <c r="A362" s="26" t="s">
        <v>323</v>
      </c>
      <c r="B362" s="17">
        <v>903</v>
      </c>
      <c r="C362" s="21" t="s">
        <v>350</v>
      </c>
      <c r="D362" s="21" t="s">
        <v>169</v>
      </c>
      <c r="E362" s="21" t="s">
        <v>365</v>
      </c>
      <c r="F362" s="21" t="s">
        <v>324</v>
      </c>
      <c r="G362" s="27">
        <f>G363</f>
        <v>17901.199999999997</v>
      </c>
      <c r="H362" s="27">
        <f>H363</f>
        <v>17901.2</v>
      </c>
      <c r="I362" s="27">
        <f t="shared" si="23"/>
        <v>100.00000000000003</v>
      </c>
    </row>
    <row r="363" spans="1:18" ht="15.75">
      <c r="A363" s="26" t="s">
        <v>325</v>
      </c>
      <c r="B363" s="17">
        <v>903</v>
      </c>
      <c r="C363" s="21" t="s">
        <v>350</v>
      </c>
      <c r="D363" s="21" t="s">
        <v>169</v>
      </c>
      <c r="E363" s="21" t="s">
        <v>365</v>
      </c>
      <c r="F363" s="21" t="s">
        <v>326</v>
      </c>
      <c r="G363" s="28">
        <f>16823.8-453.2-12.1+1780.6-237.9</f>
        <v>17901.199999999997</v>
      </c>
      <c r="H363" s="28">
        <v>17901.2</v>
      </c>
      <c r="I363" s="27">
        <f t="shared" si="23"/>
        <v>100.00000000000003</v>
      </c>
      <c r="J363" s="275"/>
      <c r="R363" s="292"/>
    </row>
    <row r="364" spans="1:9" ht="38.25" customHeight="1">
      <c r="A364" s="26" t="s">
        <v>366</v>
      </c>
      <c r="B364" s="17">
        <v>903</v>
      </c>
      <c r="C364" s="21" t="s">
        <v>350</v>
      </c>
      <c r="D364" s="21" t="s">
        <v>169</v>
      </c>
      <c r="E364" s="21" t="s">
        <v>367</v>
      </c>
      <c r="F364" s="21"/>
      <c r="G364" s="28">
        <f>G365+G367</f>
        <v>5</v>
      </c>
      <c r="H364" s="28">
        <f>H365+H367</f>
        <v>5</v>
      </c>
      <c r="I364" s="27">
        <f t="shared" si="23"/>
        <v>100</v>
      </c>
    </row>
    <row r="365" spans="1:9" ht="31.5" customHeight="1" hidden="1">
      <c r="A365" s="26" t="s">
        <v>182</v>
      </c>
      <c r="B365" s="17">
        <v>903</v>
      </c>
      <c r="C365" s="21" t="s">
        <v>350</v>
      </c>
      <c r="D365" s="21" t="s">
        <v>169</v>
      </c>
      <c r="E365" s="21" t="s">
        <v>367</v>
      </c>
      <c r="F365" s="21" t="s">
        <v>183</v>
      </c>
      <c r="G365" s="28">
        <f>G366</f>
        <v>0</v>
      </c>
      <c r="H365" s="28">
        <f>H366</f>
        <v>0</v>
      </c>
      <c r="I365" s="27" t="e">
        <f t="shared" si="23"/>
        <v>#DIV/0!</v>
      </c>
    </row>
    <row r="366" spans="1:9" ht="47.25" customHeight="1" hidden="1">
      <c r="A366" s="26" t="s">
        <v>184</v>
      </c>
      <c r="B366" s="17">
        <v>903</v>
      </c>
      <c r="C366" s="21" t="s">
        <v>350</v>
      </c>
      <c r="D366" s="21" t="s">
        <v>169</v>
      </c>
      <c r="E366" s="21" t="s">
        <v>367</v>
      </c>
      <c r="F366" s="21" t="s">
        <v>185</v>
      </c>
      <c r="G366" s="28">
        <v>0</v>
      </c>
      <c r="H366" s="28">
        <v>0</v>
      </c>
      <c r="I366" s="27" t="e">
        <f t="shared" si="23"/>
        <v>#DIV/0!</v>
      </c>
    </row>
    <row r="367" spans="1:18" ht="47.25">
      <c r="A367" s="26" t="s">
        <v>323</v>
      </c>
      <c r="B367" s="17">
        <v>903</v>
      </c>
      <c r="C367" s="21" t="s">
        <v>350</v>
      </c>
      <c r="D367" s="21" t="s">
        <v>169</v>
      </c>
      <c r="E367" s="21" t="s">
        <v>367</v>
      </c>
      <c r="F367" s="21" t="s">
        <v>324</v>
      </c>
      <c r="G367" s="28">
        <f>G368</f>
        <v>5</v>
      </c>
      <c r="H367" s="28">
        <f>H368</f>
        <v>5</v>
      </c>
      <c r="I367" s="27">
        <f t="shared" si="23"/>
        <v>100</v>
      </c>
      <c r="R367" s="138"/>
    </row>
    <row r="368" spans="1:9" ht="15.75">
      <c r="A368" s="26" t="s">
        <v>325</v>
      </c>
      <c r="B368" s="17">
        <v>903</v>
      </c>
      <c r="C368" s="21" t="s">
        <v>350</v>
      </c>
      <c r="D368" s="21" t="s">
        <v>169</v>
      </c>
      <c r="E368" s="21" t="s">
        <v>367</v>
      </c>
      <c r="F368" s="21" t="s">
        <v>326</v>
      </c>
      <c r="G368" s="28">
        <v>5</v>
      </c>
      <c r="H368" s="28">
        <v>5</v>
      </c>
      <c r="I368" s="27">
        <f t="shared" si="23"/>
        <v>100</v>
      </c>
    </row>
    <row r="369" spans="1:9" ht="15.75">
      <c r="A369" s="26" t="s">
        <v>761</v>
      </c>
      <c r="B369" s="17">
        <v>903</v>
      </c>
      <c r="C369" s="21" t="s">
        <v>350</v>
      </c>
      <c r="D369" s="21" t="s">
        <v>169</v>
      </c>
      <c r="E369" s="21" t="s">
        <v>1029</v>
      </c>
      <c r="F369" s="21"/>
      <c r="G369" s="28">
        <f>G370</f>
        <v>3.8</v>
      </c>
      <c r="H369" s="28">
        <f>H370</f>
        <v>3.8</v>
      </c>
      <c r="I369" s="27">
        <f t="shared" si="23"/>
        <v>100</v>
      </c>
    </row>
    <row r="370" spans="1:9" ht="47.25">
      <c r="A370" s="26" t="s">
        <v>323</v>
      </c>
      <c r="B370" s="17">
        <v>903</v>
      </c>
      <c r="C370" s="21" t="s">
        <v>350</v>
      </c>
      <c r="D370" s="21" t="s">
        <v>169</v>
      </c>
      <c r="E370" s="21" t="s">
        <v>1029</v>
      </c>
      <c r="F370" s="21" t="s">
        <v>324</v>
      </c>
      <c r="G370" s="28">
        <f>G371</f>
        <v>3.8</v>
      </c>
      <c r="H370" s="28">
        <f>H371</f>
        <v>3.8</v>
      </c>
      <c r="I370" s="27">
        <f t="shared" si="23"/>
        <v>100</v>
      </c>
    </row>
    <row r="371" spans="1:9" ht="15.75">
      <c r="A371" s="26" t="s">
        <v>325</v>
      </c>
      <c r="B371" s="17">
        <v>903</v>
      </c>
      <c r="C371" s="21" t="s">
        <v>350</v>
      </c>
      <c r="D371" s="21" t="s">
        <v>169</v>
      </c>
      <c r="E371" s="21" t="s">
        <v>1029</v>
      </c>
      <c r="F371" s="21" t="s">
        <v>326</v>
      </c>
      <c r="G371" s="28">
        <f>0.5+3.3</f>
        <v>3.8</v>
      </c>
      <c r="H371" s="28">
        <v>3.8</v>
      </c>
      <c r="I371" s="27">
        <f t="shared" si="23"/>
        <v>100</v>
      </c>
    </row>
    <row r="372" spans="1:9" ht="47.25" customHeight="1" hidden="1">
      <c r="A372" s="26" t="s">
        <v>327</v>
      </c>
      <c r="B372" s="17">
        <v>903</v>
      </c>
      <c r="C372" s="21" t="s">
        <v>350</v>
      </c>
      <c r="D372" s="21" t="s">
        <v>169</v>
      </c>
      <c r="E372" s="21" t="s">
        <v>368</v>
      </c>
      <c r="F372" s="21"/>
      <c r="G372" s="27">
        <f>G373</f>
        <v>0</v>
      </c>
      <c r="H372" s="27">
        <f>H373</f>
        <v>0</v>
      </c>
      <c r="I372" s="27" t="e">
        <f t="shared" si="23"/>
        <v>#DIV/0!</v>
      </c>
    </row>
    <row r="373" spans="1:9" ht="47.25" customHeight="1" hidden="1">
      <c r="A373" s="26" t="s">
        <v>323</v>
      </c>
      <c r="B373" s="17">
        <v>903</v>
      </c>
      <c r="C373" s="21" t="s">
        <v>350</v>
      </c>
      <c r="D373" s="21" t="s">
        <v>169</v>
      </c>
      <c r="E373" s="21" t="s">
        <v>368</v>
      </c>
      <c r="F373" s="21" t="s">
        <v>324</v>
      </c>
      <c r="G373" s="27">
        <f>G374</f>
        <v>0</v>
      </c>
      <c r="H373" s="27">
        <f>H374</f>
        <v>0</v>
      </c>
      <c r="I373" s="27" t="e">
        <f t="shared" si="23"/>
        <v>#DIV/0!</v>
      </c>
    </row>
    <row r="374" spans="1:9" ht="15.75" customHeight="1" hidden="1">
      <c r="A374" s="26" t="s">
        <v>325</v>
      </c>
      <c r="B374" s="17">
        <v>903</v>
      </c>
      <c r="C374" s="21" t="s">
        <v>350</v>
      </c>
      <c r="D374" s="21" t="s">
        <v>169</v>
      </c>
      <c r="E374" s="21" t="s">
        <v>368</v>
      </c>
      <c r="F374" s="21" t="s">
        <v>326</v>
      </c>
      <c r="G374" s="27">
        <v>0</v>
      </c>
      <c r="H374" s="27">
        <v>0</v>
      </c>
      <c r="I374" s="27" t="e">
        <f t="shared" si="23"/>
        <v>#DIV/0!</v>
      </c>
    </row>
    <row r="375" spans="1:9" ht="47.25" customHeight="1" hidden="1">
      <c r="A375" s="26" t="s">
        <v>329</v>
      </c>
      <c r="B375" s="17">
        <v>903</v>
      </c>
      <c r="C375" s="21" t="s">
        <v>350</v>
      </c>
      <c r="D375" s="21" t="s">
        <v>169</v>
      </c>
      <c r="E375" s="21" t="s">
        <v>369</v>
      </c>
      <c r="F375" s="21"/>
      <c r="G375" s="27">
        <f>G376</f>
        <v>0</v>
      </c>
      <c r="H375" s="27">
        <f>H376</f>
        <v>0</v>
      </c>
      <c r="I375" s="27" t="e">
        <f t="shared" si="23"/>
        <v>#DIV/0!</v>
      </c>
    </row>
    <row r="376" spans="1:9" ht="47.25" customHeight="1" hidden="1">
      <c r="A376" s="26" t="s">
        <v>323</v>
      </c>
      <c r="B376" s="17">
        <v>903</v>
      </c>
      <c r="C376" s="21" t="s">
        <v>350</v>
      </c>
      <c r="D376" s="21" t="s">
        <v>169</v>
      </c>
      <c r="E376" s="21" t="s">
        <v>369</v>
      </c>
      <c r="F376" s="21" t="s">
        <v>324</v>
      </c>
      <c r="G376" s="27">
        <f>G377</f>
        <v>0</v>
      </c>
      <c r="H376" s="27">
        <f>H377</f>
        <v>0</v>
      </c>
      <c r="I376" s="27" t="e">
        <f t="shared" si="23"/>
        <v>#DIV/0!</v>
      </c>
    </row>
    <row r="377" spans="1:9" ht="15.75" customHeight="1" hidden="1">
      <c r="A377" s="26" t="s">
        <v>325</v>
      </c>
      <c r="B377" s="17">
        <v>903</v>
      </c>
      <c r="C377" s="21" t="s">
        <v>350</v>
      </c>
      <c r="D377" s="21" t="s">
        <v>169</v>
      </c>
      <c r="E377" s="21" t="s">
        <v>369</v>
      </c>
      <c r="F377" s="21" t="s">
        <v>326</v>
      </c>
      <c r="G377" s="27">
        <v>0</v>
      </c>
      <c r="H377" s="27">
        <v>0</v>
      </c>
      <c r="I377" s="27" t="e">
        <f t="shared" si="23"/>
        <v>#DIV/0!</v>
      </c>
    </row>
    <row r="378" spans="1:9" ht="31.5" customHeight="1" hidden="1">
      <c r="A378" s="26" t="s">
        <v>331</v>
      </c>
      <c r="B378" s="17">
        <v>903</v>
      </c>
      <c r="C378" s="21" t="s">
        <v>350</v>
      </c>
      <c r="D378" s="21" t="s">
        <v>169</v>
      </c>
      <c r="E378" s="21" t="s">
        <v>370</v>
      </c>
      <c r="F378" s="21"/>
      <c r="G378" s="27">
        <f>G379</f>
        <v>0</v>
      </c>
      <c r="H378" s="27">
        <f>H379</f>
        <v>0</v>
      </c>
      <c r="I378" s="27" t="e">
        <f t="shared" si="23"/>
        <v>#DIV/0!</v>
      </c>
    </row>
    <row r="379" spans="1:9" ht="47.25" customHeight="1" hidden="1">
      <c r="A379" s="26" t="s">
        <v>323</v>
      </c>
      <c r="B379" s="17">
        <v>903</v>
      </c>
      <c r="C379" s="21" t="s">
        <v>350</v>
      </c>
      <c r="D379" s="21" t="s">
        <v>169</v>
      </c>
      <c r="E379" s="21" t="s">
        <v>370</v>
      </c>
      <c r="F379" s="21" t="s">
        <v>324</v>
      </c>
      <c r="G379" s="27">
        <f>G380</f>
        <v>0</v>
      </c>
      <c r="H379" s="27">
        <f>H380</f>
        <v>0</v>
      </c>
      <c r="I379" s="27" t="e">
        <f t="shared" si="23"/>
        <v>#DIV/0!</v>
      </c>
    </row>
    <row r="380" spans="1:9" ht="15.75" customHeight="1" hidden="1">
      <c r="A380" s="26" t="s">
        <v>325</v>
      </c>
      <c r="B380" s="17">
        <v>903</v>
      </c>
      <c r="C380" s="21" t="s">
        <v>350</v>
      </c>
      <c r="D380" s="21" t="s">
        <v>169</v>
      </c>
      <c r="E380" s="21" t="s">
        <v>370</v>
      </c>
      <c r="F380" s="21" t="s">
        <v>326</v>
      </c>
      <c r="G380" s="27">
        <v>0</v>
      </c>
      <c r="H380" s="27">
        <v>0</v>
      </c>
      <c r="I380" s="27" t="e">
        <f t="shared" si="23"/>
        <v>#DIV/0!</v>
      </c>
    </row>
    <row r="381" spans="1:9" ht="31.5" customHeight="1" hidden="1">
      <c r="A381" s="26" t="s">
        <v>335</v>
      </c>
      <c r="B381" s="17">
        <v>903</v>
      </c>
      <c r="C381" s="21" t="s">
        <v>350</v>
      </c>
      <c r="D381" s="21" t="s">
        <v>169</v>
      </c>
      <c r="E381" s="21" t="s">
        <v>371</v>
      </c>
      <c r="F381" s="21"/>
      <c r="G381" s="27">
        <f>G382</f>
        <v>0</v>
      </c>
      <c r="H381" s="27">
        <f>H382</f>
        <v>0</v>
      </c>
      <c r="I381" s="27" t="e">
        <f t="shared" si="23"/>
        <v>#DIV/0!</v>
      </c>
    </row>
    <row r="382" spans="1:9" ht="47.25" customHeight="1" hidden="1">
      <c r="A382" s="26" t="s">
        <v>323</v>
      </c>
      <c r="B382" s="17">
        <v>903</v>
      </c>
      <c r="C382" s="21" t="s">
        <v>350</v>
      </c>
      <c r="D382" s="21" t="s">
        <v>169</v>
      </c>
      <c r="E382" s="21" t="s">
        <v>371</v>
      </c>
      <c r="F382" s="21" t="s">
        <v>324</v>
      </c>
      <c r="G382" s="27">
        <f>G383</f>
        <v>0</v>
      </c>
      <c r="H382" s="27">
        <f>H383</f>
        <v>0</v>
      </c>
      <c r="I382" s="27" t="e">
        <f t="shared" si="23"/>
        <v>#DIV/0!</v>
      </c>
    </row>
    <row r="383" spans="1:9" ht="15.75" customHeight="1" hidden="1">
      <c r="A383" s="26" t="s">
        <v>325</v>
      </c>
      <c r="B383" s="17">
        <v>903</v>
      </c>
      <c r="C383" s="21" t="s">
        <v>350</v>
      </c>
      <c r="D383" s="21" t="s">
        <v>169</v>
      </c>
      <c r="E383" s="21" t="s">
        <v>371</v>
      </c>
      <c r="F383" s="21" t="s">
        <v>326</v>
      </c>
      <c r="G383" s="27">
        <v>0</v>
      </c>
      <c r="H383" s="27">
        <v>0</v>
      </c>
      <c r="I383" s="27" t="e">
        <f t="shared" si="23"/>
        <v>#DIV/0!</v>
      </c>
    </row>
    <row r="384" spans="1:9" ht="47.25" customHeight="1">
      <c r="A384" s="37" t="s">
        <v>372</v>
      </c>
      <c r="B384" s="17">
        <v>903</v>
      </c>
      <c r="C384" s="21" t="s">
        <v>350</v>
      </c>
      <c r="D384" s="21" t="s">
        <v>169</v>
      </c>
      <c r="E384" s="21" t="s">
        <v>373</v>
      </c>
      <c r="F384" s="21"/>
      <c r="G384" s="27">
        <f>G385</f>
        <v>180</v>
      </c>
      <c r="H384" s="27">
        <f>H385</f>
        <v>180</v>
      </c>
      <c r="I384" s="27">
        <f t="shared" si="23"/>
        <v>100</v>
      </c>
    </row>
    <row r="385" spans="1:9" ht="47.25" customHeight="1">
      <c r="A385" s="26" t="s">
        <v>323</v>
      </c>
      <c r="B385" s="17">
        <v>903</v>
      </c>
      <c r="C385" s="21" t="s">
        <v>350</v>
      </c>
      <c r="D385" s="21" t="s">
        <v>169</v>
      </c>
      <c r="E385" s="21" t="s">
        <v>373</v>
      </c>
      <c r="F385" s="21" t="s">
        <v>324</v>
      </c>
      <c r="G385" s="27">
        <f>G386</f>
        <v>180</v>
      </c>
      <c r="H385" s="27">
        <f>H386</f>
        <v>180</v>
      </c>
      <c r="I385" s="27">
        <f t="shared" si="23"/>
        <v>100</v>
      </c>
    </row>
    <row r="386" spans="1:9" ht="15.75" customHeight="1">
      <c r="A386" s="26" t="s">
        <v>325</v>
      </c>
      <c r="B386" s="17">
        <v>903</v>
      </c>
      <c r="C386" s="21" t="s">
        <v>350</v>
      </c>
      <c r="D386" s="21" t="s">
        <v>169</v>
      </c>
      <c r="E386" s="21" t="s">
        <v>373</v>
      </c>
      <c r="F386" s="21" t="s">
        <v>326</v>
      </c>
      <c r="G386" s="27">
        <v>180</v>
      </c>
      <c r="H386" s="27">
        <v>180</v>
      </c>
      <c r="I386" s="27">
        <f t="shared" si="23"/>
        <v>100</v>
      </c>
    </row>
    <row r="387" spans="1:9" ht="47.25" customHeight="1">
      <c r="A387" s="70" t="s">
        <v>857</v>
      </c>
      <c r="B387" s="17">
        <v>903</v>
      </c>
      <c r="C387" s="21" t="s">
        <v>350</v>
      </c>
      <c r="D387" s="21" t="s">
        <v>169</v>
      </c>
      <c r="E387" s="21" t="s">
        <v>870</v>
      </c>
      <c r="F387" s="21"/>
      <c r="G387" s="27">
        <f>G388</f>
        <v>407.00000000000006</v>
      </c>
      <c r="H387" s="27">
        <f>H388</f>
        <v>402</v>
      </c>
      <c r="I387" s="27">
        <f t="shared" si="23"/>
        <v>98.77149877149876</v>
      </c>
    </row>
    <row r="388" spans="1:9" ht="54" customHeight="1">
      <c r="A388" s="31" t="s">
        <v>323</v>
      </c>
      <c r="B388" s="17">
        <v>903</v>
      </c>
      <c r="C388" s="21" t="s">
        <v>350</v>
      </c>
      <c r="D388" s="21" t="s">
        <v>169</v>
      </c>
      <c r="E388" s="21" t="s">
        <v>870</v>
      </c>
      <c r="F388" s="21" t="s">
        <v>324</v>
      </c>
      <c r="G388" s="27">
        <f>G389</f>
        <v>407.00000000000006</v>
      </c>
      <c r="H388" s="27">
        <f>H389</f>
        <v>402</v>
      </c>
      <c r="I388" s="27">
        <f t="shared" si="23"/>
        <v>98.77149877149876</v>
      </c>
    </row>
    <row r="389" spans="1:9" ht="15.75" customHeight="1">
      <c r="A389" s="246" t="s">
        <v>325</v>
      </c>
      <c r="B389" s="17">
        <v>903</v>
      </c>
      <c r="C389" s="21" t="s">
        <v>350</v>
      </c>
      <c r="D389" s="21" t="s">
        <v>169</v>
      </c>
      <c r="E389" s="21" t="s">
        <v>870</v>
      </c>
      <c r="F389" s="21" t="s">
        <v>326</v>
      </c>
      <c r="G389" s="27">
        <f>650.2-203.9-39.3</f>
        <v>407.00000000000006</v>
      </c>
      <c r="H389" s="27">
        <v>402</v>
      </c>
      <c r="I389" s="27">
        <f t="shared" si="23"/>
        <v>98.77149877149876</v>
      </c>
    </row>
    <row r="390" spans="1:9" ht="60" customHeight="1" hidden="1">
      <c r="A390" s="31" t="s">
        <v>374</v>
      </c>
      <c r="B390" s="17">
        <v>903</v>
      </c>
      <c r="C390" s="21" t="s">
        <v>350</v>
      </c>
      <c r="D390" s="21" t="s">
        <v>169</v>
      </c>
      <c r="E390" s="42" t="s">
        <v>375</v>
      </c>
      <c r="F390" s="21"/>
      <c r="G390" s="27">
        <f aca="true" t="shared" si="24" ref="G390:H392">G391</f>
        <v>0</v>
      </c>
      <c r="H390" s="27">
        <f t="shared" si="24"/>
        <v>0</v>
      </c>
      <c r="I390" s="27" t="e">
        <f t="shared" si="23"/>
        <v>#DIV/0!</v>
      </c>
    </row>
    <row r="391" spans="1:9" ht="47.25" hidden="1">
      <c r="A391" s="26" t="s">
        <v>376</v>
      </c>
      <c r="B391" s="17">
        <v>903</v>
      </c>
      <c r="C391" s="21" t="s">
        <v>350</v>
      </c>
      <c r="D391" s="21" t="s">
        <v>169</v>
      </c>
      <c r="E391" s="42" t="s">
        <v>377</v>
      </c>
      <c r="F391" s="21"/>
      <c r="G391" s="27">
        <f t="shared" si="24"/>
        <v>0</v>
      </c>
      <c r="H391" s="27">
        <f t="shared" si="24"/>
        <v>0</v>
      </c>
      <c r="I391" s="27" t="e">
        <f t="shared" si="23"/>
        <v>#DIV/0!</v>
      </c>
    </row>
    <row r="392" spans="1:9" ht="47.25" hidden="1">
      <c r="A392" s="26" t="s">
        <v>323</v>
      </c>
      <c r="B392" s="17">
        <v>903</v>
      </c>
      <c r="C392" s="21" t="s">
        <v>350</v>
      </c>
      <c r="D392" s="21" t="s">
        <v>169</v>
      </c>
      <c r="E392" s="42" t="s">
        <v>377</v>
      </c>
      <c r="F392" s="21" t="s">
        <v>324</v>
      </c>
      <c r="G392" s="27">
        <f t="shared" si="24"/>
        <v>0</v>
      </c>
      <c r="H392" s="27">
        <f t="shared" si="24"/>
        <v>0</v>
      </c>
      <c r="I392" s="27" t="e">
        <f t="shared" si="23"/>
        <v>#DIV/0!</v>
      </c>
    </row>
    <row r="393" spans="1:9" ht="15.75" hidden="1">
      <c r="A393" s="26" t="s">
        <v>325</v>
      </c>
      <c r="B393" s="17">
        <v>903</v>
      </c>
      <c r="C393" s="21" t="s">
        <v>350</v>
      </c>
      <c r="D393" s="21" t="s">
        <v>169</v>
      </c>
      <c r="E393" s="42" t="s">
        <v>377</v>
      </c>
      <c r="F393" s="21" t="s">
        <v>326</v>
      </c>
      <c r="G393" s="27">
        <v>0</v>
      </c>
      <c r="H393" s="27">
        <v>0</v>
      </c>
      <c r="I393" s="27" t="e">
        <f t="shared" si="23"/>
        <v>#DIV/0!</v>
      </c>
    </row>
    <row r="394" spans="1:9" ht="15.75">
      <c r="A394" s="26" t="s">
        <v>172</v>
      </c>
      <c r="B394" s="17">
        <v>903</v>
      </c>
      <c r="C394" s="21" t="s">
        <v>350</v>
      </c>
      <c r="D394" s="21" t="s">
        <v>169</v>
      </c>
      <c r="E394" s="21" t="s">
        <v>173</v>
      </c>
      <c r="F394" s="21"/>
      <c r="G394" s="27">
        <f>G395</f>
        <v>2099.8</v>
      </c>
      <c r="H394" s="27">
        <f>H395</f>
        <v>2079.5</v>
      </c>
      <c r="I394" s="27">
        <f t="shared" si="23"/>
        <v>99.03324126107248</v>
      </c>
    </row>
    <row r="395" spans="1:9" ht="31.5">
      <c r="A395" s="26" t="s">
        <v>236</v>
      </c>
      <c r="B395" s="17">
        <v>903</v>
      </c>
      <c r="C395" s="21" t="s">
        <v>350</v>
      </c>
      <c r="D395" s="21" t="s">
        <v>169</v>
      </c>
      <c r="E395" s="21" t="s">
        <v>237</v>
      </c>
      <c r="F395" s="21"/>
      <c r="G395" s="27">
        <f>G396+G401+G406+G409+G412</f>
        <v>2099.8</v>
      </c>
      <c r="H395" s="27">
        <f>H396+H401+H406+H409+H412</f>
        <v>2079.5</v>
      </c>
      <c r="I395" s="27">
        <f aca="true" t="shared" si="25" ref="I395:I458">H395/G395*100</f>
        <v>99.03324126107248</v>
      </c>
    </row>
    <row r="396" spans="1:9" ht="31.5" customHeight="1" hidden="1">
      <c r="A396" s="38" t="s">
        <v>378</v>
      </c>
      <c r="B396" s="39">
        <v>903</v>
      </c>
      <c r="C396" s="21" t="s">
        <v>350</v>
      </c>
      <c r="D396" s="21" t="s">
        <v>169</v>
      </c>
      <c r="E396" s="21" t="s">
        <v>379</v>
      </c>
      <c r="F396" s="21"/>
      <c r="G396" s="27">
        <f>G397+G399</f>
        <v>0</v>
      </c>
      <c r="H396" s="27">
        <f>H397+H399</f>
        <v>0</v>
      </c>
      <c r="I396" s="27" t="e">
        <f t="shared" si="25"/>
        <v>#DIV/0!</v>
      </c>
    </row>
    <row r="397" spans="1:9" ht="31.5" customHeight="1" hidden="1">
      <c r="A397" s="26" t="s">
        <v>182</v>
      </c>
      <c r="B397" s="39">
        <v>903</v>
      </c>
      <c r="C397" s="21" t="s">
        <v>350</v>
      </c>
      <c r="D397" s="21" t="s">
        <v>169</v>
      </c>
      <c r="E397" s="21" t="s">
        <v>379</v>
      </c>
      <c r="F397" s="21" t="s">
        <v>183</v>
      </c>
      <c r="G397" s="27">
        <f>G398</f>
        <v>0</v>
      </c>
      <c r="H397" s="27">
        <f>H398</f>
        <v>0</v>
      </c>
      <c r="I397" s="27" t="e">
        <f t="shared" si="25"/>
        <v>#DIV/0!</v>
      </c>
    </row>
    <row r="398" spans="1:9" ht="47.25" customHeight="1" hidden="1">
      <c r="A398" s="26" t="s">
        <v>184</v>
      </c>
      <c r="B398" s="17">
        <v>903</v>
      </c>
      <c r="C398" s="21" t="s">
        <v>350</v>
      </c>
      <c r="D398" s="21" t="s">
        <v>169</v>
      </c>
      <c r="E398" s="21" t="s">
        <v>379</v>
      </c>
      <c r="F398" s="21" t="s">
        <v>185</v>
      </c>
      <c r="G398" s="27">
        <f>1.4-1.4</f>
        <v>0</v>
      </c>
      <c r="H398" s="27">
        <f>1.4-1.4</f>
        <v>0</v>
      </c>
      <c r="I398" s="27" t="e">
        <f t="shared" si="25"/>
        <v>#DIV/0!</v>
      </c>
    </row>
    <row r="399" spans="1:9" ht="47.25" customHeight="1" hidden="1">
      <c r="A399" s="26" t="s">
        <v>323</v>
      </c>
      <c r="B399" s="17">
        <v>903</v>
      </c>
      <c r="C399" s="21" t="s">
        <v>350</v>
      </c>
      <c r="D399" s="21" t="s">
        <v>169</v>
      </c>
      <c r="E399" s="21" t="s">
        <v>379</v>
      </c>
      <c r="F399" s="21" t="s">
        <v>324</v>
      </c>
      <c r="G399" s="27">
        <f>G400</f>
        <v>0</v>
      </c>
      <c r="H399" s="27">
        <f>H400</f>
        <v>0</v>
      </c>
      <c r="I399" s="27" t="e">
        <f t="shared" si="25"/>
        <v>#DIV/0!</v>
      </c>
    </row>
    <row r="400" spans="1:9" ht="15.75" customHeight="1" hidden="1">
      <c r="A400" s="26" t="s">
        <v>325</v>
      </c>
      <c r="B400" s="17">
        <v>903</v>
      </c>
      <c r="C400" s="21" t="s">
        <v>350</v>
      </c>
      <c r="D400" s="21" t="s">
        <v>169</v>
      </c>
      <c r="E400" s="21" t="s">
        <v>379</v>
      </c>
      <c r="F400" s="21" t="s">
        <v>326</v>
      </c>
      <c r="G400" s="27">
        <f>2.9-2.9</f>
        <v>0</v>
      </c>
      <c r="H400" s="27">
        <f>2.9-2.9</f>
        <v>0</v>
      </c>
      <c r="I400" s="27" t="e">
        <f t="shared" si="25"/>
        <v>#DIV/0!</v>
      </c>
    </row>
    <row r="401" spans="1:9" ht="31.5">
      <c r="A401" s="26" t="s">
        <v>380</v>
      </c>
      <c r="B401" s="17">
        <v>903</v>
      </c>
      <c r="C401" s="21" t="s">
        <v>350</v>
      </c>
      <c r="D401" s="21" t="s">
        <v>169</v>
      </c>
      <c r="E401" s="21" t="s">
        <v>381</v>
      </c>
      <c r="F401" s="21"/>
      <c r="G401" s="27">
        <f>G402+G404</f>
        <v>177.3</v>
      </c>
      <c r="H401" s="27">
        <f>H402+H404</f>
        <v>177.3</v>
      </c>
      <c r="I401" s="27">
        <f t="shared" si="25"/>
        <v>100</v>
      </c>
    </row>
    <row r="402" spans="1:9" ht="31.5" customHeight="1" hidden="1">
      <c r="A402" s="26" t="s">
        <v>182</v>
      </c>
      <c r="B402" s="17">
        <v>903</v>
      </c>
      <c r="C402" s="21" t="s">
        <v>350</v>
      </c>
      <c r="D402" s="21" t="s">
        <v>169</v>
      </c>
      <c r="E402" s="21" t="s">
        <v>381</v>
      </c>
      <c r="F402" s="21" t="s">
        <v>183</v>
      </c>
      <c r="G402" s="27">
        <f>G403</f>
        <v>0</v>
      </c>
      <c r="H402" s="27">
        <f>H403</f>
        <v>0</v>
      </c>
      <c r="I402" s="27" t="e">
        <f t="shared" si="25"/>
        <v>#DIV/0!</v>
      </c>
    </row>
    <row r="403" spans="1:9" ht="47.25" customHeight="1" hidden="1">
      <c r="A403" s="26" t="s">
        <v>184</v>
      </c>
      <c r="B403" s="17">
        <v>903</v>
      </c>
      <c r="C403" s="21" t="s">
        <v>350</v>
      </c>
      <c r="D403" s="21" t="s">
        <v>169</v>
      </c>
      <c r="E403" s="21" t="s">
        <v>381</v>
      </c>
      <c r="F403" s="40">
        <v>240</v>
      </c>
      <c r="G403" s="27">
        <v>0</v>
      </c>
      <c r="H403" s="27">
        <v>0</v>
      </c>
      <c r="I403" s="27" t="e">
        <f t="shared" si="25"/>
        <v>#DIV/0!</v>
      </c>
    </row>
    <row r="404" spans="1:9" ht="47.25">
      <c r="A404" s="26" t="s">
        <v>323</v>
      </c>
      <c r="B404" s="17">
        <v>903</v>
      </c>
      <c r="C404" s="21" t="s">
        <v>350</v>
      </c>
      <c r="D404" s="21" t="s">
        <v>169</v>
      </c>
      <c r="E404" s="21" t="s">
        <v>381</v>
      </c>
      <c r="F404" s="21" t="s">
        <v>324</v>
      </c>
      <c r="G404" s="27">
        <f>G405</f>
        <v>177.3</v>
      </c>
      <c r="H404" s="27">
        <f>H405</f>
        <v>177.3</v>
      </c>
      <c r="I404" s="27">
        <f t="shared" si="25"/>
        <v>100</v>
      </c>
    </row>
    <row r="405" spans="1:9" ht="15.75">
      <c r="A405" s="26" t="s">
        <v>325</v>
      </c>
      <c r="B405" s="17">
        <v>903</v>
      </c>
      <c r="C405" s="21" t="s">
        <v>350</v>
      </c>
      <c r="D405" s="21" t="s">
        <v>169</v>
      </c>
      <c r="E405" s="21" t="s">
        <v>381</v>
      </c>
      <c r="F405" s="21" t="s">
        <v>326</v>
      </c>
      <c r="G405" s="27">
        <v>177.3</v>
      </c>
      <c r="H405" s="27">
        <v>177.3</v>
      </c>
      <c r="I405" s="27">
        <f t="shared" si="25"/>
        <v>100</v>
      </c>
    </row>
    <row r="406" spans="1:9" ht="78.75">
      <c r="A406" s="26" t="s">
        <v>382</v>
      </c>
      <c r="B406" s="17">
        <v>903</v>
      </c>
      <c r="C406" s="21" t="s">
        <v>350</v>
      </c>
      <c r="D406" s="21" t="s">
        <v>169</v>
      </c>
      <c r="E406" s="21" t="s">
        <v>383</v>
      </c>
      <c r="F406" s="21"/>
      <c r="G406" s="27">
        <f>G407</f>
        <v>273.7</v>
      </c>
      <c r="H406" s="27">
        <f>H407</f>
        <v>253.4</v>
      </c>
      <c r="I406" s="27">
        <f t="shared" si="25"/>
        <v>92.58312020460359</v>
      </c>
    </row>
    <row r="407" spans="1:9" ht="47.25">
      <c r="A407" s="26" t="s">
        <v>323</v>
      </c>
      <c r="B407" s="17">
        <v>903</v>
      </c>
      <c r="C407" s="21" t="s">
        <v>350</v>
      </c>
      <c r="D407" s="21" t="s">
        <v>169</v>
      </c>
      <c r="E407" s="21" t="s">
        <v>383</v>
      </c>
      <c r="F407" s="21" t="s">
        <v>324</v>
      </c>
      <c r="G407" s="27">
        <f>G408</f>
        <v>273.7</v>
      </c>
      <c r="H407" s="27">
        <f>H408</f>
        <v>253.4</v>
      </c>
      <c r="I407" s="27">
        <f t="shared" si="25"/>
        <v>92.58312020460359</v>
      </c>
    </row>
    <row r="408" spans="1:9" ht="15.75">
      <c r="A408" s="26" t="s">
        <v>325</v>
      </c>
      <c r="B408" s="17">
        <v>903</v>
      </c>
      <c r="C408" s="21" t="s">
        <v>350</v>
      </c>
      <c r="D408" s="21" t="s">
        <v>169</v>
      </c>
      <c r="E408" s="21" t="s">
        <v>383</v>
      </c>
      <c r="F408" s="21" t="s">
        <v>326</v>
      </c>
      <c r="G408" s="27">
        <v>273.7</v>
      </c>
      <c r="H408" s="27">
        <v>253.4</v>
      </c>
      <c r="I408" s="27">
        <f t="shared" si="25"/>
        <v>92.58312020460359</v>
      </c>
    </row>
    <row r="409" spans="1:9" ht="110.25">
      <c r="A409" s="33" t="s">
        <v>344</v>
      </c>
      <c r="B409" s="17">
        <v>903</v>
      </c>
      <c r="C409" s="21" t="s">
        <v>350</v>
      </c>
      <c r="D409" s="21" t="s">
        <v>169</v>
      </c>
      <c r="E409" s="21" t="s">
        <v>345</v>
      </c>
      <c r="F409" s="21"/>
      <c r="G409" s="27">
        <f>G410</f>
        <v>1648.8000000000002</v>
      </c>
      <c r="H409" s="27">
        <f>H410</f>
        <v>1648.8</v>
      </c>
      <c r="I409" s="27">
        <f t="shared" si="25"/>
        <v>99.99999999999999</v>
      </c>
    </row>
    <row r="410" spans="1:9" ht="47.25">
      <c r="A410" s="26" t="s">
        <v>323</v>
      </c>
      <c r="B410" s="17">
        <v>903</v>
      </c>
      <c r="C410" s="21" t="s">
        <v>350</v>
      </c>
      <c r="D410" s="21" t="s">
        <v>169</v>
      </c>
      <c r="E410" s="21" t="s">
        <v>345</v>
      </c>
      <c r="F410" s="21" t="s">
        <v>324</v>
      </c>
      <c r="G410" s="27">
        <f>G411</f>
        <v>1648.8000000000002</v>
      </c>
      <c r="H410" s="27">
        <f>H411</f>
        <v>1648.8</v>
      </c>
      <c r="I410" s="27">
        <f t="shared" si="25"/>
        <v>99.99999999999999</v>
      </c>
    </row>
    <row r="411" spans="1:9" ht="15.75">
      <c r="A411" s="26" t="s">
        <v>325</v>
      </c>
      <c r="B411" s="17">
        <v>903</v>
      </c>
      <c r="C411" s="21" t="s">
        <v>350</v>
      </c>
      <c r="D411" s="21" t="s">
        <v>169</v>
      </c>
      <c r="E411" s="21" t="s">
        <v>345</v>
      </c>
      <c r="F411" s="21" t="s">
        <v>326</v>
      </c>
      <c r="G411" s="27">
        <f>1929.4-236.1-44.5</f>
        <v>1648.8000000000002</v>
      </c>
      <c r="H411" s="27">
        <v>1648.8</v>
      </c>
      <c r="I411" s="27">
        <f t="shared" si="25"/>
        <v>99.99999999999999</v>
      </c>
    </row>
    <row r="412" spans="1:9" ht="15.75" hidden="1">
      <c r="A412" s="33" t="s">
        <v>763</v>
      </c>
      <c r="B412" s="17">
        <v>903</v>
      </c>
      <c r="C412" s="21" t="s">
        <v>350</v>
      </c>
      <c r="D412" s="21" t="s">
        <v>169</v>
      </c>
      <c r="E412" s="21" t="s">
        <v>764</v>
      </c>
      <c r="F412" s="21"/>
      <c r="G412" s="27">
        <f>G413</f>
        <v>0</v>
      </c>
      <c r="H412" s="27">
        <f>H413</f>
        <v>0</v>
      </c>
      <c r="I412" s="22" t="e">
        <f t="shared" si="25"/>
        <v>#DIV/0!</v>
      </c>
    </row>
    <row r="413" spans="1:9" ht="47.25" hidden="1">
      <c r="A413" s="26" t="s">
        <v>323</v>
      </c>
      <c r="B413" s="17">
        <v>903</v>
      </c>
      <c r="C413" s="21" t="s">
        <v>350</v>
      </c>
      <c r="D413" s="21" t="s">
        <v>169</v>
      </c>
      <c r="E413" s="21" t="s">
        <v>764</v>
      </c>
      <c r="F413" s="21" t="s">
        <v>324</v>
      </c>
      <c r="G413" s="27">
        <f>G414</f>
        <v>0</v>
      </c>
      <c r="H413" s="27">
        <f>H414</f>
        <v>0</v>
      </c>
      <c r="I413" s="22" t="e">
        <f t="shared" si="25"/>
        <v>#DIV/0!</v>
      </c>
    </row>
    <row r="414" spans="1:9" ht="15.75" hidden="1">
      <c r="A414" s="26" t="s">
        <v>325</v>
      </c>
      <c r="B414" s="17">
        <v>903</v>
      </c>
      <c r="C414" s="21" t="s">
        <v>350</v>
      </c>
      <c r="D414" s="21" t="s">
        <v>169</v>
      </c>
      <c r="E414" s="21" t="s">
        <v>764</v>
      </c>
      <c r="F414" s="21" t="s">
        <v>326</v>
      </c>
      <c r="G414" s="27">
        <f>3.3-3.3</f>
        <v>0</v>
      </c>
      <c r="H414" s="27">
        <f>3.3-3.3</f>
        <v>0</v>
      </c>
      <c r="I414" s="22" t="e">
        <f t="shared" si="25"/>
        <v>#DIV/0!</v>
      </c>
    </row>
    <row r="415" spans="1:9" ht="31.5">
      <c r="A415" s="24" t="s">
        <v>384</v>
      </c>
      <c r="B415" s="20">
        <v>903</v>
      </c>
      <c r="C415" s="25" t="s">
        <v>350</v>
      </c>
      <c r="D415" s="25" t="s">
        <v>201</v>
      </c>
      <c r="E415" s="25"/>
      <c r="F415" s="25"/>
      <c r="G415" s="22">
        <f>G416+G439+G435</f>
        <v>18285.7</v>
      </c>
      <c r="H415" s="22">
        <f>H416+H439+H435</f>
        <v>18284.9</v>
      </c>
      <c r="I415" s="22">
        <f t="shared" si="25"/>
        <v>99.99562499658204</v>
      </c>
    </row>
    <row r="416" spans="1:9" ht="47.25" hidden="1">
      <c r="A416" s="26" t="s">
        <v>385</v>
      </c>
      <c r="B416" s="17">
        <v>903</v>
      </c>
      <c r="C416" s="21" t="s">
        <v>350</v>
      </c>
      <c r="D416" s="21" t="s">
        <v>201</v>
      </c>
      <c r="E416" s="21" t="s">
        <v>386</v>
      </c>
      <c r="F416" s="21"/>
      <c r="G416" s="27">
        <f>G417+G423+G429+G420+G426+G432</f>
        <v>0</v>
      </c>
      <c r="H416" s="27">
        <f>H417+H423+H429+H420+H426+H432</f>
        <v>0</v>
      </c>
      <c r="I416" s="22" t="e">
        <f t="shared" si="25"/>
        <v>#DIV/0!</v>
      </c>
    </row>
    <row r="417" spans="1:9" ht="31.5" customHeight="1" hidden="1">
      <c r="A417" s="26" t="s">
        <v>387</v>
      </c>
      <c r="B417" s="17">
        <v>903</v>
      </c>
      <c r="C417" s="21" t="s">
        <v>350</v>
      </c>
      <c r="D417" s="21" t="s">
        <v>201</v>
      </c>
      <c r="E417" s="21" t="s">
        <v>388</v>
      </c>
      <c r="F417" s="21"/>
      <c r="G417" s="27">
        <f>G418</f>
        <v>0</v>
      </c>
      <c r="H417" s="27">
        <f>H418</f>
        <v>0</v>
      </c>
      <c r="I417" s="22" t="e">
        <f t="shared" si="25"/>
        <v>#DIV/0!</v>
      </c>
    </row>
    <row r="418" spans="1:9" ht="31.5" customHeight="1" hidden="1">
      <c r="A418" s="26" t="s">
        <v>182</v>
      </c>
      <c r="B418" s="17">
        <v>903</v>
      </c>
      <c r="C418" s="21" t="s">
        <v>350</v>
      </c>
      <c r="D418" s="21" t="s">
        <v>201</v>
      </c>
      <c r="E418" s="21" t="s">
        <v>388</v>
      </c>
      <c r="F418" s="21" t="s">
        <v>183</v>
      </c>
      <c r="G418" s="27">
        <f>G419</f>
        <v>0</v>
      </c>
      <c r="H418" s="27">
        <f>H419</f>
        <v>0</v>
      </c>
      <c r="I418" s="22" t="e">
        <f t="shared" si="25"/>
        <v>#DIV/0!</v>
      </c>
    </row>
    <row r="419" spans="1:9" ht="47.25" customHeight="1" hidden="1">
      <c r="A419" s="26" t="s">
        <v>184</v>
      </c>
      <c r="B419" s="17">
        <v>903</v>
      </c>
      <c r="C419" s="21" t="s">
        <v>350</v>
      </c>
      <c r="D419" s="21" t="s">
        <v>201</v>
      </c>
      <c r="E419" s="21" t="s">
        <v>388</v>
      </c>
      <c r="F419" s="21" t="s">
        <v>185</v>
      </c>
      <c r="G419" s="27">
        <v>0</v>
      </c>
      <c r="H419" s="27">
        <v>0</v>
      </c>
      <c r="I419" s="22" t="e">
        <f t="shared" si="25"/>
        <v>#DIV/0!</v>
      </c>
    </row>
    <row r="420" spans="1:9" ht="47.25" customHeight="1" hidden="1">
      <c r="A420" s="121" t="s">
        <v>917</v>
      </c>
      <c r="B420" s="17">
        <v>903</v>
      </c>
      <c r="C420" s="21" t="s">
        <v>350</v>
      </c>
      <c r="D420" s="21" t="s">
        <v>201</v>
      </c>
      <c r="E420" s="21" t="s">
        <v>388</v>
      </c>
      <c r="F420" s="21"/>
      <c r="G420" s="27">
        <f>G421</f>
        <v>0</v>
      </c>
      <c r="H420" s="27">
        <f>H421</f>
        <v>0</v>
      </c>
      <c r="I420" s="22" t="e">
        <f t="shared" si="25"/>
        <v>#DIV/0!</v>
      </c>
    </row>
    <row r="421" spans="1:9" ht="47.25" customHeight="1" hidden="1">
      <c r="A421" s="26" t="s">
        <v>182</v>
      </c>
      <c r="B421" s="17">
        <v>903</v>
      </c>
      <c r="C421" s="21" t="s">
        <v>350</v>
      </c>
      <c r="D421" s="21" t="s">
        <v>201</v>
      </c>
      <c r="E421" s="21" t="s">
        <v>388</v>
      </c>
      <c r="F421" s="21" t="s">
        <v>183</v>
      </c>
      <c r="G421" s="27">
        <f>G422</f>
        <v>0</v>
      </c>
      <c r="H421" s="27">
        <f>H422</f>
        <v>0</v>
      </c>
      <c r="I421" s="22" t="e">
        <f t="shared" si="25"/>
        <v>#DIV/0!</v>
      </c>
    </row>
    <row r="422" spans="1:9" ht="47.25" customHeight="1" hidden="1">
      <c r="A422" s="26" t="s">
        <v>184</v>
      </c>
      <c r="B422" s="17">
        <v>903</v>
      </c>
      <c r="C422" s="21" t="s">
        <v>350</v>
      </c>
      <c r="D422" s="21" t="s">
        <v>201</v>
      </c>
      <c r="E422" s="21" t="s">
        <v>388</v>
      </c>
      <c r="F422" s="21" t="s">
        <v>185</v>
      </c>
      <c r="G422" s="27">
        <v>0</v>
      </c>
      <c r="H422" s="27">
        <v>0</v>
      </c>
      <c r="I422" s="22" t="e">
        <f t="shared" si="25"/>
        <v>#DIV/0!</v>
      </c>
    </row>
    <row r="423" spans="1:9" ht="31.5" hidden="1">
      <c r="A423" s="26" t="s">
        <v>389</v>
      </c>
      <c r="B423" s="17">
        <v>903</v>
      </c>
      <c r="C423" s="21" t="s">
        <v>350</v>
      </c>
      <c r="D423" s="21" t="s">
        <v>201</v>
      </c>
      <c r="E423" s="21" t="s">
        <v>390</v>
      </c>
      <c r="F423" s="21"/>
      <c r="G423" s="27">
        <f>G424</f>
        <v>0</v>
      </c>
      <c r="H423" s="27">
        <f>H424</f>
        <v>0</v>
      </c>
      <c r="I423" s="22" t="e">
        <f t="shared" si="25"/>
        <v>#DIV/0!</v>
      </c>
    </row>
    <row r="424" spans="1:9" ht="31.5" hidden="1">
      <c r="A424" s="26" t="s">
        <v>182</v>
      </c>
      <c r="B424" s="17">
        <v>903</v>
      </c>
      <c r="C424" s="21" t="s">
        <v>350</v>
      </c>
      <c r="D424" s="21" t="s">
        <v>201</v>
      </c>
      <c r="E424" s="21" t="s">
        <v>390</v>
      </c>
      <c r="F424" s="21" t="s">
        <v>183</v>
      </c>
      <c r="G424" s="27">
        <f>G425</f>
        <v>0</v>
      </c>
      <c r="H424" s="27">
        <f>H425</f>
        <v>0</v>
      </c>
      <c r="I424" s="22" t="e">
        <f t="shared" si="25"/>
        <v>#DIV/0!</v>
      </c>
    </row>
    <row r="425" spans="1:9" ht="47.25" hidden="1">
      <c r="A425" s="26" t="s">
        <v>184</v>
      </c>
      <c r="B425" s="17">
        <v>903</v>
      </c>
      <c r="C425" s="21" t="s">
        <v>350</v>
      </c>
      <c r="D425" s="21" t="s">
        <v>201</v>
      </c>
      <c r="E425" s="21" t="s">
        <v>390</v>
      </c>
      <c r="F425" s="21" t="s">
        <v>185</v>
      </c>
      <c r="G425" s="27">
        <v>0</v>
      </c>
      <c r="H425" s="27">
        <v>0</v>
      </c>
      <c r="I425" s="22" t="e">
        <f t="shared" si="25"/>
        <v>#DIV/0!</v>
      </c>
    </row>
    <row r="426" spans="1:9" ht="47.25" hidden="1">
      <c r="A426" s="33" t="s">
        <v>918</v>
      </c>
      <c r="B426" s="17">
        <v>903</v>
      </c>
      <c r="C426" s="21" t="s">
        <v>350</v>
      </c>
      <c r="D426" s="21" t="s">
        <v>201</v>
      </c>
      <c r="E426" s="21" t="s">
        <v>915</v>
      </c>
      <c r="F426" s="21"/>
      <c r="G426" s="27">
        <f>G427</f>
        <v>0</v>
      </c>
      <c r="H426" s="27">
        <f>H427</f>
        <v>0</v>
      </c>
      <c r="I426" s="22" t="e">
        <f t="shared" si="25"/>
        <v>#DIV/0!</v>
      </c>
    </row>
    <row r="427" spans="1:9" ht="31.5" hidden="1">
      <c r="A427" s="26" t="s">
        <v>182</v>
      </c>
      <c r="B427" s="17">
        <v>903</v>
      </c>
      <c r="C427" s="21" t="s">
        <v>350</v>
      </c>
      <c r="D427" s="21" t="s">
        <v>201</v>
      </c>
      <c r="E427" s="21" t="s">
        <v>915</v>
      </c>
      <c r="F427" s="21" t="s">
        <v>183</v>
      </c>
      <c r="G427" s="27">
        <f>G428</f>
        <v>0</v>
      </c>
      <c r="H427" s="27">
        <f>H428</f>
        <v>0</v>
      </c>
      <c r="I427" s="22" t="e">
        <f t="shared" si="25"/>
        <v>#DIV/0!</v>
      </c>
    </row>
    <row r="428" spans="1:9" ht="47.25" hidden="1">
      <c r="A428" s="26" t="s">
        <v>184</v>
      </c>
      <c r="B428" s="17">
        <v>903</v>
      </c>
      <c r="C428" s="21" t="s">
        <v>350</v>
      </c>
      <c r="D428" s="21" t="s">
        <v>201</v>
      </c>
      <c r="E428" s="21" t="s">
        <v>915</v>
      </c>
      <c r="F428" s="21" t="s">
        <v>185</v>
      </c>
      <c r="G428" s="27">
        <v>0</v>
      </c>
      <c r="H428" s="27">
        <v>0</v>
      </c>
      <c r="I428" s="22" t="e">
        <f t="shared" si="25"/>
        <v>#DIV/0!</v>
      </c>
    </row>
    <row r="429" spans="1:9" ht="63" hidden="1">
      <c r="A429" s="26" t="s">
        <v>798</v>
      </c>
      <c r="B429" s="17">
        <v>903</v>
      </c>
      <c r="C429" s="21" t="s">
        <v>350</v>
      </c>
      <c r="D429" s="21" t="s">
        <v>201</v>
      </c>
      <c r="E429" s="21" t="s">
        <v>920</v>
      </c>
      <c r="F429" s="21"/>
      <c r="G429" s="27">
        <f>G430</f>
        <v>0</v>
      </c>
      <c r="H429" s="27">
        <f>H430</f>
        <v>0</v>
      </c>
      <c r="I429" s="22" t="e">
        <f t="shared" si="25"/>
        <v>#DIV/0!</v>
      </c>
    </row>
    <row r="430" spans="1:9" ht="31.5" hidden="1">
      <c r="A430" s="26" t="s">
        <v>182</v>
      </c>
      <c r="B430" s="17">
        <v>903</v>
      </c>
      <c r="C430" s="21" t="s">
        <v>350</v>
      </c>
      <c r="D430" s="21" t="s">
        <v>201</v>
      </c>
      <c r="E430" s="21" t="s">
        <v>920</v>
      </c>
      <c r="F430" s="21" t="s">
        <v>183</v>
      </c>
      <c r="G430" s="27">
        <f>G431</f>
        <v>0</v>
      </c>
      <c r="H430" s="27">
        <f>H431</f>
        <v>0</v>
      </c>
      <c r="I430" s="22" t="e">
        <f t="shared" si="25"/>
        <v>#DIV/0!</v>
      </c>
    </row>
    <row r="431" spans="1:9" ht="47.25" hidden="1">
      <c r="A431" s="26" t="s">
        <v>184</v>
      </c>
      <c r="B431" s="17">
        <v>903</v>
      </c>
      <c r="C431" s="21" t="s">
        <v>350</v>
      </c>
      <c r="D431" s="21" t="s">
        <v>201</v>
      </c>
      <c r="E431" s="21" t="s">
        <v>920</v>
      </c>
      <c r="F431" s="21" t="s">
        <v>185</v>
      </c>
      <c r="G431" s="27">
        <v>0</v>
      </c>
      <c r="H431" s="27">
        <v>0</v>
      </c>
      <c r="I431" s="22" t="e">
        <f t="shared" si="25"/>
        <v>#DIV/0!</v>
      </c>
    </row>
    <row r="432" spans="1:9" ht="31.5" hidden="1">
      <c r="A432" s="33" t="s">
        <v>919</v>
      </c>
      <c r="B432" s="17">
        <v>903</v>
      </c>
      <c r="C432" s="21" t="s">
        <v>350</v>
      </c>
      <c r="D432" s="21" t="s">
        <v>201</v>
      </c>
      <c r="E432" s="21" t="s">
        <v>916</v>
      </c>
      <c r="F432" s="21"/>
      <c r="G432" s="27">
        <f>G433</f>
        <v>0</v>
      </c>
      <c r="H432" s="27">
        <f>H433</f>
        <v>0</v>
      </c>
      <c r="I432" s="22" t="e">
        <f t="shared" si="25"/>
        <v>#DIV/0!</v>
      </c>
    </row>
    <row r="433" spans="1:9" ht="31.5" hidden="1">
      <c r="A433" s="26" t="s">
        <v>182</v>
      </c>
      <c r="B433" s="17">
        <v>903</v>
      </c>
      <c r="C433" s="21" t="s">
        <v>350</v>
      </c>
      <c r="D433" s="21" t="s">
        <v>201</v>
      </c>
      <c r="E433" s="21" t="s">
        <v>916</v>
      </c>
      <c r="F433" s="21" t="s">
        <v>183</v>
      </c>
      <c r="G433" s="27">
        <f>G434</f>
        <v>0</v>
      </c>
      <c r="H433" s="27">
        <f>H434</f>
        <v>0</v>
      </c>
      <c r="I433" s="22" t="e">
        <f t="shared" si="25"/>
        <v>#DIV/0!</v>
      </c>
    </row>
    <row r="434" spans="1:9" ht="47.25" hidden="1">
      <c r="A434" s="26" t="s">
        <v>184</v>
      </c>
      <c r="B434" s="17">
        <v>903</v>
      </c>
      <c r="C434" s="21" t="s">
        <v>350</v>
      </c>
      <c r="D434" s="21" t="s">
        <v>201</v>
      </c>
      <c r="E434" s="21" t="s">
        <v>916</v>
      </c>
      <c r="F434" s="21" t="s">
        <v>185</v>
      </c>
      <c r="G434" s="27">
        <v>0</v>
      </c>
      <c r="H434" s="27">
        <v>0</v>
      </c>
      <c r="I434" s="22" t="e">
        <f t="shared" si="25"/>
        <v>#DIV/0!</v>
      </c>
    </row>
    <row r="435" spans="1:9" ht="63" hidden="1">
      <c r="A435" s="31" t="s">
        <v>797</v>
      </c>
      <c r="B435" s="17">
        <v>903</v>
      </c>
      <c r="C435" s="21" t="s">
        <v>350</v>
      </c>
      <c r="D435" s="21" t="s">
        <v>201</v>
      </c>
      <c r="E435" s="21" t="s">
        <v>795</v>
      </c>
      <c r="F435" s="21"/>
      <c r="G435" s="27">
        <f aca="true" t="shared" si="26" ref="G435:H437">G436</f>
        <v>0</v>
      </c>
      <c r="H435" s="27">
        <f t="shared" si="26"/>
        <v>0</v>
      </c>
      <c r="I435" s="22" t="e">
        <f t="shared" si="25"/>
        <v>#DIV/0!</v>
      </c>
    </row>
    <row r="436" spans="1:9" ht="31.5" hidden="1">
      <c r="A436" s="26" t="s">
        <v>420</v>
      </c>
      <c r="B436" s="17">
        <v>903</v>
      </c>
      <c r="C436" s="21" t="s">
        <v>350</v>
      </c>
      <c r="D436" s="21" t="s">
        <v>201</v>
      </c>
      <c r="E436" s="21" t="s">
        <v>803</v>
      </c>
      <c r="F436" s="21"/>
      <c r="G436" s="27">
        <f t="shared" si="26"/>
        <v>0</v>
      </c>
      <c r="H436" s="27">
        <f t="shared" si="26"/>
        <v>0</v>
      </c>
      <c r="I436" s="22" t="e">
        <f t="shared" si="25"/>
        <v>#DIV/0!</v>
      </c>
    </row>
    <row r="437" spans="1:9" ht="31.5" hidden="1">
      <c r="A437" s="26" t="s">
        <v>182</v>
      </c>
      <c r="B437" s="17">
        <v>903</v>
      </c>
      <c r="C437" s="21" t="s">
        <v>350</v>
      </c>
      <c r="D437" s="21" t="s">
        <v>201</v>
      </c>
      <c r="E437" s="21" t="s">
        <v>803</v>
      </c>
      <c r="F437" s="21" t="s">
        <v>183</v>
      </c>
      <c r="G437" s="27">
        <f t="shared" si="26"/>
        <v>0</v>
      </c>
      <c r="H437" s="27">
        <f t="shared" si="26"/>
        <v>0</v>
      </c>
      <c r="I437" s="22" t="e">
        <f t="shared" si="25"/>
        <v>#DIV/0!</v>
      </c>
    </row>
    <row r="438" spans="1:9" ht="47.25" hidden="1">
      <c r="A438" s="26" t="s">
        <v>184</v>
      </c>
      <c r="B438" s="17">
        <v>903</v>
      </c>
      <c r="C438" s="21" t="s">
        <v>350</v>
      </c>
      <c r="D438" s="21" t="s">
        <v>201</v>
      </c>
      <c r="E438" s="21" t="s">
        <v>803</v>
      </c>
      <c r="F438" s="21" t="s">
        <v>185</v>
      </c>
      <c r="G438" s="27">
        <v>0</v>
      </c>
      <c r="H438" s="27">
        <v>0</v>
      </c>
      <c r="I438" s="22" t="e">
        <f t="shared" si="25"/>
        <v>#DIV/0!</v>
      </c>
    </row>
    <row r="439" spans="1:9" ht="15.75">
      <c r="A439" s="26" t="s">
        <v>172</v>
      </c>
      <c r="B439" s="17">
        <v>903</v>
      </c>
      <c r="C439" s="21" t="s">
        <v>350</v>
      </c>
      <c r="D439" s="21" t="s">
        <v>201</v>
      </c>
      <c r="E439" s="21" t="s">
        <v>173</v>
      </c>
      <c r="F439" s="21"/>
      <c r="G439" s="27">
        <f>G440+G446</f>
        <v>18285.7</v>
      </c>
      <c r="H439" s="27">
        <f>H440+H446</f>
        <v>18284.9</v>
      </c>
      <c r="I439" s="27">
        <f t="shared" si="25"/>
        <v>99.99562499658204</v>
      </c>
    </row>
    <row r="440" spans="1:9" ht="31.5">
      <c r="A440" s="26" t="s">
        <v>174</v>
      </c>
      <c r="B440" s="17">
        <v>903</v>
      </c>
      <c r="C440" s="21" t="s">
        <v>350</v>
      </c>
      <c r="D440" s="21" t="s">
        <v>201</v>
      </c>
      <c r="E440" s="21" t="s">
        <v>175</v>
      </c>
      <c r="F440" s="21"/>
      <c r="G440" s="27">
        <f>G441</f>
        <v>8162</v>
      </c>
      <c r="H440" s="27">
        <f>H441</f>
        <v>8161.5</v>
      </c>
      <c r="I440" s="27">
        <f t="shared" si="25"/>
        <v>99.99387405047783</v>
      </c>
    </row>
    <row r="441" spans="1:9" ht="47.25">
      <c r="A441" s="26" t="s">
        <v>176</v>
      </c>
      <c r="B441" s="17">
        <v>903</v>
      </c>
      <c r="C441" s="21" t="s">
        <v>350</v>
      </c>
      <c r="D441" s="21" t="s">
        <v>201</v>
      </c>
      <c r="E441" s="21" t="s">
        <v>177</v>
      </c>
      <c r="F441" s="21"/>
      <c r="G441" s="27">
        <f>G442+G444</f>
        <v>8162</v>
      </c>
      <c r="H441" s="27">
        <f>H442+H444</f>
        <v>8161.5</v>
      </c>
      <c r="I441" s="27">
        <f t="shared" si="25"/>
        <v>99.99387405047783</v>
      </c>
    </row>
    <row r="442" spans="1:9" ht="94.5">
      <c r="A442" s="26" t="s">
        <v>178</v>
      </c>
      <c r="B442" s="17">
        <v>903</v>
      </c>
      <c r="C442" s="21" t="s">
        <v>350</v>
      </c>
      <c r="D442" s="21" t="s">
        <v>201</v>
      </c>
      <c r="E442" s="21" t="s">
        <v>177</v>
      </c>
      <c r="F442" s="21" t="s">
        <v>179</v>
      </c>
      <c r="G442" s="27">
        <f>G443</f>
        <v>8162</v>
      </c>
      <c r="H442" s="27">
        <f>H443</f>
        <v>8161.5</v>
      </c>
      <c r="I442" s="27">
        <f t="shared" si="25"/>
        <v>99.99387405047783</v>
      </c>
    </row>
    <row r="443" spans="1:9" ht="31.5">
      <c r="A443" s="26" t="s">
        <v>180</v>
      </c>
      <c r="B443" s="17">
        <v>903</v>
      </c>
      <c r="C443" s="21" t="s">
        <v>350</v>
      </c>
      <c r="D443" s="21" t="s">
        <v>201</v>
      </c>
      <c r="E443" s="21" t="s">
        <v>177</v>
      </c>
      <c r="F443" s="21" t="s">
        <v>181</v>
      </c>
      <c r="G443" s="28">
        <f>6254.9+24+201+1233.5+418.5-85.4+93.3+22.2</f>
        <v>8162</v>
      </c>
      <c r="H443" s="28">
        <v>8161.5</v>
      </c>
      <c r="I443" s="27">
        <f t="shared" si="25"/>
        <v>99.99387405047783</v>
      </c>
    </row>
    <row r="444" spans="1:9" ht="31.5" customHeight="1" hidden="1">
      <c r="A444" s="26" t="s">
        <v>182</v>
      </c>
      <c r="B444" s="17">
        <v>903</v>
      </c>
      <c r="C444" s="21" t="s">
        <v>350</v>
      </c>
      <c r="D444" s="21" t="s">
        <v>201</v>
      </c>
      <c r="E444" s="21" t="s">
        <v>177</v>
      </c>
      <c r="F444" s="21" t="s">
        <v>183</v>
      </c>
      <c r="G444" s="27">
        <f>G445</f>
        <v>0</v>
      </c>
      <c r="H444" s="27">
        <f>H445</f>
        <v>0</v>
      </c>
      <c r="I444" s="27" t="e">
        <f t="shared" si="25"/>
        <v>#DIV/0!</v>
      </c>
    </row>
    <row r="445" spans="1:9" ht="47.25" customHeight="1" hidden="1">
      <c r="A445" s="26" t="s">
        <v>184</v>
      </c>
      <c r="B445" s="17">
        <v>903</v>
      </c>
      <c r="C445" s="21" t="s">
        <v>350</v>
      </c>
      <c r="D445" s="21" t="s">
        <v>201</v>
      </c>
      <c r="E445" s="21" t="s">
        <v>177</v>
      </c>
      <c r="F445" s="21" t="s">
        <v>185</v>
      </c>
      <c r="G445" s="27">
        <v>0</v>
      </c>
      <c r="H445" s="27">
        <v>0</v>
      </c>
      <c r="I445" s="27" t="e">
        <f t="shared" si="25"/>
        <v>#DIV/0!</v>
      </c>
    </row>
    <row r="446" spans="1:9" ht="15.75">
      <c r="A446" s="26" t="s">
        <v>192</v>
      </c>
      <c r="B446" s="17">
        <v>903</v>
      </c>
      <c r="C446" s="21" t="s">
        <v>350</v>
      </c>
      <c r="D446" s="21" t="s">
        <v>201</v>
      </c>
      <c r="E446" s="21" t="s">
        <v>193</v>
      </c>
      <c r="F446" s="21"/>
      <c r="G446" s="27">
        <f>G447</f>
        <v>10123.7</v>
      </c>
      <c r="H446" s="27">
        <f>H447</f>
        <v>10123.400000000001</v>
      </c>
      <c r="I446" s="27">
        <f t="shared" si="25"/>
        <v>99.99703665655838</v>
      </c>
    </row>
    <row r="447" spans="1:18" ht="31.5">
      <c r="A447" s="26" t="s">
        <v>391</v>
      </c>
      <c r="B447" s="17">
        <v>903</v>
      </c>
      <c r="C447" s="21" t="s">
        <v>350</v>
      </c>
      <c r="D447" s="21" t="s">
        <v>201</v>
      </c>
      <c r="E447" s="21" t="s">
        <v>392</v>
      </c>
      <c r="F447" s="21"/>
      <c r="G447" s="27">
        <f>G448+G450+G452</f>
        <v>10123.7</v>
      </c>
      <c r="H447" s="27">
        <f>H448+H450+H452</f>
        <v>10123.400000000001</v>
      </c>
      <c r="I447" s="27">
        <f t="shared" si="25"/>
        <v>99.99703665655838</v>
      </c>
      <c r="Q447" s="305"/>
      <c r="R447" s="306"/>
    </row>
    <row r="448" spans="1:18" ht="94.5">
      <c r="A448" s="26" t="s">
        <v>178</v>
      </c>
      <c r="B448" s="17">
        <v>903</v>
      </c>
      <c r="C448" s="21" t="s">
        <v>350</v>
      </c>
      <c r="D448" s="21" t="s">
        <v>201</v>
      </c>
      <c r="E448" s="21" t="s">
        <v>392</v>
      </c>
      <c r="F448" s="21" t="s">
        <v>179</v>
      </c>
      <c r="G448" s="27">
        <f>G449</f>
        <v>8832.800000000001</v>
      </c>
      <c r="H448" s="27">
        <f>H449</f>
        <v>8832.7</v>
      </c>
      <c r="I448" s="27">
        <f t="shared" si="25"/>
        <v>99.99886785617245</v>
      </c>
      <c r="R448" s="307"/>
    </row>
    <row r="449" spans="1:10" ht="31.5">
      <c r="A449" s="26" t="s">
        <v>393</v>
      </c>
      <c r="B449" s="17">
        <v>903</v>
      </c>
      <c r="C449" s="21" t="s">
        <v>350</v>
      </c>
      <c r="D449" s="21" t="s">
        <v>201</v>
      </c>
      <c r="E449" s="21" t="s">
        <v>392</v>
      </c>
      <c r="F449" s="21" t="s">
        <v>260</v>
      </c>
      <c r="G449" s="28">
        <f>8596.3-84.9+210-24-300.8+302.1-170.4+252.4+52.1</f>
        <v>8832.800000000001</v>
      </c>
      <c r="H449" s="28">
        <v>8832.7</v>
      </c>
      <c r="I449" s="27">
        <f t="shared" si="25"/>
        <v>99.99886785617245</v>
      </c>
      <c r="J449" s="297"/>
    </row>
    <row r="450" spans="1:9" ht="31.5">
      <c r="A450" s="26" t="s">
        <v>182</v>
      </c>
      <c r="B450" s="17">
        <v>903</v>
      </c>
      <c r="C450" s="21" t="s">
        <v>350</v>
      </c>
      <c r="D450" s="21" t="s">
        <v>201</v>
      </c>
      <c r="E450" s="21" t="s">
        <v>392</v>
      </c>
      <c r="F450" s="21" t="s">
        <v>183</v>
      </c>
      <c r="G450" s="27">
        <f>G451</f>
        <v>1280.1</v>
      </c>
      <c r="H450" s="27">
        <f>H451</f>
        <v>1280.1</v>
      </c>
      <c r="I450" s="27">
        <f t="shared" si="25"/>
        <v>100</v>
      </c>
    </row>
    <row r="451" spans="1:18" ht="47.25">
      <c r="A451" s="26" t="s">
        <v>184</v>
      </c>
      <c r="B451" s="17">
        <v>903</v>
      </c>
      <c r="C451" s="21" t="s">
        <v>350</v>
      </c>
      <c r="D451" s="21" t="s">
        <v>201</v>
      </c>
      <c r="E451" s="21" t="s">
        <v>392</v>
      </c>
      <c r="F451" s="21" t="s">
        <v>185</v>
      </c>
      <c r="G451" s="28">
        <f>1636.1-201-155</f>
        <v>1280.1</v>
      </c>
      <c r="H451" s="28">
        <v>1280.1</v>
      </c>
      <c r="I451" s="27">
        <f t="shared" si="25"/>
        <v>100</v>
      </c>
      <c r="Q451" s="305"/>
      <c r="R451" s="306"/>
    </row>
    <row r="452" spans="1:9" ht="15.75">
      <c r="A452" s="26" t="s">
        <v>186</v>
      </c>
      <c r="B452" s="17">
        <v>903</v>
      </c>
      <c r="C452" s="21" t="s">
        <v>350</v>
      </c>
      <c r="D452" s="21" t="s">
        <v>201</v>
      </c>
      <c r="E452" s="21" t="s">
        <v>392</v>
      </c>
      <c r="F452" s="21" t="s">
        <v>196</v>
      </c>
      <c r="G452" s="27">
        <f>G453</f>
        <v>10.8</v>
      </c>
      <c r="H452" s="27">
        <f>H453</f>
        <v>10.6</v>
      </c>
      <c r="I452" s="27">
        <f t="shared" si="25"/>
        <v>98.14814814814814</v>
      </c>
    </row>
    <row r="453" spans="1:17" ht="15.75">
      <c r="A453" s="26" t="s">
        <v>620</v>
      </c>
      <c r="B453" s="17">
        <v>903</v>
      </c>
      <c r="C453" s="21" t="s">
        <v>350</v>
      </c>
      <c r="D453" s="21" t="s">
        <v>201</v>
      </c>
      <c r="E453" s="21" t="s">
        <v>392</v>
      </c>
      <c r="F453" s="21" t="s">
        <v>189</v>
      </c>
      <c r="G453" s="27">
        <f>20-5-4.2</f>
        <v>10.8</v>
      </c>
      <c r="H453" s="27">
        <v>10.6</v>
      </c>
      <c r="I453" s="27">
        <f t="shared" si="25"/>
        <v>98.14814814814814</v>
      </c>
      <c r="Q453" s="305"/>
    </row>
    <row r="454" spans="1:9" ht="15.75">
      <c r="A454" s="24" t="s">
        <v>294</v>
      </c>
      <c r="B454" s="20">
        <v>903</v>
      </c>
      <c r="C454" s="25" t="s">
        <v>295</v>
      </c>
      <c r="D454" s="25"/>
      <c r="E454" s="25"/>
      <c r="F454" s="25"/>
      <c r="G454" s="22">
        <f>G455</f>
        <v>4342.7</v>
      </c>
      <c r="H454" s="22">
        <f>H455</f>
        <v>3770.6000000000004</v>
      </c>
      <c r="I454" s="22">
        <f t="shared" si="25"/>
        <v>86.82616805213348</v>
      </c>
    </row>
    <row r="455" spans="1:13" ht="15.75">
      <c r="A455" s="24" t="s">
        <v>303</v>
      </c>
      <c r="B455" s="20">
        <v>903</v>
      </c>
      <c r="C455" s="25" t="s">
        <v>295</v>
      </c>
      <c r="D455" s="25" t="s">
        <v>266</v>
      </c>
      <c r="E455" s="25"/>
      <c r="F455" s="25"/>
      <c r="G455" s="22">
        <f>G456+G512</f>
        <v>4342.7</v>
      </c>
      <c r="H455" s="22">
        <f>H456+H512</f>
        <v>3770.6000000000004</v>
      </c>
      <c r="I455" s="22">
        <f t="shared" si="25"/>
        <v>86.82616805213348</v>
      </c>
      <c r="J455" s="209"/>
      <c r="K455" s="281"/>
      <c r="L455" s="281"/>
      <c r="M455" s="281"/>
    </row>
    <row r="456" spans="1:15" ht="47.25">
      <c r="A456" s="26" t="s">
        <v>394</v>
      </c>
      <c r="B456" s="17">
        <v>903</v>
      </c>
      <c r="C456" s="21" t="s">
        <v>295</v>
      </c>
      <c r="D456" s="21" t="s">
        <v>266</v>
      </c>
      <c r="E456" s="21" t="s">
        <v>395</v>
      </c>
      <c r="F456" s="21"/>
      <c r="G456" s="27">
        <f>G457+G468+G472+G476+G482+G486+G490+G508</f>
        <v>4342.7</v>
      </c>
      <c r="H456" s="27">
        <f>H457+H468+H472+H476+H482+H486+H490+H508</f>
        <v>3770.6000000000004</v>
      </c>
      <c r="I456" s="27">
        <f t="shared" si="25"/>
        <v>86.82616805213348</v>
      </c>
      <c r="J456" s="247"/>
      <c r="K456" s="248"/>
      <c r="L456" s="248"/>
      <c r="N456" s="281"/>
      <c r="O456" s="281"/>
    </row>
    <row r="457" spans="1:9" ht="31.5">
      <c r="A457" s="26" t="s">
        <v>396</v>
      </c>
      <c r="B457" s="17">
        <v>903</v>
      </c>
      <c r="C457" s="21" t="s">
        <v>295</v>
      </c>
      <c r="D457" s="21" t="s">
        <v>266</v>
      </c>
      <c r="E457" s="21" t="s">
        <v>397</v>
      </c>
      <c r="F457" s="21"/>
      <c r="G457" s="27">
        <f>G458+G466</f>
        <v>927.2</v>
      </c>
      <c r="H457" s="27">
        <f>H458+H466</f>
        <v>920.7</v>
      </c>
      <c r="I457" s="27">
        <f t="shared" si="25"/>
        <v>99.29896462467644</v>
      </c>
    </row>
    <row r="458" spans="1:9" ht="31.5">
      <c r="A458" s="26" t="s">
        <v>208</v>
      </c>
      <c r="B458" s="17">
        <v>903</v>
      </c>
      <c r="C458" s="21" t="s">
        <v>295</v>
      </c>
      <c r="D458" s="21" t="s">
        <v>266</v>
      </c>
      <c r="E458" s="21" t="s">
        <v>398</v>
      </c>
      <c r="F458" s="21"/>
      <c r="G458" s="27">
        <f>G461+G460+G463</f>
        <v>658.6</v>
      </c>
      <c r="H458" s="27">
        <f>H461+H460+H463</f>
        <v>658.6</v>
      </c>
      <c r="I458" s="27">
        <f t="shared" si="25"/>
        <v>100</v>
      </c>
    </row>
    <row r="459" spans="1:9" ht="94.5">
      <c r="A459" s="26" t="s">
        <v>178</v>
      </c>
      <c r="B459" s="17">
        <v>903</v>
      </c>
      <c r="C459" s="21" t="s">
        <v>295</v>
      </c>
      <c r="D459" s="21" t="s">
        <v>266</v>
      </c>
      <c r="E459" s="21" t="s">
        <v>398</v>
      </c>
      <c r="F459" s="21" t="s">
        <v>179</v>
      </c>
      <c r="G459" s="27">
        <f>G460</f>
        <v>58</v>
      </c>
      <c r="H459" s="27">
        <f>H460</f>
        <v>58</v>
      </c>
      <c r="I459" s="27">
        <f aca="true" t="shared" si="27" ref="I459:I522">H459/G459*100</f>
        <v>100</v>
      </c>
    </row>
    <row r="460" spans="1:9" ht="31.5">
      <c r="A460" s="26" t="s">
        <v>393</v>
      </c>
      <c r="B460" s="17">
        <v>903</v>
      </c>
      <c r="C460" s="21" t="s">
        <v>295</v>
      </c>
      <c r="D460" s="21" t="s">
        <v>266</v>
      </c>
      <c r="E460" s="21" t="s">
        <v>398</v>
      </c>
      <c r="F460" s="21" t="s">
        <v>260</v>
      </c>
      <c r="G460" s="27">
        <f>40+6+12</f>
        <v>58</v>
      </c>
      <c r="H460" s="27">
        <v>58</v>
      </c>
      <c r="I460" s="27">
        <f t="shared" si="27"/>
        <v>100</v>
      </c>
    </row>
    <row r="461" spans="1:9" ht="31.5">
      <c r="A461" s="26" t="s">
        <v>182</v>
      </c>
      <c r="B461" s="17">
        <v>903</v>
      </c>
      <c r="C461" s="21" t="s">
        <v>295</v>
      </c>
      <c r="D461" s="21" t="s">
        <v>266</v>
      </c>
      <c r="E461" s="21" t="s">
        <v>398</v>
      </c>
      <c r="F461" s="21" t="s">
        <v>183</v>
      </c>
      <c r="G461" s="27">
        <f>G462</f>
        <v>575.6</v>
      </c>
      <c r="H461" s="27">
        <f>H462</f>
        <v>575.6</v>
      </c>
      <c r="I461" s="27">
        <f t="shared" si="27"/>
        <v>100</v>
      </c>
    </row>
    <row r="462" spans="1:9" ht="47.25">
      <c r="A462" s="26" t="s">
        <v>184</v>
      </c>
      <c r="B462" s="17">
        <v>903</v>
      </c>
      <c r="C462" s="21" t="s">
        <v>295</v>
      </c>
      <c r="D462" s="21" t="s">
        <v>266</v>
      </c>
      <c r="E462" s="21" t="s">
        <v>398</v>
      </c>
      <c r="F462" s="21" t="s">
        <v>185</v>
      </c>
      <c r="G462" s="27">
        <f>706.4-40-50-6-47-12+24.2</f>
        <v>575.6</v>
      </c>
      <c r="H462" s="27">
        <v>575.6</v>
      </c>
      <c r="I462" s="27">
        <f t="shared" si="27"/>
        <v>100</v>
      </c>
    </row>
    <row r="463" spans="1:9" ht="31.5">
      <c r="A463" s="26" t="s">
        <v>299</v>
      </c>
      <c r="B463" s="17">
        <v>903</v>
      </c>
      <c r="C463" s="21" t="s">
        <v>295</v>
      </c>
      <c r="D463" s="21" t="s">
        <v>266</v>
      </c>
      <c r="E463" s="21" t="s">
        <v>398</v>
      </c>
      <c r="F463" s="21" t="s">
        <v>300</v>
      </c>
      <c r="G463" s="27">
        <f>G464</f>
        <v>25</v>
      </c>
      <c r="H463" s="27">
        <f>H464</f>
        <v>25</v>
      </c>
      <c r="I463" s="27">
        <f t="shared" si="27"/>
        <v>100</v>
      </c>
    </row>
    <row r="464" spans="1:9" ht="31.5">
      <c r="A464" s="26" t="s">
        <v>399</v>
      </c>
      <c r="B464" s="17">
        <v>903</v>
      </c>
      <c r="C464" s="21" t="s">
        <v>295</v>
      </c>
      <c r="D464" s="21" t="s">
        <v>266</v>
      </c>
      <c r="E464" s="21" t="s">
        <v>398</v>
      </c>
      <c r="F464" s="21" t="s">
        <v>400</v>
      </c>
      <c r="G464" s="27">
        <v>25</v>
      </c>
      <c r="H464" s="27">
        <v>25</v>
      </c>
      <c r="I464" s="27">
        <f t="shared" si="27"/>
        <v>100</v>
      </c>
    </row>
    <row r="465" spans="1:9" ht="31.5">
      <c r="A465" s="26" t="s">
        <v>401</v>
      </c>
      <c r="B465" s="17">
        <v>903</v>
      </c>
      <c r="C465" s="21" t="s">
        <v>295</v>
      </c>
      <c r="D465" s="21" t="s">
        <v>266</v>
      </c>
      <c r="E465" s="21" t="s">
        <v>402</v>
      </c>
      <c r="F465" s="21"/>
      <c r="G465" s="27">
        <f>G466</f>
        <v>268.6</v>
      </c>
      <c r="H465" s="27">
        <f>H466</f>
        <v>262.1</v>
      </c>
      <c r="I465" s="27">
        <f t="shared" si="27"/>
        <v>97.58004467609828</v>
      </c>
    </row>
    <row r="466" spans="1:9" ht="47.25">
      <c r="A466" s="26" t="s">
        <v>323</v>
      </c>
      <c r="B466" s="17">
        <v>903</v>
      </c>
      <c r="C466" s="21" t="s">
        <v>295</v>
      </c>
      <c r="D466" s="21" t="s">
        <v>266</v>
      </c>
      <c r="E466" s="21" t="s">
        <v>402</v>
      </c>
      <c r="F466" s="21" t="s">
        <v>324</v>
      </c>
      <c r="G466" s="27">
        <f>G467</f>
        <v>268.6</v>
      </c>
      <c r="H466" s="27">
        <f>H467</f>
        <v>262.1</v>
      </c>
      <c r="I466" s="27">
        <f t="shared" si="27"/>
        <v>97.58004467609828</v>
      </c>
    </row>
    <row r="467" spans="1:9" ht="15.75">
      <c r="A467" s="26" t="s">
        <v>325</v>
      </c>
      <c r="B467" s="17">
        <v>903</v>
      </c>
      <c r="C467" s="21" t="s">
        <v>295</v>
      </c>
      <c r="D467" s="21" t="s">
        <v>266</v>
      </c>
      <c r="E467" s="21" t="s">
        <v>402</v>
      </c>
      <c r="F467" s="21" t="s">
        <v>326</v>
      </c>
      <c r="G467" s="27">
        <f>160.5+108.1</f>
        <v>268.6</v>
      </c>
      <c r="H467" s="27">
        <v>262.1</v>
      </c>
      <c r="I467" s="27">
        <f t="shared" si="27"/>
        <v>97.58004467609828</v>
      </c>
    </row>
    <row r="468" spans="1:9" ht="31.5">
      <c r="A468" s="26" t="s">
        <v>403</v>
      </c>
      <c r="B468" s="17">
        <v>903</v>
      </c>
      <c r="C468" s="21" t="s">
        <v>295</v>
      </c>
      <c r="D468" s="21" t="s">
        <v>266</v>
      </c>
      <c r="E468" s="21" t="s">
        <v>404</v>
      </c>
      <c r="F468" s="21"/>
      <c r="G468" s="27">
        <f aca="true" t="shared" si="28" ref="G468:H470">G469</f>
        <v>921.1000000000001</v>
      </c>
      <c r="H468" s="27">
        <f t="shared" si="28"/>
        <v>724.5</v>
      </c>
      <c r="I468" s="27">
        <f t="shared" si="27"/>
        <v>78.65595483660839</v>
      </c>
    </row>
    <row r="469" spans="1:9" ht="47.25">
      <c r="A469" s="26" t="s">
        <v>981</v>
      </c>
      <c r="B469" s="17">
        <v>903</v>
      </c>
      <c r="C469" s="21" t="s">
        <v>295</v>
      </c>
      <c r="D469" s="21" t="s">
        <v>266</v>
      </c>
      <c r="E469" s="21" t="s">
        <v>1027</v>
      </c>
      <c r="F469" s="21"/>
      <c r="G469" s="27">
        <f t="shared" si="28"/>
        <v>921.1000000000001</v>
      </c>
      <c r="H469" s="27">
        <f t="shared" si="28"/>
        <v>724.5</v>
      </c>
      <c r="I469" s="27">
        <f t="shared" si="27"/>
        <v>78.65595483660839</v>
      </c>
    </row>
    <row r="470" spans="1:9" ht="31.5">
      <c r="A470" s="26" t="s">
        <v>299</v>
      </c>
      <c r="B470" s="17">
        <v>903</v>
      </c>
      <c r="C470" s="21" t="s">
        <v>295</v>
      </c>
      <c r="D470" s="21" t="s">
        <v>266</v>
      </c>
      <c r="E470" s="21" t="s">
        <v>1027</v>
      </c>
      <c r="F470" s="21" t="s">
        <v>300</v>
      </c>
      <c r="G470" s="27">
        <f t="shared" si="28"/>
        <v>921.1000000000001</v>
      </c>
      <c r="H470" s="27">
        <f t="shared" si="28"/>
        <v>724.5</v>
      </c>
      <c r="I470" s="27">
        <f t="shared" si="27"/>
        <v>78.65595483660839</v>
      </c>
    </row>
    <row r="471" spans="1:9" ht="31.5">
      <c r="A471" s="26" t="s">
        <v>301</v>
      </c>
      <c r="B471" s="17">
        <v>903</v>
      </c>
      <c r="C471" s="21" t="s">
        <v>295</v>
      </c>
      <c r="D471" s="21" t="s">
        <v>266</v>
      </c>
      <c r="E471" s="21" t="s">
        <v>1027</v>
      </c>
      <c r="F471" s="21" t="s">
        <v>302</v>
      </c>
      <c r="G471" s="27">
        <f>148.4-30.7+620.6+182.8</f>
        <v>921.1000000000001</v>
      </c>
      <c r="H471" s="27">
        <v>724.5</v>
      </c>
      <c r="I471" s="27">
        <f t="shared" si="27"/>
        <v>78.65595483660839</v>
      </c>
    </row>
    <row r="472" spans="1:9" ht="31.5">
      <c r="A472" s="26" t="s">
        <v>406</v>
      </c>
      <c r="B472" s="17">
        <v>903</v>
      </c>
      <c r="C472" s="17">
        <v>10</v>
      </c>
      <c r="D472" s="21" t="s">
        <v>266</v>
      </c>
      <c r="E472" s="21" t="s">
        <v>407</v>
      </c>
      <c r="F472" s="21"/>
      <c r="G472" s="27">
        <f aca="true" t="shared" si="29" ref="G472:H474">G473</f>
        <v>420</v>
      </c>
      <c r="H472" s="27">
        <f t="shared" si="29"/>
        <v>400</v>
      </c>
      <c r="I472" s="27">
        <f t="shared" si="27"/>
        <v>95.23809523809523</v>
      </c>
    </row>
    <row r="473" spans="1:9" ht="31.5">
      <c r="A473" s="26" t="s">
        <v>208</v>
      </c>
      <c r="B473" s="17">
        <v>903</v>
      </c>
      <c r="C473" s="21" t="s">
        <v>295</v>
      </c>
      <c r="D473" s="21" t="s">
        <v>266</v>
      </c>
      <c r="E473" s="21" t="s">
        <v>408</v>
      </c>
      <c r="F473" s="21"/>
      <c r="G473" s="27">
        <f t="shared" si="29"/>
        <v>420</v>
      </c>
      <c r="H473" s="27">
        <f t="shared" si="29"/>
        <v>400</v>
      </c>
      <c r="I473" s="27">
        <f t="shared" si="27"/>
        <v>95.23809523809523</v>
      </c>
    </row>
    <row r="474" spans="1:9" ht="31.5">
      <c r="A474" s="26" t="s">
        <v>299</v>
      </c>
      <c r="B474" s="17">
        <v>903</v>
      </c>
      <c r="C474" s="21" t="s">
        <v>295</v>
      </c>
      <c r="D474" s="21" t="s">
        <v>266</v>
      </c>
      <c r="E474" s="21" t="s">
        <v>408</v>
      </c>
      <c r="F474" s="21" t="s">
        <v>300</v>
      </c>
      <c r="G474" s="27">
        <f t="shared" si="29"/>
        <v>420</v>
      </c>
      <c r="H474" s="27">
        <f t="shared" si="29"/>
        <v>400</v>
      </c>
      <c r="I474" s="27">
        <f t="shared" si="27"/>
        <v>95.23809523809523</v>
      </c>
    </row>
    <row r="475" spans="1:9" ht="31.5">
      <c r="A475" s="26" t="s">
        <v>399</v>
      </c>
      <c r="B475" s="17">
        <v>903</v>
      </c>
      <c r="C475" s="21" t="s">
        <v>295</v>
      </c>
      <c r="D475" s="21" t="s">
        <v>266</v>
      </c>
      <c r="E475" s="21" t="s">
        <v>408</v>
      </c>
      <c r="F475" s="21" t="s">
        <v>400</v>
      </c>
      <c r="G475" s="27">
        <v>420</v>
      </c>
      <c r="H475" s="27">
        <v>400</v>
      </c>
      <c r="I475" s="27">
        <f t="shared" si="27"/>
        <v>95.23809523809523</v>
      </c>
    </row>
    <row r="476" spans="1:9" ht="15.75">
      <c r="A476" s="26" t="s">
        <v>409</v>
      </c>
      <c r="B476" s="17">
        <v>903</v>
      </c>
      <c r="C476" s="17">
        <v>10</v>
      </c>
      <c r="D476" s="21" t="s">
        <v>266</v>
      </c>
      <c r="E476" s="21" t="s">
        <v>410</v>
      </c>
      <c r="F476" s="21"/>
      <c r="G476" s="27">
        <f>G477</f>
        <v>1368.6</v>
      </c>
      <c r="H476" s="27">
        <f>H477</f>
        <v>1128.6</v>
      </c>
      <c r="I476" s="27">
        <f t="shared" si="27"/>
        <v>82.46383165278387</v>
      </c>
    </row>
    <row r="477" spans="1:9" ht="31.5">
      <c r="A477" s="26" t="s">
        <v>208</v>
      </c>
      <c r="B477" s="17">
        <v>903</v>
      </c>
      <c r="C477" s="21" t="s">
        <v>295</v>
      </c>
      <c r="D477" s="21" t="s">
        <v>266</v>
      </c>
      <c r="E477" s="21" t="s">
        <v>411</v>
      </c>
      <c r="F477" s="21"/>
      <c r="G477" s="27">
        <f>G478+G480</f>
        <v>1368.6</v>
      </c>
      <c r="H477" s="27">
        <f>H478+H480</f>
        <v>1128.6</v>
      </c>
      <c r="I477" s="27">
        <f t="shared" si="27"/>
        <v>82.46383165278387</v>
      </c>
    </row>
    <row r="478" spans="1:9" ht="31.5">
      <c r="A478" s="26" t="s">
        <v>182</v>
      </c>
      <c r="B478" s="17">
        <v>903</v>
      </c>
      <c r="C478" s="21" t="s">
        <v>295</v>
      </c>
      <c r="D478" s="21" t="s">
        <v>266</v>
      </c>
      <c r="E478" s="21" t="s">
        <v>411</v>
      </c>
      <c r="F478" s="21" t="s">
        <v>183</v>
      </c>
      <c r="G478" s="27">
        <f>G479</f>
        <v>273.6</v>
      </c>
      <c r="H478" s="27">
        <f>H479</f>
        <v>174.6</v>
      </c>
      <c r="I478" s="27">
        <f t="shared" si="27"/>
        <v>63.815789473684205</v>
      </c>
    </row>
    <row r="479" spans="1:9" ht="47.25">
      <c r="A479" s="26" t="s">
        <v>184</v>
      </c>
      <c r="B479" s="17">
        <v>903</v>
      </c>
      <c r="C479" s="21" t="s">
        <v>295</v>
      </c>
      <c r="D479" s="21" t="s">
        <v>266</v>
      </c>
      <c r="E479" s="21" t="s">
        <v>411</v>
      </c>
      <c r="F479" s="21" t="s">
        <v>185</v>
      </c>
      <c r="G479" s="27">
        <f>456.6-183</f>
        <v>273.6</v>
      </c>
      <c r="H479" s="27">
        <v>174.6</v>
      </c>
      <c r="I479" s="27">
        <f t="shared" si="27"/>
        <v>63.815789473684205</v>
      </c>
    </row>
    <row r="480" spans="1:9" ht="31.5">
      <c r="A480" s="26" t="s">
        <v>299</v>
      </c>
      <c r="B480" s="17">
        <v>903</v>
      </c>
      <c r="C480" s="21" t="s">
        <v>295</v>
      </c>
      <c r="D480" s="21" t="s">
        <v>266</v>
      </c>
      <c r="E480" s="21" t="s">
        <v>411</v>
      </c>
      <c r="F480" s="21" t="s">
        <v>300</v>
      </c>
      <c r="G480" s="27">
        <f>G481</f>
        <v>1095</v>
      </c>
      <c r="H480" s="27">
        <f>H481</f>
        <v>954</v>
      </c>
      <c r="I480" s="27">
        <f t="shared" si="27"/>
        <v>87.12328767123287</v>
      </c>
    </row>
    <row r="481" spans="1:9" ht="31.5">
      <c r="A481" s="26" t="s">
        <v>399</v>
      </c>
      <c r="B481" s="17">
        <v>903</v>
      </c>
      <c r="C481" s="21" t="s">
        <v>295</v>
      </c>
      <c r="D481" s="21" t="s">
        <v>266</v>
      </c>
      <c r="E481" s="21" t="s">
        <v>411</v>
      </c>
      <c r="F481" s="21" t="s">
        <v>400</v>
      </c>
      <c r="G481" s="27">
        <f>1048+47</f>
        <v>1095</v>
      </c>
      <c r="H481" s="27">
        <v>954</v>
      </c>
      <c r="I481" s="27">
        <f t="shared" si="27"/>
        <v>87.12328767123287</v>
      </c>
    </row>
    <row r="482" spans="1:9" ht="37.5" customHeight="1">
      <c r="A482" s="26" t="s">
        <v>412</v>
      </c>
      <c r="B482" s="17">
        <v>903</v>
      </c>
      <c r="C482" s="21" t="s">
        <v>295</v>
      </c>
      <c r="D482" s="21" t="s">
        <v>266</v>
      </c>
      <c r="E482" s="21" t="s">
        <v>413</v>
      </c>
      <c r="F482" s="21"/>
      <c r="G482" s="27">
        <f aca="true" t="shared" si="30" ref="G482:H484">G483</f>
        <v>271.9</v>
      </c>
      <c r="H482" s="27">
        <f t="shared" si="30"/>
        <v>271.9</v>
      </c>
      <c r="I482" s="27">
        <f t="shared" si="27"/>
        <v>100</v>
      </c>
    </row>
    <row r="483" spans="1:9" ht="31.5">
      <c r="A483" s="26" t="s">
        <v>208</v>
      </c>
      <c r="B483" s="17">
        <v>903</v>
      </c>
      <c r="C483" s="21" t="s">
        <v>295</v>
      </c>
      <c r="D483" s="21" t="s">
        <v>266</v>
      </c>
      <c r="E483" s="21" t="s">
        <v>414</v>
      </c>
      <c r="F483" s="21"/>
      <c r="G483" s="27">
        <f t="shared" si="30"/>
        <v>271.9</v>
      </c>
      <c r="H483" s="27">
        <f t="shared" si="30"/>
        <v>271.9</v>
      </c>
      <c r="I483" s="27">
        <f t="shared" si="27"/>
        <v>100</v>
      </c>
    </row>
    <row r="484" spans="1:9" ht="31.5">
      <c r="A484" s="26" t="s">
        <v>299</v>
      </c>
      <c r="B484" s="17">
        <v>903</v>
      </c>
      <c r="C484" s="21" t="s">
        <v>295</v>
      </c>
      <c r="D484" s="21" t="s">
        <v>266</v>
      </c>
      <c r="E484" s="21" t="s">
        <v>414</v>
      </c>
      <c r="F484" s="21" t="s">
        <v>300</v>
      </c>
      <c r="G484" s="27">
        <f t="shared" si="30"/>
        <v>271.9</v>
      </c>
      <c r="H484" s="27">
        <f t="shared" si="30"/>
        <v>271.9</v>
      </c>
      <c r="I484" s="27">
        <f t="shared" si="27"/>
        <v>100</v>
      </c>
    </row>
    <row r="485" spans="1:9" ht="31.5">
      <c r="A485" s="26" t="s">
        <v>399</v>
      </c>
      <c r="B485" s="17">
        <v>903</v>
      </c>
      <c r="C485" s="21" t="s">
        <v>295</v>
      </c>
      <c r="D485" s="21" t="s">
        <v>266</v>
      </c>
      <c r="E485" s="21" t="s">
        <v>414</v>
      </c>
      <c r="F485" s="21" t="s">
        <v>400</v>
      </c>
      <c r="G485" s="27">
        <f>250+21.9</f>
        <v>271.9</v>
      </c>
      <c r="H485" s="27">
        <v>271.9</v>
      </c>
      <c r="I485" s="27">
        <f t="shared" si="27"/>
        <v>100</v>
      </c>
    </row>
    <row r="486" spans="1:9" ht="49.5" customHeight="1">
      <c r="A486" s="26" t="s">
        <v>415</v>
      </c>
      <c r="B486" s="17">
        <v>903</v>
      </c>
      <c r="C486" s="21" t="s">
        <v>295</v>
      </c>
      <c r="D486" s="21" t="s">
        <v>266</v>
      </c>
      <c r="E486" s="21" t="s">
        <v>416</v>
      </c>
      <c r="F486" s="21"/>
      <c r="G486" s="27">
        <f aca="true" t="shared" si="31" ref="G486:H488">G487</f>
        <v>260</v>
      </c>
      <c r="H486" s="27">
        <f t="shared" si="31"/>
        <v>192.3</v>
      </c>
      <c r="I486" s="27">
        <f t="shared" si="27"/>
        <v>73.96153846153847</v>
      </c>
    </row>
    <row r="487" spans="1:9" ht="31.5">
      <c r="A487" s="26" t="s">
        <v>208</v>
      </c>
      <c r="B487" s="17">
        <v>903</v>
      </c>
      <c r="C487" s="21" t="s">
        <v>295</v>
      </c>
      <c r="D487" s="21" t="s">
        <v>266</v>
      </c>
      <c r="E487" s="21" t="s">
        <v>417</v>
      </c>
      <c r="F487" s="21"/>
      <c r="G487" s="27">
        <f t="shared" si="31"/>
        <v>260</v>
      </c>
      <c r="H487" s="27">
        <f t="shared" si="31"/>
        <v>192.3</v>
      </c>
      <c r="I487" s="27">
        <f t="shared" si="27"/>
        <v>73.96153846153847</v>
      </c>
    </row>
    <row r="488" spans="1:9" ht="31.5">
      <c r="A488" s="26" t="s">
        <v>182</v>
      </c>
      <c r="B488" s="17">
        <v>903</v>
      </c>
      <c r="C488" s="21" t="s">
        <v>295</v>
      </c>
      <c r="D488" s="21" t="s">
        <v>266</v>
      </c>
      <c r="E488" s="21" t="s">
        <v>417</v>
      </c>
      <c r="F488" s="21" t="s">
        <v>183</v>
      </c>
      <c r="G488" s="27">
        <f t="shared" si="31"/>
        <v>260</v>
      </c>
      <c r="H488" s="27">
        <f t="shared" si="31"/>
        <v>192.3</v>
      </c>
      <c r="I488" s="27">
        <f t="shared" si="27"/>
        <v>73.96153846153847</v>
      </c>
    </row>
    <row r="489" spans="1:9" ht="47.25">
      <c r="A489" s="26" t="s">
        <v>184</v>
      </c>
      <c r="B489" s="17">
        <v>903</v>
      </c>
      <c r="C489" s="21" t="s">
        <v>295</v>
      </c>
      <c r="D489" s="21" t="s">
        <v>266</v>
      </c>
      <c r="E489" s="21" t="s">
        <v>417</v>
      </c>
      <c r="F489" s="21" t="s">
        <v>185</v>
      </c>
      <c r="G489" s="27">
        <f>150+60+50</f>
        <v>260</v>
      </c>
      <c r="H489" s="27">
        <v>192.3</v>
      </c>
      <c r="I489" s="27">
        <f t="shared" si="27"/>
        <v>73.96153846153847</v>
      </c>
    </row>
    <row r="490" spans="1:9" ht="63">
      <c r="A490" s="26" t="s">
        <v>418</v>
      </c>
      <c r="B490" s="17">
        <v>903</v>
      </c>
      <c r="C490" s="21" t="s">
        <v>295</v>
      </c>
      <c r="D490" s="21" t="s">
        <v>266</v>
      </c>
      <c r="E490" s="21" t="s">
        <v>419</v>
      </c>
      <c r="F490" s="21"/>
      <c r="G490" s="27">
        <f>G491+G503+G497+G500</f>
        <v>20</v>
      </c>
      <c r="H490" s="27">
        <f>H491+H503+H497+H500</f>
        <v>0</v>
      </c>
      <c r="I490" s="27">
        <f t="shared" si="27"/>
        <v>0</v>
      </c>
    </row>
    <row r="491" spans="1:9" ht="33.75" customHeight="1">
      <c r="A491" s="26" t="s">
        <v>420</v>
      </c>
      <c r="B491" s="17">
        <v>903</v>
      </c>
      <c r="C491" s="21" t="s">
        <v>295</v>
      </c>
      <c r="D491" s="21" t="s">
        <v>266</v>
      </c>
      <c r="E491" s="21" t="s">
        <v>421</v>
      </c>
      <c r="F491" s="21"/>
      <c r="G491" s="27">
        <f>G492</f>
        <v>10</v>
      </c>
      <c r="H491" s="27">
        <f>H492</f>
        <v>0</v>
      </c>
      <c r="I491" s="27">
        <f t="shared" si="27"/>
        <v>0</v>
      </c>
    </row>
    <row r="492" spans="1:9" ht="47.25">
      <c r="A492" s="26" t="s">
        <v>323</v>
      </c>
      <c r="B492" s="17">
        <v>903</v>
      </c>
      <c r="C492" s="21" t="s">
        <v>295</v>
      </c>
      <c r="D492" s="21" t="s">
        <v>266</v>
      </c>
      <c r="E492" s="21" t="s">
        <v>421</v>
      </c>
      <c r="F492" s="21" t="s">
        <v>324</v>
      </c>
      <c r="G492" s="27">
        <f>G493</f>
        <v>10</v>
      </c>
      <c r="H492" s="27">
        <f>H493</f>
        <v>0</v>
      </c>
      <c r="I492" s="27">
        <f t="shared" si="27"/>
        <v>0</v>
      </c>
    </row>
    <row r="493" spans="1:9" ht="47.25" customHeight="1">
      <c r="A493" s="41" t="s">
        <v>422</v>
      </c>
      <c r="B493" s="17">
        <v>903</v>
      </c>
      <c r="C493" s="21" t="s">
        <v>295</v>
      </c>
      <c r="D493" s="21" t="s">
        <v>266</v>
      </c>
      <c r="E493" s="21" t="s">
        <v>421</v>
      </c>
      <c r="F493" s="21" t="s">
        <v>423</v>
      </c>
      <c r="G493" s="27">
        <v>10</v>
      </c>
      <c r="H493" s="27">
        <v>0</v>
      </c>
      <c r="I493" s="27">
        <f t="shared" si="27"/>
        <v>0</v>
      </c>
    </row>
    <row r="494" spans="1:9" ht="15.75" customHeight="1" hidden="1">
      <c r="A494" s="41"/>
      <c r="B494" s="17"/>
      <c r="C494" s="21"/>
      <c r="D494" s="21"/>
      <c r="E494" s="21"/>
      <c r="F494" s="21"/>
      <c r="G494" s="27"/>
      <c r="H494" s="27"/>
      <c r="I494" s="27" t="e">
        <f t="shared" si="27"/>
        <v>#DIV/0!</v>
      </c>
    </row>
    <row r="495" spans="1:9" ht="15.75" customHeight="1" hidden="1">
      <c r="A495" s="41"/>
      <c r="B495" s="17"/>
      <c r="C495" s="21"/>
      <c r="D495" s="21"/>
      <c r="E495" s="21"/>
      <c r="F495" s="21"/>
      <c r="G495" s="27"/>
      <c r="H495" s="27"/>
      <c r="I495" s="27" t="e">
        <f t="shared" si="27"/>
        <v>#DIV/0!</v>
      </c>
    </row>
    <row r="496" spans="1:9" ht="15.75" customHeight="1" hidden="1">
      <c r="A496" s="41"/>
      <c r="B496" s="17"/>
      <c r="C496" s="21"/>
      <c r="D496" s="21"/>
      <c r="E496" s="21"/>
      <c r="F496" s="21"/>
      <c r="G496" s="27"/>
      <c r="H496" s="27"/>
      <c r="I496" s="27" t="e">
        <f t="shared" si="27"/>
        <v>#DIV/0!</v>
      </c>
    </row>
    <row r="497" spans="1:9" ht="126" customHeight="1" hidden="1">
      <c r="A497" s="26" t="s">
        <v>424</v>
      </c>
      <c r="B497" s="17">
        <v>903</v>
      </c>
      <c r="C497" s="21" t="s">
        <v>295</v>
      </c>
      <c r="D497" s="21" t="s">
        <v>266</v>
      </c>
      <c r="E497" s="21" t="s">
        <v>425</v>
      </c>
      <c r="F497" s="21"/>
      <c r="G497" s="27">
        <f>G498</f>
        <v>0</v>
      </c>
      <c r="H497" s="27">
        <f>H498</f>
        <v>0</v>
      </c>
      <c r="I497" s="27" t="e">
        <f t="shared" si="27"/>
        <v>#DIV/0!</v>
      </c>
    </row>
    <row r="498" spans="1:9" ht="15.75" customHeight="1" hidden="1">
      <c r="A498" s="26" t="s">
        <v>186</v>
      </c>
      <c r="B498" s="17">
        <v>903</v>
      </c>
      <c r="C498" s="21" t="s">
        <v>295</v>
      </c>
      <c r="D498" s="21" t="s">
        <v>266</v>
      </c>
      <c r="E498" s="21" t="s">
        <v>425</v>
      </c>
      <c r="F498" s="21" t="s">
        <v>196</v>
      </c>
      <c r="G498" s="27">
        <f>G499</f>
        <v>0</v>
      </c>
      <c r="H498" s="27">
        <f>H499</f>
        <v>0</v>
      </c>
      <c r="I498" s="27" t="e">
        <f t="shared" si="27"/>
        <v>#DIV/0!</v>
      </c>
    </row>
    <row r="499" spans="1:9" ht="63" customHeight="1" hidden="1">
      <c r="A499" s="26" t="s">
        <v>235</v>
      </c>
      <c r="B499" s="17">
        <v>903</v>
      </c>
      <c r="C499" s="21" t="s">
        <v>295</v>
      </c>
      <c r="D499" s="21" t="s">
        <v>266</v>
      </c>
      <c r="E499" s="21" t="s">
        <v>425</v>
      </c>
      <c r="F499" s="21" t="s">
        <v>211</v>
      </c>
      <c r="G499" s="27">
        <v>0</v>
      </c>
      <c r="H499" s="27">
        <v>0</v>
      </c>
      <c r="I499" s="27" t="e">
        <f t="shared" si="27"/>
        <v>#DIV/0!</v>
      </c>
    </row>
    <row r="500" spans="1:9" ht="50.25" customHeight="1">
      <c r="A500" s="26" t="s">
        <v>426</v>
      </c>
      <c r="B500" s="17">
        <v>903</v>
      </c>
      <c r="C500" s="21" t="s">
        <v>295</v>
      </c>
      <c r="D500" s="21" t="s">
        <v>266</v>
      </c>
      <c r="E500" s="21" t="s">
        <v>427</v>
      </c>
      <c r="F500" s="21"/>
      <c r="G500" s="27">
        <f>G501</f>
        <v>10</v>
      </c>
      <c r="H500" s="27">
        <f>H501</f>
        <v>0</v>
      </c>
      <c r="I500" s="27">
        <f t="shared" si="27"/>
        <v>0</v>
      </c>
    </row>
    <row r="501" spans="1:9" ht="31.5">
      <c r="A501" s="26" t="s">
        <v>299</v>
      </c>
      <c r="B501" s="17">
        <v>903</v>
      </c>
      <c r="C501" s="21" t="s">
        <v>295</v>
      </c>
      <c r="D501" s="21" t="s">
        <v>266</v>
      </c>
      <c r="E501" s="21" t="s">
        <v>427</v>
      </c>
      <c r="F501" s="21" t="s">
        <v>300</v>
      </c>
      <c r="G501" s="27">
        <f>G502</f>
        <v>10</v>
      </c>
      <c r="H501" s="27">
        <f>H502</f>
        <v>0</v>
      </c>
      <c r="I501" s="27">
        <f t="shared" si="27"/>
        <v>0</v>
      </c>
    </row>
    <row r="502" spans="1:9" ht="31.5">
      <c r="A502" s="26" t="s">
        <v>301</v>
      </c>
      <c r="B502" s="17">
        <v>903</v>
      </c>
      <c r="C502" s="21" t="s">
        <v>295</v>
      </c>
      <c r="D502" s="21" t="s">
        <v>266</v>
      </c>
      <c r="E502" s="21" t="s">
        <v>427</v>
      </c>
      <c r="F502" s="21" t="s">
        <v>302</v>
      </c>
      <c r="G502" s="27">
        <v>10</v>
      </c>
      <c r="H502" s="27">
        <v>0</v>
      </c>
      <c r="I502" s="27">
        <f t="shared" si="27"/>
        <v>0</v>
      </c>
    </row>
    <row r="503" spans="1:9" ht="31.5" customHeight="1" hidden="1">
      <c r="A503" s="26" t="s">
        <v>428</v>
      </c>
      <c r="B503" s="17">
        <v>903</v>
      </c>
      <c r="C503" s="21" t="s">
        <v>295</v>
      </c>
      <c r="D503" s="21" t="s">
        <v>266</v>
      </c>
      <c r="E503" s="21" t="s">
        <v>429</v>
      </c>
      <c r="F503" s="21"/>
      <c r="G503" s="27">
        <f>G504+G506</f>
        <v>0</v>
      </c>
      <c r="H503" s="27">
        <f>H504+H506</f>
        <v>0</v>
      </c>
      <c r="I503" s="27" t="e">
        <f t="shared" si="27"/>
        <v>#DIV/0!</v>
      </c>
    </row>
    <row r="504" spans="1:9" ht="31.5" customHeight="1" hidden="1">
      <c r="A504" s="26" t="s">
        <v>182</v>
      </c>
      <c r="B504" s="17">
        <v>903</v>
      </c>
      <c r="C504" s="21" t="s">
        <v>295</v>
      </c>
      <c r="D504" s="21" t="s">
        <v>266</v>
      </c>
      <c r="E504" s="21" t="s">
        <v>429</v>
      </c>
      <c r="F504" s="21" t="s">
        <v>183</v>
      </c>
      <c r="G504" s="27">
        <f>G505</f>
        <v>0</v>
      </c>
      <c r="H504" s="27">
        <f>H505</f>
        <v>0</v>
      </c>
      <c r="I504" s="27" t="e">
        <f t="shared" si="27"/>
        <v>#DIV/0!</v>
      </c>
    </row>
    <row r="505" spans="1:9" ht="47.25" customHeight="1" hidden="1">
      <c r="A505" s="26" t="s">
        <v>184</v>
      </c>
      <c r="B505" s="17">
        <v>903</v>
      </c>
      <c r="C505" s="21" t="s">
        <v>295</v>
      </c>
      <c r="D505" s="21" t="s">
        <v>266</v>
      </c>
      <c r="E505" s="21" t="s">
        <v>429</v>
      </c>
      <c r="F505" s="21" t="s">
        <v>185</v>
      </c>
      <c r="G505" s="27">
        <v>0</v>
      </c>
      <c r="H505" s="27">
        <v>0</v>
      </c>
      <c r="I505" s="27" t="e">
        <f t="shared" si="27"/>
        <v>#DIV/0!</v>
      </c>
    </row>
    <row r="506" spans="1:9" ht="15.75" customHeight="1" hidden="1">
      <c r="A506" s="26" t="s">
        <v>186</v>
      </c>
      <c r="B506" s="17">
        <v>903</v>
      </c>
      <c r="C506" s="21" t="s">
        <v>295</v>
      </c>
      <c r="D506" s="21" t="s">
        <v>266</v>
      </c>
      <c r="E506" s="21" t="s">
        <v>430</v>
      </c>
      <c r="F506" s="21" t="s">
        <v>196</v>
      </c>
      <c r="G506" s="27">
        <f>G507</f>
        <v>0</v>
      </c>
      <c r="H506" s="27">
        <f>H507</f>
        <v>0</v>
      </c>
      <c r="I506" s="27" t="e">
        <f t="shared" si="27"/>
        <v>#DIV/0!</v>
      </c>
    </row>
    <row r="507" spans="1:9" ht="63" customHeight="1" hidden="1">
      <c r="A507" s="26" t="s">
        <v>235</v>
      </c>
      <c r="B507" s="17">
        <v>903</v>
      </c>
      <c r="C507" s="21" t="s">
        <v>295</v>
      </c>
      <c r="D507" s="21" t="s">
        <v>266</v>
      </c>
      <c r="E507" s="21" t="s">
        <v>430</v>
      </c>
      <c r="F507" s="21" t="s">
        <v>211</v>
      </c>
      <c r="G507" s="27">
        <v>0</v>
      </c>
      <c r="H507" s="27">
        <v>0</v>
      </c>
      <c r="I507" s="27" t="e">
        <f t="shared" si="27"/>
        <v>#DIV/0!</v>
      </c>
    </row>
    <row r="508" spans="1:9" ht="94.5">
      <c r="A508" s="31" t="s">
        <v>431</v>
      </c>
      <c r="B508" s="17">
        <v>903</v>
      </c>
      <c r="C508" s="42" t="s">
        <v>295</v>
      </c>
      <c r="D508" s="42" t="s">
        <v>266</v>
      </c>
      <c r="E508" s="42" t="s">
        <v>432</v>
      </c>
      <c r="F508" s="42"/>
      <c r="G508" s="27">
        <f aca="true" t="shared" si="32" ref="G508:H510">G509</f>
        <v>153.9</v>
      </c>
      <c r="H508" s="27">
        <f t="shared" si="32"/>
        <v>132.6</v>
      </c>
      <c r="I508" s="27">
        <f t="shared" si="27"/>
        <v>86.15984405458089</v>
      </c>
    </row>
    <row r="509" spans="1:9" ht="31.5">
      <c r="A509" s="31" t="s">
        <v>208</v>
      </c>
      <c r="B509" s="17">
        <v>903</v>
      </c>
      <c r="C509" s="42" t="s">
        <v>295</v>
      </c>
      <c r="D509" s="42" t="s">
        <v>266</v>
      </c>
      <c r="E509" s="42" t="s">
        <v>433</v>
      </c>
      <c r="F509" s="42"/>
      <c r="G509" s="27">
        <f t="shared" si="32"/>
        <v>153.9</v>
      </c>
      <c r="H509" s="27">
        <f t="shared" si="32"/>
        <v>132.6</v>
      </c>
      <c r="I509" s="27">
        <f t="shared" si="27"/>
        <v>86.15984405458089</v>
      </c>
    </row>
    <row r="510" spans="1:9" ht="31.5">
      <c r="A510" s="31" t="s">
        <v>182</v>
      </c>
      <c r="B510" s="17">
        <v>903</v>
      </c>
      <c r="C510" s="42" t="s">
        <v>295</v>
      </c>
      <c r="D510" s="42" t="s">
        <v>266</v>
      </c>
      <c r="E510" s="42" t="s">
        <v>433</v>
      </c>
      <c r="F510" s="42" t="s">
        <v>183</v>
      </c>
      <c r="G510" s="27">
        <f t="shared" si="32"/>
        <v>153.9</v>
      </c>
      <c r="H510" s="27">
        <f t="shared" si="32"/>
        <v>132.6</v>
      </c>
      <c r="I510" s="27">
        <f t="shared" si="27"/>
        <v>86.15984405458089</v>
      </c>
    </row>
    <row r="511" spans="1:9" ht="47.25">
      <c r="A511" s="31" t="s">
        <v>184</v>
      </c>
      <c r="B511" s="17">
        <v>903</v>
      </c>
      <c r="C511" s="42" t="s">
        <v>295</v>
      </c>
      <c r="D511" s="42" t="s">
        <v>266</v>
      </c>
      <c r="E511" s="42" t="s">
        <v>433</v>
      </c>
      <c r="F511" s="42" t="s">
        <v>185</v>
      </c>
      <c r="G511" s="27">
        <f>200-46.1</f>
        <v>153.9</v>
      </c>
      <c r="H511" s="27">
        <v>132.6</v>
      </c>
      <c r="I511" s="27">
        <f t="shared" si="27"/>
        <v>86.15984405458089</v>
      </c>
    </row>
    <row r="512" spans="1:9" ht="15.75" hidden="1">
      <c r="A512" s="26" t="s">
        <v>172</v>
      </c>
      <c r="B512" s="17">
        <v>903</v>
      </c>
      <c r="C512" s="21" t="s">
        <v>295</v>
      </c>
      <c r="D512" s="21" t="s">
        <v>266</v>
      </c>
      <c r="E512" s="21" t="s">
        <v>173</v>
      </c>
      <c r="F512" s="21"/>
      <c r="G512" s="27">
        <f>G513+G524</f>
        <v>0</v>
      </c>
      <c r="H512" s="27">
        <f>H513+H524</f>
        <v>0</v>
      </c>
      <c r="I512" s="22" t="e">
        <f t="shared" si="27"/>
        <v>#DIV/0!</v>
      </c>
    </row>
    <row r="513" spans="1:9" ht="31.5" hidden="1">
      <c r="A513" s="26" t="s">
        <v>236</v>
      </c>
      <c r="B513" s="17">
        <v>903</v>
      </c>
      <c r="C513" s="21" t="s">
        <v>295</v>
      </c>
      <c r="D513" s="21" t="s">
        <v>266</v>
      </c>
      <c r="E513" s="21" t="s">
        <v>237</v>
      </c>
      <c r="F513" s="21"/>
      <c r="G513" s="27">
        <f>G520+G514+G517</f>
        <v>0</v>
      </c>
      <c r="H513" s="27">
        <f>H520+H514+H517</f>
        <v>0</v>
      </c>
      <c r="I513" s="22" t="e">
        <f t="shared" si="27"/>
        <v>#DIV/0!</v>
      </c>
    </row>
    <row r="514" spans="1:9" ht="47.25" hidden="1">
      <c r="A514" s="26" t="s">
        <v>981</v>
      </c>
      <c r="B514" s="17">
        <v>903</v>
      </c>
      <c r="C514" s="21" t="s">
        <v>295</v>
      </c>
      <c r="D514" s="21" t="s">
        <v>266</v>
      </c>
      <c r="E514" s="21" t="s">
        <v>980</v>
      </c>
      <c r="F514" s="21"/>
      <c r="G514" s="27">
        <f>G515</f>
        <v>0</v>
      </c>
      <c r="H514" s="27">
        <f>H515</f>
        <v>0</v>
      </c>
      <c r="I514" s="22" t="e">
        <f t="shared" si="27"/>
        <v>#DIV/0!</v>
      </c>
    </row>
    <row r="515" spans="1:9" ht="31.5" hidden="1">
      <c r="A515" s="26" t="s">
        <v>299</v>
      </c>
      <c r="B515" s="17">
        <v>903</v>
      </c>
      <c r="C515" s="21" t="s">
        <v>295</v>
      </c>
      <c r="D515" s="21" t="s">
        <v>266</v>
      </c>
      <c r="E515" s="21" t="s">
        <v>980</v>
      </c>
      <c r="F515" s="21" t="s">
        <v>300</v>
      </c>
      <c r="G515" s="27">
        <f>G516</f>
        <v>0</v>
      </c>
      <c r="H515" s="27">
        <f>H516</f>
        <v>0</v>
      </c>
      <c r="I515" s="22" t="e">
        <f t="shared" si="27"/>
        <v>#DIV/0!</v>
      </c>
    </row>
    <row r="516" spans="1:9" ht="31.5" hidden="1">
      <c r="A516" s="26" t="s">
        <v>301</v>
      </c>
      <c r="B516" s="17">
        <v>903</v>
      </c>
      <c r="C516" s="21" t="s">
        <v>295</v>
      </c>
      <c r="D516" s="21" t="s">
        <v>266</v>
      </c>
      <c r="E516" s="21" t="s">
        <v>980</v>
      </c>
      <c r="F516" s="21" t="s">
        <v>302</v>
      </c>
      <c r="G516" s="27">
        <f>783.1-162.5-620.6</f>
        <v>0</v>
      </c>
      <c r="H516" s="27">
        <f>783.1-162.5-620.6</f>
        <v>0</v>
      </c>
      <c r="I516" s="22" t="e">
        <f t="shared" si="27"/>
        <v>#DIV/0!</v>
      </c>
    </row>
    <row r="517" spans="1:9" ht="63" hidden="1">
      <c r="A517" s="26" t="s">
        <v>426</v>
      </c>
      <c r="B517" s="17">
        <v>903</v>
      </c>
      <c r="C517" s="21" t="s">
        <v>295</v>
      </c>
      <c r="D517" s="21" t="s">
        <v>266</v>
      </c>
      <c r="E517" s="21" t="s">
        <v>436</v>
      </c>
      <c r="F517" s="21"/>
      <c r="G517" s="27">
        <f>G518</f>
        <v>0</v>
      </c>
      <c r="H517" s="27">
        <f>H518</f>
        <v>0</v>
      </c>
      <c r="I517" s="22" t="e">
        <f t="shared" si="27"/>
        <v>#DIV/0!</v>
      </c>
    </row>
    <row r="518" spans="1:9" ht="31.5" hidden="1">
      <c r="A518" s="26" t="s">
        <v>299</v>
      </c>
      <c r="B518" s="17">
        <v>903</v>
      </c>
      <c r="C518" s="21" t="s">
        <v>295</v>
      </c>
      <c r="D518" s="21" t="s">
        <v>266</v>
      </c>
      <c r="E518" s="21" t="s">
        <v>436</v>
      </c>
      <c r="F518" s="21" t="s">
        <v>300</v>
      </c>
      <c r="G518" s="27">
        <f>G519</f>
        <v>0</v>
      </c>
      <c r="H518" s="27">
        <f>H519</f>
        <v>0</v>
      </c>
      <c r="I518" s="22" t="e">
        <f t="shared" si="27"/>
        <v>#DIV/0!</v>
      </c>
    </row>
    <row r="519" spans="1:9" ht="31.5" hidden="1">
      <c r="A519" s="26" t="s">
        <v>301</v>
      </c>
      <c r="B519" s="17">
        <v>903</v>
      </c>
      <c r="C519" s="21" t="s">
        <v>295</v>
      </c>
      <c r="D519" s="21" t="s">
        <v>266</v>
      </c>
      <c r="E519" s="21" t="s">
        <v>436</v>
      </c>
      <c r="F519" s="21" t="s">
        <v>302</v>
      </c>
      <c r="G519" s="27">
        <v>0</v>
      </c>
      <c r="H519" s="27">
        <v>0</v>
      </c>
      <c r="I519" s="22" t="e">
        <f t="shared" si="27"/>
        <v>#DIV/0!</v>
      </c>
    </row>
    <row r="520" spans="1:9" ht="54" customHeight="1" hidden="1">
      <c r="A520" s="26" t="s">
        <v>826</v>
      </c>
      <c r="B520" s="17">
        <v>903</v>
      </c>
      <c r="C520" s="21" t="s">
        <v>295</v>
      </c>
      <c r="D520" s="21" t="s">
        <v>266</v>
      </c>
      <c r="E520" s="21" t="s">
        <v>438</v>
      </c>
      <c r="F520" s="21"/>
      <c r="G520" s="27">
        <f>G521</f>
        <v>0</v>
      </c>
      <c r="H520" s="27">
        <f>H521</f>
        <v>0</v>
      </c>
      <c r="I520" s="22" t="e">
        <f t="shared" si="27"/>
        <v>#DIV/0!</v>
      </c>
    </row>
    <row r="521" spans="1:9" ht="31.5" hidden="1">
      <c r="A521" s="26" t="s">
        <v>299</v>
      </c>
      <c r="B521" s="17">
        <v>903</v>
      </c>
      <c r="C521" s="21" t="s">
        <v>295</v>
      </c>
      <c r="D521" s="21" t="s">
        <v>266</v>
      </c>
      <c r="E521" s="21" t="s">
        <v>438</v>
      </c>
      <c r="F521" s="21" t="s">
        <v>300</v>
      </c>
      <c r="G521" s="27">
        <f>G522+G523</f>
        <v>0</v>
      </c>
      <c r="H521" s="27">
        <f>H522+H523</f>
        <v>0</v>
      </c>
      <c r="I521" s="22" t="e">
        <f t="shared" si="27"/>
        <v>#DIV/0!</v>
      </c>
    </row>
    <row r="522" spans="1:9" ht="31.5" hidden="1">
      <c r="A522" s="26" t="s">
        <v>399</v>
      </c>
      <c r="B522" s="17">
        <v>903</v>
      </c>
      <c r="C522" s="21" t="s">
        <v>295</v>
      </c>
      <c r="D522" s="21" t="s">
        <v>266</v>
      </c>
      <c r="E522" s="21" t="s">
        <v>438</v>
      </c>
      <c r="F522" s="21" t="s">
        <v>400</v>
      </c>
      <c r="G522" s="27">
        <f>N522</f>
        <v>0</v>
      </c>
      <c r="H522" s="27">
        <f>O522</f>
        <v>0</v>
      </c>
      <c r="I522" s="22" t="e">
        <f t="shared" si="27"/>
        <v>#DIV/0!</v>
      </c>
    </row>
    <row r="523" spans="1:9" ht="31.5" hidden="1">
      <c r="A523" s="26" t="s">
        <v>301</v>
      </c>
      <c r="B523" s="17">
        <v>903</v>
      </c>
      <c r="C523" s="21" t="s">
        <v>295</v>
      </c>
      <c r="D523" s="21" t="s">
        <v>266</v>
      </c>
      <c r="E523" s="21" t="s">
        <v>438</v>
      </c>
      <c r="F523" s="21" t="s">
        <v>302</v>
      </c>
      <c r="G523" s="27"/>
      <c r="H523" s="27"/>
      <c r="I523" s="22" t="e">
        <f aca="true" t="shared" si="33" ref="I523:I586">H523/G523*100</f>
        <v>#DIV/0!</v>
      </c>
    </row>
    <row r="524" spans="1:9" ht="15.75" hidden="1">
      <c r="A524" s="26" t="s">
        <v>192</v>
      </c>
      <c r="B524" s="17">
        <v>903</v>
      </c>
      <c r="C524" s="21" t="s">
        <v>295</v>
      </c>
      <c r="D524" s="21" t="s">
        <v>266</v>
      </c>
      <c r="E524" s="21" t="s">
        <v>193</v>
      </c>
      <c r="F524" s="21"/>
      <c r="G524" s="27">
        <f aca="true" t="shared" si="34" ref="G524:H526">G525</f>
        <v>0</v>
      </c>
      <c r="H524" s="27">
        <f t="shared" si="34"/>
        <v>0</v>
      </c>
      <c r="I524" s="22" t="e">
        <f t="shared" si="33"/>
        <v>#DIV/0!</v>
      </c>
    </row>
    <row r="525" spans="1:9" ht="15.75" hidden="1">
      <c r="A525" s="26" t="s">
        <v>252</v>
      </c>
      <c r="B525" s="17">
        <v>903</v>
      </c>
      <c r="C525" s="21" t="s">
        <v>295</v>
      </c>
      <c r="D525" s="21" t="s">
        <v>266</v>
      </c>
      <c r="E525" s="21" t="s">
        <v>253</v>
      </c>
      <c r="F525" s="21"/>
      <c r="G525" s="27">
        <f t="shared" si="34"/>
        <v>0</v>
      </c>
      <c r="H525" s="27">
        <f t="shared" si="34"/>
        <v>0</v>
      </c>
      <c r="I525" s="22" t="e">
        <f t="shared" si="33"/>
        <v>#DIV/0!</v>
      </c>
    </row>
    <row r="526" spans="1:9" ht="31.5" hidden="1">
      <c r="A526" s="26" t="s">
        <v>299</v>
      </c>
      <c r="B526" s="17">
        <v>903</v>
      </c>
      <c r="C526" s="21" t="s">
        <v>295</v>
      </c>
      <c r="D526" s="21" t="s">
        <v>266</v>
      </c>
      <c r="E526" s="21" t="s">
        <v>253</v>
      </c>
      <c r="F526" s="21" t="s">
        <v>300</v>
      </c>
      <c r="G526" s="27">
        <f t="shared" si="34"/>
        <v>0</v>
      </c>
      <c r="H526" s="27">
        <f t="shared" si="34"/>
        <v>0</v>
      </c>
      <c r="I526" s="22" t="e">
        <f t="shared" si="33"/>
        <v>#DIV/0!</v>
      </c>
    </row>
    <row r="527" spans="1:9" ht="31.5" hidden="1">
      <c r="A527" s="26" t="s">
        <v>399</v>
      </c>
      <c r="B527" s="17">
        <v>903</v>
      </c>
      <c r="C527" s="21" t="s">
        <v>295</v>
      </c>
      <c r="D527" s="21" t="s">
        <v>266</v>
      </c>
      <c r="E527" s="21" t="s">
        <v>253</v>
      </c>
      <c r="F527" s="21" t="s">
        <v>400</v>
      </c>
      <c r="G527" s="27">
        <v>0</v>
      </c>
      <c r="H527" s="27">
        <v>0</v>
      </c>
      <c r="I527" s="22" t="e">
        <f t="shared" si="33"/>
        <v>#DIV/0!</v>
      </c>
    </row>
    <row r="528" spans="1:10" ht="47.25">
      <c r="A528" s="20" t="s">
        <v>439</v>
      </c>
      <c r="B528" s="20">
        <v>905</v>
      </c>
      <c r="C528" s="21"/>
      <c r="D528" s="21"/>
      <c r="E528" s="21"/>
      <c r="F528" s="21"/>
      <c r="G528" s="22">
        <f>G529+G557+G572</f>
        <v>18433.3</v>
      </c>
      <c r="H528" s="22">
        <f>H529+H557+H572</f>
        <v>17754.899999999998</v>
      </c>
      <c r="I528" s="22">
        <f t="shared" si="33"/>
        <v>96.3197040139313</v>
      </c>
      <c r="J528" s="207">
        <f>17754.9-436.9</f>
        <v>17318</v>
      </c>
    </row>
    <row r="529" spans="1:9" ht="15.75">
      <c r="A529" s="24" t="s">
        <v>168</v>
      </c>
      <c r="B529" s="20">
        <v>905</v>
      </c>
      <c r="C529" s="25" t="s">
        <v>169</v>
      </c>
      <c r="D529" s="21"/>
      <c r="E529" s="21"/>
      <c r="F529" s="21"/>
      <c r="G529" s="22">
        <f>G530+G540</f>
        <v>18170.1</v>
      </c>
      <c r="H529" s="22">
        <f>H530+H540</f>
        <v>17520.8</v>
      </c>
      <c r="I529" s="22">
        <f t="shared" si="33"/>
        <v>96.42654690948316</v>
      </c>
    </row>
    <row r="530" spans="1:9" ht="78.75">
      <c r="A530" s="24" t="s">
        <v>200</v>
      </c>
      <c r="B530" s="20">
        <v>905</v>
      </c>
      <c r="C530" s="25" t="s">
        <v>169</v>
      </c>
      <c r="D530" s="25" t="s">
        <v>201</v>
      </c>
      <c r="E530" s="25"/>
      <c r="F530" s="25"/>
      <c r="G530" s="22">
        <f aca="true" t="shared" si="35" ref="G530:H532">G531</f>
        <v>11436.8</v>
      </c>
      <c r="H530" s="22">
        <f t="shared" si="35"/>
        <v>11271.5</v>
      </c>
      <c r="I530" s="22">
        <f t="shared" si="33"/>
        <v>98.55466564073868</v>
      </c>
    </row>
    <row r="531" spans="1:9" ht="15.75">
      <c r="A531" s="26" t="s">
        <v>172</v>
      </c>
      <c r="B531" s="17">
        <v>905</v>
      </c>
      <c r="C531" s="21" t="s">
        <v>169</v>
      </c>
      <c r="D531" s="21" t="s">
        <v>201</v>
      </c>
      <c r="E531" s="21" t="s">
        <v>173</v>
      </c>
      <c r="F531" s="21"/>
      <c r="G531" s="27">
        <f t="shared" si="35"/>
        <v>11436.8</v>
      </c>
      <c r="H531" s="27">
        <f t="shared" si="35"/>
        <v>11271.5</v>
      </c>
      <c r="I531" s="27">
        <f t="shared" si="33"/>
        <v>98.55466564073868</v>
      </c>
    </row>
    <row r="532" spans="1:9" ht="31.5">
      <c r="A532" s="26" t="s">
        <v>174</v>
      </c>
      <c r="B532" s="17">
        <v>905</v>
      </c>
      <c r="C532" s="21" t="s">
        <v>169</v>
      </c>
      <c r="D532" s="21" t="s">
        <v>201</v>
      </c>
      <c r="E532" s="21" t="s">
        <v>175</v>
      </c>
      <c r="F532" s="21"/>
      <c r="G532" s="27">
        <f t="shared" si="35"/>
        <v>11436.8</v>
      </c>
      <c r="H532" s="27">
        <f t="shared" si="35"/>
        <v>11271.5</v>
      </c>
      <c r="I532" s="27">
        <f t="shared" si="33"/>
        <v>98.55466564073868</v>
      </c>
    </row>
    <row r="533" spans="1:9" ht="47.25">
      <c r="A533" s="26" t="s">
        <v>176</v>
      </c>
      <c r="B533" s="17">
        <v>905</v>
      </c>
      <c r="C533" s="21" t="s">
        <v>169</v>
      </c>
      <c r="D533" s="21" t="s">
        <v>201</v>
      </c>
      <c r="E533" s="21" t="s">
        <v>177</v>
      </c>
      <c r="F533" s="21"/>
      <c r="G533" s="27">
        <f>G534+G536+G538</f>
        <v>11436.8</v>
      </c>
      <c r="H533" s="27">
        <f>H534+H536+H538</f>
        <v>11271.5</v>
      </c>
      <c r="I533" s="27">
        <f t="shared" si="33"/>
        <v>98.55466564073868</v>
      </c>
    </row>
    <row r="534" spans="1:9" ht="94.5">
      <c r="A534" s="26" t="s">
        <v>178</v>
      </c>
      <c r="B534" s="17">
        <v>905</v>
      </c>
      <c r="C534" s="21" t="s">
        <v>169</v>
      </c>
      <c r="D534" s="21" t="s">
        <v>201</v>
      </c>
      <c r="E534" s="21" t="s">
        <v>177</v>
      </c>
      <c r="F534" s="21" t="s">
        <v>179</v>
      </c>
      <c r="G534" s="27">
        <f>G535</f>
        <v>10616.2</v>
      </c>
      <c r="H534" s="27">
        <f>H535</f>
        <v>10610.9</v>
      </c>
      <c r="I534" s="27">
        <f t="shared" si="33"/>
        <v>99.95007629848722</v>
      </c>
    </row>
    <row r="535" spans="1:9" ht="31.5">
      <c r="A535" s="26" t="s">
        <v>180</v>
      </c>
      <c r="B535" s="17">
        <v>905</v>
      </c>
      <c r="C535" s="21" t="s">
        <v>169</v>
      </c>
      <c r="D535" s="21" t="s">
        <v>201</v>
      </c>
      <c r="E535" s="21" t="s">
        <v>177</v>
      </c>
      <c r="F535" s="21" t="s">
        <v>181</v>
      </c>
      <c r="G535" s="28">
        <f>9605.9+680.2+330.1</f>
        <v>10616.2</v>
      </c>
      <c r="H535" s="28">
        <v>10610.9</v>
      </c>
      <c r="I535" s="27">
        <f t="shared" si="33"/>
        <v>99.95007629848722</v>
      </c>
    </row>
    <row r="536" spans="1:9" ht="31.5">
      <c r="A536" s="26" t="s">
        <v>182</v>
      </c>
      <c r="B536" s="17">
        <v>905</v>
      </c>
      <c r="C536" s="21" t="s">
        <v>169</v>
      </c>
      <c r="D536" s="21" t="s">
        <v>201</v>
      </c>
      <c r="E536" s="21" t="s">
        <v>177</v>
      </c>
      <c r="F536" s="21" t="s">
        <v>183</v>
      </c>
      <c r="G536" s="27">
        <f>G537</f>
        <v>689.3</v>
      </c>
      <c r="H536" s="27">
        <f>H537</f>
        <v>529.4</v>
      </c>
      <c r="I536" s="27">
        <f t="shared" si="33"/>
        <v>76.8025533149572</v>
      </c>
    </row>
    <row r="537" spans="1:17" ht="47.25">
      <c r="A537" s="26" t="s">
        <v>184</v>
      </c>
      <c r="B537" s="17">
        <v>905</v>
      </c>
      <c r="C537" s="21" t="s">
        <v>169</v>
      </c>
      <c r="D537" s="21" t="s">
        <v>201</v>
      </c>
      <c r="E537" s="21" t="s">
        <v>177</v>
      </c>
      <c r="F537" s="21" t="s">
        <v>185</v>
      </c>
      <c r="G537" s="28">
        <f>885.8-74-7.5-20-30-65</f>
        <v>689.3</v>
      </c>
      <c r="H537" s="28">
        <v>529.4</v>
      </c>
      <c r="I537" s="27">
        <f t="shared" si="33"/>
        <v>76.8025533149572</v>
      </c>
      <c r="J537" s="209"/>
      <c r="P537" s="305"/>
      <c r="Q537" s="305"/>
    </row>
    <row r="538" spans="1:18" ht="15.75">
      <c r="A538" s="26" t="s">
        <v>186</v>
      </c>
      <c r="B538" s="17">
        <v>905</v>
      </c>
      <c r="C538" s="21" t="s">
        <v>169</v>
      </c>
      <c r="D538" s="21" t="s">
        <v>201</v>
      </c>
      <c r="E538" s="21" t="s">
        <v>177</v>
      </c>
      <c r="F538" s="21" t="s">
        <v>196</v>
      </c>
      <c r="G538" s="27">
        <f>G539</f>
        <v>131.3</v>
      </c>
      <c r="H538" s="27">
        <f>H539</f>
        <v>131.2</v>
      </c>
      <c r="I538" s="27">
        <f t="shared" si="33"/>
        <v>99.92383853769991</v>
      </c>
      <c r="Q538" s="294"/>
      <c r="R538" s="308"/>
    </row>
    <row r="539" spans="1:17" ht="15.75">
      <c r="A539" s="26" t="s">
        <v>620</v>
      </c>
      <c r="B539" s="17">
        <v>905</v>
      </c>
      <c r="C539" s="21" t="s">
        <v>169</v>
      </c>
      <c r="D539" s="21" t="s">
        <v>201</v>
      </c>
      <c r="E539" s="21" t="s">
        <v>177</v>
      </c>
      <c r="F539" s="21" t="s">
        <v>189</v>
      </c>
      <c r="G539" s="27">
        <f>8.8+7.5+20+30+65</f>
        <v>131.3</v>
      </c>
      <c r="H539" s="27">
        <v>131.2</v>
      </c>
      <c r="I539" s="27">
        <f t="shared" si="33"/>
        <v>99.92383853769991</v>
      </c>
      <c r="P539" s="305"/>
      <c r="Q539" s="305"/>
    </row>
    <row r="540" spans="1:18" ht="15.75">
      <c r="A540" s="24" t="s">
        <v>190</v>
      </c>
      <c r="B540" s="20">
        <v>905</v>
      </c>
      <c r="C540" s="25" t="s">
        <v>169</v>
      </c>
      <c r="D540" s="25" t="s">
        <v>191</v>
      </c>
      <c r="E540" s="25"/>
      <c r="F540" s="25"/>
      <c r="G540" s="22">
        <f>G545+G541</f>
        <v>6733.299999999999</v>
      </c>
      <c r="H540" s="22">
        <f>H545+H541</f>
        <v>6249.299999999999</v>
      </c>
      <c r="I540" s="22">
        <f t="shared" si="33"/>
        <v>92.81184560319605</v>
      </c>
      <c r="J540" s="209"/>
      <c r="Q540" s="294"/>
      <c r="R540" s="308"/>
    </row>
    <row r="541" spans="1:18" s="136" customFormat="1" ht="72.75" customHeight="1">
      <c r="A541" s="26" t="s">
        <v>946</v>
      </c>
      <c r="B541" s="17">
        <v>905</v>
      </c>
      <c r="C541" s="21" t="s">
        <v>169</v>
      </c>
      <c r="D541" s="21" t="s">
        <v>191</v>
      </c>
      <c r="E541" s="21" t="s">
        <v>951</v>
      </c>
      <c r="F541" s="21"/>
      <c r="G541" s="27">
        <f aca="true" t="shared" si="36" ref="G541:H543">G542</f>
        <v>67</v>
      </c>
      <c r="H541" s="27">
        <f t="shared" si="36"/>
        <v>43.7</v>
      </c>
      <c r="I541" s="27">
        <f t="shared" si="33"/>
        <v>65.22388059701493</v>
      </c>
      <c r="J541" s="207"/>
      <c r="K541" s="280"/>
      <c r="L541" s="280"/>
      <c r="M541" s="280"/>
      <c r="N541" s="280"/>
      <c r="O541" s="280"/>
      <c r="P541" s="280"/>
      <c r="Q541" s="280"/>
      <c r="R541" s="154"/>
    </row>
    <row r="542" spans="1:18" s="136" customFormat="1" ht="31.5">
      <c r="A542" s="26" t="s">
        <v>800</v>
      </c>
      <c r="B542" s="17">
        <v>905</v>
      </c>
      <c r="C542" s="21" t="s">
        <v>169</v>
      </c>
      <c r="D542" s="21" t="s">
        <v>191</v>
      </c>
      <c r="E542" s="21" t="s">
        <v>947</v>
      </c>
      <c r="F542" s="21"/>
      <c r="G542" s="27">
        <f t="shared" si="36"/>
        <v>67</v>
      </c>
      <c r="H542" s="27">
        <f t="shared" si="36"/>
        <v>43.7</v>
      </c>
      <c r="I542" s="27">
        <f t="shared" si="33"/>
        <v>65.22388059701493</v>
      </c>
      <c r="J542" s="207"/>
      <c r="K542" s="280"/>
      <c r="L542" s="280"/>
      <c r="M542" s="280"/>
      <c r="N542" s="280"/>
      <c r="O542" s="280"/>
      <c r="P542" s="280"/>
      <c r="Q542" s="280"/>
      <c r="R542" s="154"/>
    </row>
    <row r="543" spans="1:18" s="136" customFormat="1" ht="31.5">
      <c r="A543" s="26" t="s">
        <v>182</v>
      </c>
      <c r="B543" s="17">
        <v>905</v>
      </c>
      <c r="C543" s="21" t="s">
        <v>169</v>
      </c>
      <c r="D543" s="21" t="s">
        <v>191</v>
      </c>
      <c r="E543" s="21" t="s">
        <v>947</v>
      </c>
      <c r="F543" s="21" t="s">
        <v>183</v>
      </c>
      <c r="G543" s="27">
        <f t="shared" si="36"/>
        <v>67</v>
      </c>
      <c r="H543" s="27">
        <f t="shared" si="36"/>
        <v>43.7</v>
      </c>
      <c r="I543" s="27">
        <f t="shared" si="33"/>
        <v>65.22388059701493</v>
      </c>
      <c r="J543" s="207"/>
      <c r="K543" s="280"/>
      <c r="L543" s="280"/>
      <c r="M543" s="280"/>
      <c r="N543" s="280"/>
      <c r="O543" s="280"/>
      <c r="P543" s="280"/>
      <c r="Q543" s="280"/>
      <c r="R543" s="154"/>
    </row>
    <row r="544" spans="1:18" s="136" customFormat="1" ht="47.25">
      <c r="A544" s="26" t="s">
        <v>184</v>
      </c>
      <c r="B544" s="17">
        <v>905</v>
      </c>
      <c r="C544" s="21" t="s">
        <v>169</v>
      </c>
      <c r="D544" s="21" t="s">
        <v>191</v>
      </c>
      <c r="E544" s="21" t="s">
        <v>947</v>
      </c>
      <c r="F544" s="21" t="s">
        <v>185</v>
      </c>
      <c r="G544" s="27">
        <f>200-133</f>
        <v>67</v>
      </c>
      <c r="H544" s="27">
        <v>43.7</v>
      </c>
      <c r="I544" s="27">
        <f t="shared" si="33"/>
        <v>65.22388059701493</v>
      </c>
      <c r="J544" s="207"/>
      <c r="K544" s="280"/>
      <c r="L544" s="280"/>
      <c r="M544" s="280"/>
      <c r="N544" s="280"/>
      <c r="O544" s="280"/>
      <c r="P544" s="280"/>
      <c r="Q544" s="280"/>
      <c r="R544" s="154"/>
    </row>
    <row r="545" spans="1:9" ht="15.75">
      <c r="A545" s="26" t="s">
        <v>172</v>
      </c>
      <c r="B545" s="17">
        <v>905</v>
      </c>
      <c r="C545" s="21" t="s">
        <v>169</v>
      </c>
      <c r="D545" s="21" t="s">
        <v>191</v>
      </c>
      <c r="E545" s="21" t="s">
        <v>173</v>
      </c>
      <c r="F545" s="21"/>
      <c r="G545" s="27">
        <f>G550+G546</f>
        <v>6666.299999999999</v>
      </c>
      <c r="H545" s="27">
        <f>H550+H546</f>
        <v>6205.599999999999</v>
      </c>
      <c r="I545" s="27">
        <f t="shared" si="33"/>
        <v>93.08911990159459</v>
      </c>
    </row>
    <row r="546" spans="1:9" ht="31.5">
      <c r="A546" s="26" t="s">
        <v>236</v>
      </c>
      <c r="B546" s="17">
        <v>905</v>
      </c>
      <c r="C546" s="21" t="s">
        <v>169</v>
      </c>
      <c r="D546" s="21" t="s">
        <v>191</v>
      </c>
      <c r="E546" s="21" t="s">
        <v>237</v>
      </c>
      <c r="F546" s="21"/>
      <c r="G546" s="27">
        <f aca="true" t="shared" si="37" ref="G546:H548">G547</f>
        <v>670</v>
      </c>
      <c r="H546" s="27">
        <f t="shared" si="37"/>
        <v>436.9</v>
      </c>
      <c r="I546" s="27">
        <f t="shared" si="33"/>
        <v>65.2089552238806</v>
      </c>
    </row>
    <row r="547" spans="1:9" ht="31.5">
      <c r="A547" s="26" t="s">
        <v>982</v>
      </c>
      <c r="B547" s="17">
        <v>905</v>
      </c>
      <c r="C547" s="21" t="s">
        <v>169</v>
      </c>
      <c r="D547" s="21" t="s">
        <v>191</v>
      </c>
      <c r="E547" s="21" t="s">
        <v>983</v>
      </c>
      <c r="F547" s="21"/>
      <c r="G547" s="27">
        <f t="shared" si="37"/>
        <v>670</v>
      </c>
      <c r="H547" s="27">
        <f t="shared" si="37"/>
        <v>436.9</v>
      </c>
      <c r="I547" s="27">
        <f t="shared" si="33"/>
        <v>65.2089552238806</v>
      </c>
    </row>
    <row r="548" spans="1:9" ht="31.5">
      <c r="A548" s="26" t="s">
        <v>182</v>
      </c>
      <c r="B548" s="17">
        <v>905</v>
      </c>
      <c r="C548" s="21" t="s">
        <v>169</v>
      </c>
      <c r="D548" s="21" t="s">
        <v>191</v>
      </c>
      <c r="E548" s="21" t="s">
        <v>983</v>
      </c>
      <c r="F548" s="21" t="s">
        <v>183</v>
      </c>
      <c r="G548" s="27">
        <f t="shared" si="37"/>
        <v>670</v>
      </c>
      <c r="H548" s="27">
        <f t="shared" si="37"/>
        <v>436.9</v>
      </c>
      <c r="I548" s="27">
        <f t="shared" si="33"/>
        <v>65.2089552238806</v>
      </c>
    </row>
    <row r="549" spans="1:9" ht="47.25">
      <c r="A549" s="26" t="s">
        <v>184</v>
      </c>
      <c r="B549" s="17">
        <v>905</v>
      </c>
      <c r="C549" s="21" t="s">
        <v>169</v>
      </c>
      <c r="D549" s="21" t="s">
        <v>191</v>
      </c>
      <c r="E549" s="21" t="s">
        <v>983</v>
      </c>
      <c r="F549" s="21" t="s">
        <v>185</v>
      </c>
      <c r="G549" s="27">
        <v>670</v>
      </c>
      <c r="H549" s="27">
        <v>436.9</v>
      </c>
      <c r="I549" s="27">
        <f t="shared" si="33"/>
        <v>65.2089552238806</v>
      </c>
    </row>
    <row r="550" spans="1:9" ht="15.75">
      <c r="A550" s="26" t="s">
        <v>192</v>
      </c>
      <c r="B550" s="17">
        <v>905</v>
      </c>
      <c r="C550" s="21" t="s">
        <v>169</v>
      </c>
      <c r="D550" s="21" t="s">
        <v>191</v>
      </c>
      <c r="E550" s="21" t="s">
        <v>193</v>
      </c>
      <c r="F550" s="21"/>
      <c r="G550" s="27">
        <f>G551+G554</f>
        <v>5996.299999999999</v>
      </c>
      <c r="H550" s="27">
        <f>H551+H554</f>
        <v>5768.7</v>
      </c>
      <c r="I550" s="27">
        <f t="shared" si="33"/>
        <v>96.20432600103398</v>
      </c>
    </row>
    <row r="551" spans="1:9" ht="47.25">
      <c r="A551" s="26" t="s">
        <v>440</v>
      </c>
      <c r="B551" s="17">
        <v>905</v>
      </c>
      <c r="C551" s="21" t="s">
        <v>169</v>
      </c>
      <c r="D551" s="21" t="s">
        <v>191</v>
      </c>
      <c r="E551" s="21" t="s">
        <v>441</v>
      </c>
      <c r="F551" s="21"/>
      <c r="G551" s="27">
        <f>G552</f>
        <v>5428.9</v>
      </c>
      <c r="H551" s="27">
        <f>H552</f>
        <v>5201.4</v>
      </c>
      <c r="I551" s="27">
        <f t="shared" si="33"/>
        <v>95.80946416401113</v>
      </c>
    </row>
    <row r="552" spans="1:9" ht="31.5">
      <c r="A552" s="26" t="s">
        <v>182</v>
      </c>
      <c r="B552" s="17">
        <v>905</v>
      </c>
      <c r="C552" s="21" t="s">
        <v>169</v>
      </c>
      <c r="D552" s="21" t="s">
        <v>191</v>
      </c>
      <c r="E552" s="21" t="s">
        <v>441</v>
      </c>
      <c r="F552" s="21" t="s">
        <v>183</v>
      </c>
      <c r="G552" s="27">
        <f>G553</f>
        <v>5428.9</v>
      </c>
      <c r="H552" s="27">
        <f>H553</f>
        <v>5201.4</v>
      </c>
      <c r="I552" s="27">
        <f t="shared" si="33"/>
        <v>95.80946416401113</v>
      </c>
    </row>
    <row r="553" spans="1:10" ht="47.25">
      <c r="A553" s="26" t="s">
        <v>184</v>
      </c>
      <c r="B553" s="17">
        <v>905</v>
      </c>
      <c r="C553" s="21" t="s">
        <v>169</v>
      </c>
      <c r="D553" s="21" t="s">
        <v>191</v>
      </c>
      <c r="E553" s="21" t="s">
        <v>441</v>
      </c>
      <c r="F553" s="21" t="s">
        <v>185</v>
      </c>
      <c r="G553" s="27">
        <f>3123.5+1000+1427.4+208.1-330.1</f>
        <v>5428.9</v>
      </c>
      <c r="H553" s="27">
        <v>5201.4</v>
      </c>
      <c r="I553" s="27">
        <f t="shared" si="33"/>
        <v>95.80946416401113</v>
      </c>
      <c r="J553" s="277"/>
    </row>
    <row r="554" spans="1:9" ht="15.75">
      <c r="A554" s="26" t="s">
        <v>194</v>
      </c>
      <c r="B554" s="17">
        <v>905</v>
      </c>
      <c r="C554" s="21" t="s">
        <v>169</v>
      </c>
      <c r="D554" s="21" t="s">
        <v>191</v>
      </c>
      <c r="E554" s="21" t="s">
        <v>195</v>
      </c>
      <c r="F554" s="21"/>
      <c r="G554" s="27">
        <f>G555</f>
        <v>567.4</v>
      </c>
      <c r="H554" s="27">
        <f>H555</f>
        <v>567.3</v>
      </c>
      <c r="I554" s="27">
        <f t="shared" si="33"/>
        <v>99.98237574903067</v>
      </c>
    </row>
    <row r="555" spans="1:9" ht="15.75">
      <c r="A555" s="26" t="s">
        <v>186</v>
      </c>
      <c r="B555" s="17">
        <v>905</v>
      </c>
      <c r="C555" s="21" t="s">
        <v>169</v>
      </c>
      <c r="D555" s="21" t="s">
        <v>191</v>
      </c>
      <c r="E555" s="21" t="s">
        <v>195</v>
      </c>
      <c r="F555" s="21" t="s">
        <v>196</v>
      </c>
      <c r="G555" s="27">
        <f>G556</f>
        <v>567.4</v>
      </c>
      <c r="H555" s="27">
        <f>H556</f>
        <v>567.3</v>
      </c>
      <c r="I555" s="27">
        <f t="shared" si="33"/>
        <v>99.98237574903067</v>
      </c>
    </row>
    <row r="556" spans="1:9" ht="15.75">
      <c r="A556" s="26" t="s">
        <v>197</v>
      </c>
      <c r="B556" s="17">
        <v>905</v>
      </c>
      <c r="C556" s="21" t="s">
        <v>169</v>
      </c>
      <c r="D556" s="21" t="s">
        <v>191</v>
      </c>
      <c r="E556" s="21" t="s">
        <v>195</v>
      </c>
      <c r="F556" s="21" t="s">
        <v>198</v>
      </c>
      <c r="G556" s="27">
        <v>567.4</v>
      </c>
      <c r="H556" s="27">
        <v>567.3</v>
      </c>
      <c r="I556" s="27">
        <f t="shared" si="33"/>
        <v>99.98237574903067</v>
      </c>
    </row>
    <row r="557" spans="1:9" ht="15.75">
      <c r="A557" s="43" t="s">
        <v>442</v>
      </c>
      <c r="B557" s="20">
        <v>905</v>
      </c>
      <c r="C557" s="25" t="s">
        <v>285</v>
      </c>
      <c r="D557" s="25"/>
      <c r="E557" s="25"/>
      <c r="F557" s="25"/>
      <c r="G557" s="22">
        <f>G558</f>
        <v>263.2</v>
      </c>
      <c r="H557" s="22">
        <f>H558</f>
        <v>234.1</v>
      </c>
      <c r="I557" s="22">
        <f t="shared" si="33"/>
        <v>88.94376899696049</v>
      </c>
    </row>
    <row r="558" spans="1:9" ht="15.75">
      <c r="A558" s="43" t="s">
        <v>443</v>
      </c>
      <c r="B558" s="20">
        <v>905</v>
      </c>
      <c r="C558" s="25" t="s">
        <v>285</v>
      </c>
      <c r="D558" s="25" t="s">
        <v>169</v>
      </c>
      <c r="E558" s="25"/>
      <c r="F558" s="25"/>
      <c r="G558" s="22">
        <f>G559</f>
        <v>263.2</v>
      </c>
      <c r="H558" s="22">
        <f>H559</f>
        <v>234.1</v>
      </c>
      <c r="I558" s="22">
        <f t="shared" si="33"/>
        <v>88.94376899696049</v>
      </c>
    </row>
    <row r="559" spans="1:9" ht="15.75">
      <c r="A559" s="31" t="s">
        <v>172</v>
      </c>
      <c r="B559" s="17">
        <v>905</v>
      </c>
      <c r="C559" s="21" t="s">
        <v>285</v>
      </c>
      <c r="D559" s="21" t="s">
        <v>169</v>
      </c>
      <c r="E559" s="21" t="s">
        <v>173</v>
      </c>
      <c r="F559" s="21"/>
      <c r="G559" s="27">
        <f>G565+G560</f>
        <v>263.2</v>
      </c>
      <c r="H559" s="27">
        <f>H565+H560</f>
        <v>234.1</v>
      </c>
      <c r="I559" s="27">
        <f t="shared" si="33"/>
        <v>88.94376899696049</v>
      </c>
    </row>
    <row r="560" spans="1:9" ht="31.5" customHeight="1" hidden="1">
      <c r="A560" s="26" t="s">
        <v>236</v>
      </c>
      <c r="B560" s="39">
        <v>905</v>
      </c>
      <c r="C560" s="21" t="s">
        <v>285</v>
      </c>
      <c r="D560" s="21" t="s">
        <v>169</v>
      </c>
      <c r="E560" s="21" t="s">
        <v>237</v>
      </c>
      <c r="F560" s="21"/>
      <c r="G560" s="27">
        <f aca="true" t="shared" si="38" ref="G560:H563">G561</f>
        <v>0</v>
      </c>
      <c r="H560" s="27">
        <f t="shared" si="38"/>
        <v>0</v>
      </c>
      <c r="I560" s="27" t="e">
        <f t="shared" si="33"/>
        <v>#DIV/0!</v>
      </c>
    </row>
    <row r="561" spans="1:9" ht="47.25" customHeight="1" hidden="1">
      <c r="A561" s="38" t="s">
        <v>444</v>
      </c>
      <c r="B561" s="39">
        <v>905</v>
      </c>
      <c r="C561" s="21" t="s">
        <v>285</v>
      </c>
      <c r="D561" s="21" t="s">
        <v>169</v>
      </c>
      <c r="E561" s="21" t="s">
        <v>445</v>
      </c>
      <c r="F561" s="21"/>
      <c r="G561" s="27">
        <f t="shared" si="38"/>
        <v>0</v>
      </c>
      <c r="H561" s="27">
        <f t="shared" si="38"/>
        <v>0</v>
      </c>
      <c r="I561" s="27" t="e">
        <f t="shared" si="33"/>
        <v>#DIV/0!</v>
      </c>
    </row>
    <row r="562" spans="1:9" ht="31.5" customHeight="1" hidden="1">
      <c r="A562" s="44" t="s">
        <v>446</v>
      </c>
      <c r="B562" s="39">
        <v>905</v>
      </c>
      <c r="C562" s="21" t="s">
        <v>285</v>
      </c>
      <c r="D562" s="21" t="s">
        <v>169</v>
      </c>
      <c r="E562" s="21" t="s">
        <v>447</v>
      </c>
      <c r="F562" s="21"/>
      <c r="G562" s="27">
        <f t="shared" si="38"/>
        <v>0</v>
      </c>
      <c r="H562" s="27">
        <f t="shared" si="38"/>
        <v>0</v>
      </c>
      <c r="I562" s="27" t="e">
        <f t="shared" si="33"/>
        <v>#DIV/0!</v>
      </c>
    </row>
    <row r="563" spans="1:9" ht="31.5" customHeight="1" hidden="1">
      <c r="A563" s="26" t="s">
        <v>182</v>
      </c>
      <c r="B563" s="17">
        <v>905</v>
      </c>
      <c r="C563" s="21" t="s">
        <v>285</v>
      </c>
      <c r="D563" s="21" t="s">
        <v>169</v>
      </c>
      <c r="E563" s="21" t="s">
        <v>447</v>
      </c>
      <c r="F563" s="21" t="s">
        <v>183</v>
      </c>
      <c r="G563" s="27">
        <f t="shared" si="38"/>
        <v>0</v>
      </c>
      <c r="H563" s="27">
        <f t="shared" si="38"/>
        <v>0</v>
      </c>
      <c r="I563" s="27" t="e">
        <f t="shared" si="33"/>
        <v>#DIV/0!</v>
      </c>
    </row>
    <row r="564" spans="1:9" ht="47.25" customHeight="1" hidden="1">
      <c r="A564" s="26" t="s">
        <v>184</v>
      </c>
      <c r="B564" s="17">
        <v>905</v>
      </c>
      <c r="C564" s="21" t="s">
        <v>285</v>
      </c>
      <c r="D564" s="21" t="s">
        <v>169</v>
      </c>
      <c r="E564" s="21" t="s">
        <v>447</v>
      </c>
      <c r="F564" s="21" t="s">
        <v>185</v>
      </c>
      <c r="G564" s="27"/>
      <c r="H564" s="27"/>
      <c r="I564" s="27" t="e">
        <f t="shared" si="33"/>
        <v>#DIV/0!</v>
      </c>
    </row>
    <row r="565" spans="1:9" ht="15.75">
      <c r="A565" s="31" t="s">
        <v>192</v>
      </c>
      <c r="B565" s="17">
        <v>905</v>
      </c>
      <c r="C565" s="21" t="s">
        <v>285</v>
      </c>
      <c r="D565" s="21" t="s">
        <v>169</v>
      </c>
      <c r="E565" s="21" t="s">
        <v>193</v>
      </c>
      <c r="F565" s="21"/>
      <c r="G565" s="27">
        <f>G566+G569</f>
        <v>263.2</v>
      </c>
      <c r="H565" s="27">
        <f>H566+H569</f>
        <v>234.1</v>
      </c>
      <c r="I565" s="27">
        <f t="shared" si="33"/>
        <v>88.94376899696049</v>
      </c>
    </row>
    <row r="566" spans="1:9" ht="31.5">
      <c r="A566" s="31" t="s">
        <v>450</v>
      </c>
      <c r="B566" s="17">
        <v>905</v>
      </c>
      <c r="C566" s="21" t="s">
        <v>285</v>
      </c>
      <c r="D566" s="21" t="s">
        <v>169</v>
      </c>
      <c r="E566" s="21" t="s">
        <v>451</v>
      </c>
      <c r="F566" s="21"/>
      <c r="G566" s="27">
        <f>G567</f>
        <v>263.2</v>
      </c>
      <c r="H566" s="27">
        <f>H567</f>
        <v>234.1</v>
      </c>
      <c r="I566" s="27">
        <f t="shared" si="33"/>
        <v>88.94376899696049</v>
      </c>
    </row>
    <row r="567" spans="1:9" ht="31.5">
      <c r="A567" s="26" t="s">
        <v>182</v>
      </c>
      <c r="B567" s="17">
        <v>905</v>
      </c>
      <c r="C567" s="21" t="s">
        <v>285</v>
      </c>
      <c r="D567" s="21" t="s">
        <v>169</v>
      </c>
      <c r="E567" s="21" t="s">
        <v>451</v>
      </c>
      <c r="F567" s="21" t="s">
        <v>183</v>
      </c>
      <c r="G567" s="27">
        <f>G568</f>
        <v>263.2</v>
      </c>
      <c r="H567" s="27">
        <f>H568</f>
        <v>234.1</v>
      </c>
      <c r="I567" s="27">
        <f t="shared" si="33"/>
        <v>88.94376899696049</v>
      </c>
    </row>
    <row r="568" spans="1:9" ht="47.25">
      <c r="A568" s="26" t="s">
        <v>184</v>
      </c>
      <c r="B568" s="17">
        <v>905</v>
      </c>
      <c r="C568" s="21" t="s">
        <v>285</v>
      </c>
      <c r="D568" s="21" t="s">
        <v>169</v>
      </c>
      <c r="E568" s="21" t="s">
        <v>451</v>
      </c>
      <c r="F568" s="21" t="s">
        <v>185</v>
      </c>
      <c r="G568" s="27">
        <v>263.2</v>
      </c>
      <c r="H568" s="27">
        <v>234.1</v>
      </c>
      <c r="I568" s="27">
        <f t="shared" si="33"/>
        <v>88.94376899696049</v>
      </c>
    </row>
    <row r="569" spans="1:9" ht="15.75" hidden="1">
      <c r="A569" s="31" t="s">
        <v>448</v>
      </c>
      <c r="B569" s="17">
        <v>905</v>
      </c>
      <c r="C569" s="21" t="s">
        <v>285</v>
      </c>
      <c r="D569" s="21" t="s">
        <v>169</v>
      </c>
      <c r="E569" s="21" t="s">
        <v>449</v>
      </c>
      <c r="F569" s="21"/>
      <c r="G569" s="27">
        <f>G570</f>
        <v>0</v>
      </c>
      <c r="H569" s="27">
        <f>H570</f>
        <v>0</v>
      </c>
      <c r="I569" s="22" t="e">
        <f t="shared" si="33"/>
        <v>#DIV/0!</v>
      </c>
    </row>
    <row r="570" spans="1:9" ht="31.5" hidden="1">
      <c r="A570" s="26" t="s">
        <v>182</v>
      </c>
      <c r="B570" s="17">
        <v>905</v>
      </c>
      <c r="C570" s="21" t="s">
        <v>285</v>
      </c>
      <c r="D570" s="21" t="s">
        <v>169</v>
      </c>
      <c r="E570" s="21" t="s">
        <v>449</v>
      </c>
      <c r="F570" s="21" t="s">
        <v>183</v>
      </c>
      <c r="G570" s="27">
        <f>G571</f>
        <v>0</v>
      </c>
      <c r="H570" s="27">
        <f>H571</f>
        <v>0</v>
      </c>
      <c r="I570" s="22" t="e">
        <f t="shared" si="33"/>
        <v>#DIV/0!</v>
      </c>
    </row>
    <row r="571" spans="1:9" ht="47.25" hidden="1">
      <c r="A571" s="26" t="s">
        <v>184</v>
      </c>
      <c r="B571" s="17">
        <v>905</v>
      </c>
      <c r="C571" s="21" t="s">
        <v>285</v>
      </c>
      <c r="D571" s="21" t="s">
        <v>169</v>
      </c>
      <c r="E571" s="21" t="s">
        <v>449</v>
      </c>
      <c r="F571" s="21" t="s">
        <v>185</v>
      </c>
      <c r="G571" s="27">
        <v>0</v>
      </c>
      <c r="H571" s="27">
        <v>0</v>
      </c>
      <c r="I571" s="22" t="e">
        <f t="shared" si="33"/>
        <v>#DIV/0!</v>
      </c>
    </row>
    <row r="572" spans="1:9" ht="15.75" customHeight="1" hidden="1">
      <c r="A572" s="45" t="s">
        <v>294</v>
      </c>
      <c r="B572" s="20">
        <v>905</v>
      </c>
      <c r="C572" s="25" t="s">
        <v>295</v>
      </c>
      <c r="D572" s="25"/>
      <c r="E572" s="25"/>
      <c r="F572" s="25"/>
      <c r="G572" s="22">
        <f aca="true" t="shared" si="39" ref="G572:H576">G573</f>
        <v>0</v>
      </c>
      <c r="H572" s="22">
        <f t="shared" si="39"/>
        <v>0</v>
      </c>
      <c r="I572" s="22" t="e">
        <f t="shared" si="33"/>
        <v>#DIV/0!</v>
      </c>
    </row>
    <row r="573" spans="1:9" ht="15.75" customHeight="1" hidden="1">
      <c r="A573" s="24" t="s">
        <v>452</v>
      </c>
      <c r="B573" s="20">
        <v>905</v>
      </c>
      <c r="C573" s="25" t="s">
        <v>295</v>
      </c>
      <c r="D573" s="25" t="s">
        <v>201</v>
      </c>
      <c r="E573" s="25"/>
      <c r="F573" s="25"/>
      <c r="G573" s="22">
        <f t="shared" si="39"/>
        <v>0</v>
      </c>
      <c r="H573" s="22">
        <f t="shared" si="39"/>
        <v>0</v>
      </c>
      <c r="I573" s="22" t="e">
        <f t="shared" si="33"/>
        <v>#DIV/0!</v>
      </c>
    </row>
    <row r="574" spans="1:9" ht="31.5" customHeight="1" hidden="1">
      <c r="A574" s="26" t="s">
        <v>236</v>
      </c>
      <c r="B574" s="17">
        <v>905</v>
      </c>
      <c r="C574" s="21" t="s">
        <v>295</v>
      </c>
      <c r="D574" s="21" t="s">
        <v>201</v>
      </c>
      <c r="E574" s="21" t="s">
        <v>237</v>
      </c>
      <c r="F574" s="21"/>
      <c r="G574" s="27">
        <f t="shared" si="39"/>
        <v>0</v>
      </c>
      <c r="H574" s="27">
        <f t="shared" si="39"/>
        <v>0</v>
      </c>
      <c r="I574" s="22" t="e">
        <f t="shared" si="33"/>
        <v>#DIV/0!</v>
      </c>
    </row>
    <row r="575" spans="1:9" ht="64.5" customHeight="1" hidden="1">
      <c r="A575" s="33" t="s">
        <v>948</v>
      </c>
      <c r="B575" s="17">
        <v>905</v>
      </c>
      <c r="C575" s="21" t="s">
        <v>295</v>
      </c>
      <c r="D575" s="21" t="s">
        <v>201</v>
      </c>
      <c r="E575" s="21" t="s">
        <v>949</v>
      </c>
      <c r="F575" s="21"/>
      <c r="G575" s="27">
        <f t="shared" si="39"/>
        <v>0</v>
      </c>
      <c r="H575" s="27">
        <f t="shared" si="39"/>
        <v>0</v>
      </c>
      <c r="I575" s="22" t="e">
        <f t="shared" si="33"/>
        <v>#DIV/0!</v>
      </c>
    </row>
    <row r="576" spans="1:9" ht="31.5" customHeight="1" hidden="1">
      <c r="A576" s="26" t="s">
        <v>182</v>
      </c>
      <c r="B576" s="17">
        <v>905</v>
      </c>
      <c r="C576" s="21" t="s">
        <v>295</v>
      </c>
      <c r="D576" s="21" t="s">
        <v>201</v>
      </c>
      <c r="E576" s="21" t="s">
        <v>949</v>
      </c>
      <c r="F576" s="21" t="s">
        <v>183</v>
      </c>
      <c r="G576" s="27">
        <f t="shared" si="39"/>
        <v>0</v>
      </c>
      <c r="H576" s="27">
        <f t="shared" si="39"/>
        <v>0</v>
      </c>
      <c r="I576" s="22" t="e">
        <f t="shared" si="33"/>
        <v>#DIV/0!</v>
      </c>
    </row>
    <row r="577" spans="1:9" ht="47.25" customHeight="1" hidden="1">
      <c r="A577" s="26" t="s">
        <v>184</v>
      </c>
      <c r="B577" s="17">
        <v>905</v>
      </c>
      <c r="C577" s="21" t="s">
        <v>295</v>
      </c>
      <c r="D577" s="21" t="s">
        <v>201</v>
      </c>
      <c r="E577" s="21" t="s">
        <v>949</v>
      </c>
      <c r="F577" s="21" t="s">
        <v>185</v>
      </c>
      <c r="G577" s="27">
        <f>378.5-378.5</f>
        <v>0</v>
      </c>
      <c r="H577" s="27">
        <f>378.5-378.5</f>
        <v>0</v>
      </c>
      <c r="I577" s="22" t="e">
        <f t="shared" si="33"/>
        <v>#DIV/0!</v>
      </c>
    </row>
    <row r="578" spans="1:9" ht="31.5">
      <c r="A578" s="20" t="s">
        <v>455</v>
      </c>
      <c r="B578" s="20">
        <v>906</v>
      </c>
      <c r="C578" s="25"/>
      <c r="D578" s="25"/>
      <c r="E578" s="25"/>
      <c r="F578" s="25"/>
      <c r="G578" s="22">
        <f>G597+G579</f>
        <v>298882.6</v>
      </c>
      <c r="H578" s="22">
        <f>H597+H579</f>
        <v>297244.5</v>
      </c>
      <c r="I578" s="22">
        <f t="shared" si="33"/>
        <v>99.4519252709927</v>
      </c>
    </row>
    <row r="579" spans="1:9" ht="15.75">
      <c r="A579" s="24" t="s">
        <v>168</v>
      </c>
      <c r="B579" s="20">
        <v>906</v>
      </c>
      <c r="C579" s="25" t="s">
        <v>169</v>
      </c>
      <c r="D579" s="25"/>
      <c r="E579" s="25"/>
      <c r="F579" s="25"/>
      <c r="G579" s="22">
        <f>G580</f>
        <v>1698.3</v>
      </c>
      <c r="H579" s="22">
        <f>H580</f>
        <v>1607.2</v>
      </c>
      <c r="I579" s="22">
        <f t="shared" si="33"/>
        <v>94.63581228287111</v>
      </c>
    </row>
    <row r="580" spans="1:9" ht="15.75">
      <c r="A580" s="36" t="s">
        <v>190</v>
      </c>
      <c r="B580" s="20">
        <v>906</v>
      </c>
      <c r="C580" s="25" t="s">
        <v>169</v>
      </c>
      <c r="D580" s="25" t="s">
        <v>191</v>
      </c>
      <c r="E580" s="25"/>
      <c r="F580" s="25"/>
      <c r="G580" s="22">
        <f>G588+G581+G593</f>
        <v>1698.3</v>
      </c>
      <c r="H580" s="22">
        <f>H588+H581+H593</f>
        <v>1607.2</v>
      </c>
      <c r="I580" s="22">
        <f t="shared" si="33"/>
        <v>94.63581228287111</v>
      </c>
    </row>
    <row r="581" spans="1:9" ht="47.25">
      <c r="A581" s="26" t="s">
        <v>385</v>
      </c>
      <c r="B581" s="17">
        <v>906</v>
      </c>
      <c r="C581" s="21" t="s">
        <v>169</v>
      </c>
      <c r="D581" s="21" t="s">
        <v>191</v>
      </c>
      <c r="E581" s="21" t="s">
        <v>386</v>
      </c>
      <c r="F581" s="21"/>
      <c r="G581" s="27">
        <f>G582+G585</f>
        <v>60</v>
      </c>
      <c r="H581" s="27">
        <f>H582+H585</f>
        <v>11.2</v>
      </c>
      <c r="I581" s="27">
        <f t="shared" si="33"/>
        <v>18.666666666666664</v>
      </c>
    </row>
    <row r="582" spans="1:9" ht="47.25">
      <c r="A582" s="121" t="s">
        <v>917</v>
      </c>
      <c r="B582" s="17">
        <v>906</v>
      </c>
      <c r="C582" s="21" t="s">
        <v>169</v>
      </c>
      <c r="D582" s="21" t="s">
        <v>191</v>
      </c>
      <c r="E582" s="21" t="s">
        <v>388</v>
      </c>
      <c r="F582" s="21"/>
      <c r="G582" s="27">
        <f>G583</f>
        <v>50</v>
      </c>
      <c r="H582" s="27">
        <f>H583</f>
        <v>11.2</v>
      </c>
      <c r="I582" s="27">
        <f t="shared" si="33"/>
        <v>22.4</v>
      </c>
    </row>
    <row r="583" spans="1:9" ht="31.5">
      <c r="A583" s="26" t="s">
        <v>182</v>
      </c>
      <c r="B583" s="17">
        <v>906</v>
      </c>
      <c r="C583" s="21" t="s">
        <v>169</v>
      </c>
      <c r="D583" s="21" t="s">
        <v>191</v>
      </c>
      <c r="E583" s="21" t="s">
        <v>388</v>
      </c>
      <c r="F583" s="21" t="s">
        <v>183</v>
      </c>
      <c r="G583" s="27">
        <f>G584</f>
        <v>50</v>
      </c>
      <c r="H583" s="27">
        <f>H584</f>
        <v>11.2</v>
      </c>
      <c r="I583" s="27">
        <f t="shared" si="33"/>
        <v>22.4</v>
      </c>
    </row>
    <row r="584" spans="1:9" ht="47.25">
      <c r="A584" s="26" t="s">
        <v>184</v>
      </c>
      <c r="B584" s="17">
        <v>906</v>
      </c>
      <c r="C584" s="21" t="s">
        <v>169</v>
      </c>
      <c r="D584" s="21" t="s">
        <v>191</v>
      </c>
      <c r="E584" s="21" t="s">
        <v>388</v>
      </c>
      <c r="F584" s="21" t="s">
        <v>185</v>
      </c>
      <c r="G584" s="27">
        <v>50</v>
      </c>
      <c r="H584" s="27">
        <v>11.2</v>
      </c>
      <c r="I584" s="27">
        <f t="shared" si="33"/>
        <v>22.4</v>
      </c>
    </row>
    <row r="585" spans="1:9" ht="31.5">
      <c r="A585" s="33" t="s">
        <v>922</v>
      </c>
      <c r="B585" s="17">
        <v>906</v>
      </c>
      <c r="C585" s="21" t="s">
        <v>169</v>
      </c>
      <c r="D585" s="21" t="s">
        <v>191</v>
      </c>
      <c r="E585" s="21" t="s">
        <v>921</v>
      </c>
      <c r="F585" s="21"/>
      <c r="G585" s="27">
        <f>G586</f>
        <v>10</v>
      </c>
      <c r="H585" s="27">
        <f>H586</f>
        <v>0</v>
      </c>
      <c r="I585" s="27">
        <f t="shared" si="33"/>
        <v>0</v>
      </c>
    </row>
    <row r="586" spans="1:9" ht="31.5">
      <c r="A586" s="26" t="s">
        <v>182</v>
      </c>
      <c r="B586" s="17">
        <v>906</v>
      </c>
      <c r="C586" s="21" t="s">
        <v>169</v>
      </c>
      <c r="D586" s="21" t="s">
        <v>191</v>
      </c>
      <c r="E586" s="21" t="s">
        <v>921</v>
      </c>
      <c r="F586" s="21" t="s">
        <v>183</v>
      </c>
      <c r="G586" s="27">
        <f>G587</f>
        <v>10</v>
      </c>
      <c r="H586" s="27">
        <f>H587</f>
        <v>0</v>
      </c>
      <c r="I586" s="27">
        <f t="shared" si="33"/>
        <v>0</v>
      </c>
    </row>
    <row r="587" spans="1:9" ht="47.25">
      <c r="A587" s="26" t="s">
        <v>184</v>
      </c>
      <c r="B587" s="17">
        <v>906</v>
      </c>
      <c r="C587" s="21" t="s">
        <v>169</v>
      </c>
      <c r="D587" s="21" t="s">
        <v>191</v>
      </c>
      <c r="E587" s="21" t="s">
        <v>921</v>
      </c>
      <c r="F587" s="21" t="s">
        <v>185</v>
      </c>
      <c r="G587" s="27">
        <v>10</v>
      </c>
      <c r="H587" s="27">
        <v>0</v>
      </c>
      <c r="I587" s="27">
        <f aca="true" t="shared" si="40" ref="I587:I650">H587/G587*100</f>
        <v>0</v>
      </c>
    </row>
    <row r="588" spans="1:9" ht="18" customHeight="1" hidden="1">
      <c r="A588" s="33" t="s">
        <v>172</v>
      </c>
      <c r="B588" s="17">
        <v>906</v>
      </c>
      <c r="C588" s="21" t="s">
        <v>169</v>
      </c>
      <c r="D588" s="21" t="s">
        <v>191</v>
      </c>
      <c r="E588" s="21" t="s">
        <v>173</v>
      </c>
      <c r="F588" s="21"/>
      <c r="G588" s="27">
        <f aca="true" t="shared" si="41" ref="G588:H591">G589</f>
        <v>0</v>
      </c>
      <c r="H588" s="27">
        <f t="shared" si="41"/>
        <v>0</v>
      </c>
      <c r="I588" s="27" t="e">
        <f t="shared" si="40"/>
        <v>#DIV/0!</v>
      </c>
    </row>
    <row r="589" spans="1:9" ht="15.75" hidden="1">
      <c r="A589" s="33" t="s">
        <v>192</v>
      </c>
      <c r="B589" s="17">
        <v>906</v>
      </c>
      <c r="C589" s="21" t="s">
        <v>169</v>
      </c>
      <c r="D589" s="21" t="s">
        <v>191</v>
      </c>
      <c r="E589" s="21" t="s">
        <v>193</v>
      </c>
      <c r="F589" s="21"/>
      <c r="G589" s="27">
        <f t="shared" si="41"/>
        <v>0</v>
      </c>
      <c r="H589" s="27">
        <f t="shared" si="41"/>
        <v>0</v>
      </c>
      <c r="I589" s="27" t="e">
        <f t="shared" si="40"/>
        <v>#DIV/0!</v>
      </c>
    </row>
    <row r="590" spans="1:9" ht="15.75" hidden="1">
      <c r="A590" s="26" t="s">
        <v>230</v>
      </c>
      <c r="B590" s="17">
        <v>906</v>
      </c>
      <c r="C590" s="21" t="s">
        <v>169</v>
      </c>
      <c r="D590" s="21" t="s">
        <v>191</v>
      </c>
      <c r="E590" s="21" t="s">
        <v>256</v>
      </c>
      <c r="F590" s="21"/>
      <c r="G590" s="27">
        <f t="shared" si="41"/>
        <v>0</v>
      </c>
      <c r="H590" s="27">
        <f t="shared" si="41"/>
        <v>0</v>
      </c>
      <c r="I590" s="27" t="e">
        <f t="shared" si="40"/>
        <v>#DIV/0!</v>
      </c>
    </row>
    <row r="591" spans="1:9" ht="31.5" hidden="1">
      <c r="A591" s="26" t="s">
        <v>182</v>
      </c>
      <c r="B591" s="17">
        <v>906</v>
      </c>
      <c r="C591" s="21" t="s">
        <v>169</v>
      </c>
      <c r="D591" s="21" t="s">
        <v>191</v>
      </c>
      <c r="E591" s="21" t="s">
        <v>256</v>
      </c>
      <c r="F591" s="21" t="s">
        <v>183</v>
      </c>
      <c r="G591" s="27">
        <f t="shared" si="41"/>
        <v>0</v>
      </c>
      <c r="H591" s="27">
        <f t="shared" si="41"/>
        <v>0</v>
      </c>
      <c r="I591" s="27" t="e">
        <f t="shared" si="40"/>
        <v>#DIV/0!</v>
      </c>
    </row>
    <row r="592" spans="1:9" ht="47.25" hidden="1">
      <c r="A592" s="26" t="s">
        <v>184</v>
      </c>
      <c r="B592" s="17">
        <v>906</v>
      </c>
      <c r="C592" s="21" t="s">
        <v>169</v>
      </c>
      <c r="D592" s="21" t="s">
        <v>191</v>
      </c>
      <c r="E592" s="21" t="s">
        <v>256</v>
      </c>
      <c r="F592" s="21" t="s">
        <v>185</v>
      </c>
      <c r="G592" s="27">
        <v>0</v>
      </c>
      <c r="H592" s="27">
        <v>0</v>
      </c>
      <c r="I592" s="27" t="e">
        <f t="shared" si="40"/>
        <v>#DIV/0!</v>
      </c>
    </row>
    <row r="593" spans="1:9" ht="63">
      <c r="A593" s="31" t="s">
        <v>797</v>
      </c>
      <c r="B593" s="17">
        <v>906</v>
      </c>
      <c r="C593" s="21" t="s">
        <v>169</v>
      </c>
      <c r="D593" s="21" t="s">
        <v>191</v>
      </c>
      <c r="E593" s="21" t="s">
        <v>795</v>
      </c>
      <c r="F593" s="34"/>
      <c r="G593" s="27">
        <f aca="true" t="shared" si="42" ref="G593:H595">G594</f>
        <v>1638.3</v>
      </c>
      <c r="H593" s="27">
        <f t="shared" si="42"/>
        <v>1596</v>
      </c>
      <c r="I593" s="27">
        <f t="shared" si="40"/>
        <v>97.41805530122689</v>
      </c>
    </row>
    <row r="594" spans="1:9" ht="47.25">
      <c r="A594" s="123" t="s">
        <v>943</v>
      </c>
      <c r="B594" s="17">
        <v>906</v>
      </c>
      <c r="C594" s="21" t="s">
        <v>169</v>
      </c>
      <c r="D594" s="21" t="s">
        <v>191</v>
      </c>
      <c r="E594" s="21" t="s">
        <v>944</v>
      </c>
      <c r="F594" s="34"/>
      <c r="G594" s="27">
        <f t="shared" si="42"/>
        <v>1638.3</v>
      </c>
      <c r="H594" s="27">
        <f t="shared" si="42"/>
        <v>1596</v>
      </c>
      <c r="I594" s="27">
        <f t="shared" si="40"/>
        <v>97.41805530122689</v>
      </c>
    </row>
    <row r="595" spans="1:9" ht="47.25">
      <c r="A595" s="31" t="s">
        <v>323</v>
      </c>
      <c r="B595" s="17">
        <v>906</v>
      </c>
      <c r="C595" s="21" t="s">
        <v>169</v>
      </c>
      <c r="D595" s="21" t="s">
        <v>191</v>
      </c>
      <c r="E595" s="21" t="s">
        <v>944</v>
      </c>
      <c r="F595" s="34" t="s">
        <v>324</v>
      </c>
      <c r="G595" s="27">
        <f t="shared" si="42"/>
        <v>1638.3</v>
      </c>
      <c r="H595" s="27">
        <f t="shared" si="42"/>
        <v>1596</v>
      </c>
      <c r="I595" s="27">
        <f t="shared" si="40"/>
        <v>97.41805530122689</v>
      </c>
    </row>
    <row r="596" spans="1:10" ht="15.75">
      <c r="A596" s="246" t="s">
        <v>325</v>
      </c>
      <c r="B596" s="17">
        <v>906</v>
      </c>
      <c r="C596" s="21" t="s">
        <v>169</v>
      </c>
      <c r="D596" s="21" t="s">
        <v>191</v>
      </c>
      <c r="E596" s="21" t="s">
        <v>944</v>
      </c>
      <c r="F596" s="34" t="s">
        <v>326</v>
      </c>
      <c r="G596" s="27">
        <v>1638.3</v>
      </c>
      <c r="H596" s="27">
        <v>1596</v>
      </c>
      <c r="I596" s="27">
        <f t="shared" si="40"/>
        <v>97.41805530122689</v>
      </c>
      <c r="J596" s="247"/>
    </row>
    <row r="597" spans="1:9" ht="15.75">
      <c r="A597" s="24" t="s">
        <v>314</v>
      </c>
      <c r="B597" s="20">
        <v>906</v>
      </c>
      <c r="C597" s="25" t="s">
        <v>315</v>
      </c>
      <c r="D597" s="25"/>
      <c r="E597" s="25"/>
      <c r="F597" s="25"/>
      <c r="G597" s="22">
        <f>G598+G649+G742+G754+G718</f>
        <v>297184.3</v>
      </c>
      <c r="H597" s="22">
        <f>H598+H649+H742+H754+H718</f>
        <v>295637.3</v>
      </c>
      <c r="I597" s="22">
        <f t="shared" si="40"/>
        <v>99.47944760204358</v>
      </c>
    </row>
    <row r="598" spans="1:12" ht="15.75">
      <c r="A598" s="24" t="s">
        <v>456</v>
      </c>
      <c r="B598" s="20">
        <v>906</v>
      </c>
      <c r="C598" s="25" t="s">
        <v>315</v>
      </c>
      <c r="D598" s="25" t="s">
        <v>169</v>
      </c>
      <c r="E598" s="25"/>
      <c r="F598" s="25"/>
      <c r="G598" s="22">
        <f>G599+G626</f>
        <v>96331.9</v>
      </c>
      <c r="H598" s="22">
        <f>H599+H626</f>
        <v>95786.1</v>
      </c>
      <c r="I598" s="22">
        <f t="shared" si="40"/>
        <v>99.43341717541128</v>
      </c>
      <c r="J598" s="209"/>
      <c r="K598" s="281"/>
      <c r="L598" s="281"/>
    </row>
    <row r="599" spans="1:9" ht="47.25">
      <c r="A599" s="26" t="s">
        <v>457</v>
      </c>
      <c r="B599" s="17">
        <v>906</v>
      </c>
      <c r="C599" s="21" t="s">
        <v>315</v>
      </c>
      <c r="D599" s="21" t="s">
        <v>169</v>
      </c>
      <c r="E599" s="21" t="s">
        <v>458</v>
      </c>
      <c r="F599" s="21"/>
      <c r="G599" s="27">
        <f>G600+G604</f>
        <v>24335.199999999997</v>
      </c>
      <c r="H599" s="27">
        <f>H600+H604</f>
        <v>24206.3</v>
      </c>
      <c r="I599" s="27">
        <f t="shared" si="40"/>
        <v>99.47031460600284</v>
      </c>
    </row>
    <row r="600" spans="1:9" ht="38.25" customHeight="1">
      <c r="A600" s="26" t="s">
        <v>459</v>
      </c>
      <c r="B600" s="17">
        <v>906</v>
      </c>
      <c r="C600" s="21" t="s">
        <v>315</v>
      </c>
      <c r="D600" s="21" t="s">
        <v>169</v>
      </c>
      <c r="E600" s="21" t="s">
        <v>460</v>
      </c>
      <c r="F600" s="21"/>
      <c r="G600" s="27">
        <f aca="true" t="shared" si="43" ref="G600:H602">G601</f>
        <v>16938.6</v>
      </c>
      <c r="H600" s="27">
        <f t="shared" si="43"/>
        <v>16938.6</v>
      </c>
      <c r="I600" s="27">
        <f t="shared" si="40"/>
        <v>100</v>
      </c>
    </row>
    <row r="601" spans="1:9" ht="47.25">
      <c r="A601" s="26" t="s">
        <v>461</v>
      </c>
      <c r="B601" s="17">
        <v>906</v>
      </c>
      <c r="C601" s="21" t="s">
        <v>315</v>
      </c>
      <c r="D601" s="21" t="s">
        <v>169</v>
      </c>
      <c r="E601" s="21" t="s">
        <v>462</v>
      </c>
      <c r="F601" s="21"/>
      <c r="G601" s="27">
        <f t="shared" si="43"/>
        <v>16938.6</v>
      </c>
      <c r="H601" s="27">
        <f t="shared" si="43"/>
        <v>16938.6</v>
      </c>
      <c r="I601" s="27">
        <f t="shared" si="40"/>
        <v>100</v>
      </c>
    </row>
    <row r="602" spans="1:9" ht="47.25">
      <c r="A602" s="26" t="s">
        <v>323</v>
      </c>
      <c r="B602" s="17">
        <v>906</v>
      </c>
      <c r="C602" s="21" t="s">
        <v>315</v>
      </c>
      <c r="D602" s="21" t="s">
        <v>169</v>
      </c>
      <c r="E602" s="21" t="s">
        <v>462</v>
      </c>
      <c r="F602" s="21" t="s">
        <v>324</v>
      </c>
      <c r="G602" s="27">
        <f t="shared" si="43"/>
        <v>16938.6</v>
      </c>
      <c r="H602" s="27">
        <f t="shared" si="43"/>
        <v>16938.6</v>
      </c>
      <c r="I602" s="27">
        <f t="shared" si="40"/>
        <v>100</v>
      </c>
    </row>
    <row r="603" spans="1:14" ht="15.75">
      <c r="A603" s="26" t="s">
        <v>325</v>
      </c>
      <c r="B603" s="17">
        <v>906</v>
      </c>
      <c r="C603" s="21" t="s">
        <v>315</v>
      </c>
      <c r="D603" s="21" t="s">
        <v>169</v>
      </c>
      <c r="E603" s="21" t="s">
        <v>462</v>
      </c>
      <c r="F603" s="21" t="s">
        <v>326</v>
      </c>
      <c r="G603" s="28">
        <f>13780.9+2000-464.3+160+100+154.8+28+833.2+484.6-520+381.4</f>
        <v>16938.6</v>
      </c>
      <c r="H603" s="28">
        <v>16938.6</v>
      </c>
      <c r="I603" s="27">
        <f t="shared" si="40"/>
        <v>100</v>
      </c>
      <c r="J603" s="275"/>
      <c r="K603" s="309"/>
      <c r="L603" s="309"/>
      <c r="N603" s="310"/>
    </row>
    <row r="604" spans="1:14" ht="30" customHeight="1">
      <c r="A604" s="26" t="s">
        <v>463</v>
      </c>
      <c r="B604" s="17">
        <v>906</v>
      </c>
      <c r="C604" s="21" t="s">
        <v>315</v>
      </c>
      <c r="D604" s="21" t="s">
        <v>169</v>
      </c>
      <c r="E604" s="21" t="s">
        <v>464</v>
      </c>
      <c r="F604" s="21"/>
      <c r="G604" s="27">
        <f>G605+G608+G611+G614+G617+G620+G623</f>
        <v>7396.599999999999</v>
      </c>
      <c r="H604" s="27">
        <f>H605+H608+H611+H614+H617+H620+H623</f>
        <v>7267.7</v>
      </c>
      <c r="I604" s="27">
        <f t="shared" si="40"/>
        <v>98.25730741151341</v>
      </c>
      <c r="K604" s="401"/>
      <c r="L604" s="401"/>
      <c r="M604" s="401"/>
      <c r="N604" s="311"/>
    </row>
    <row r="605" spans="1:9" ht="47.25" customHeight="1">
      <c r="A605" s="26" t="s">
        <v>329</v>
      </c>
      <c r="B605" s="17">
        <v>906</v>
      </c>
      <c r="C605" s="21" t="s">
        <v>315</v>
      </c>
      <c r="D605" s="21" t="s">
        <v>169</v>
      </c>
      <c r="E605" s="21" t="s">
        <v>465</v>
      </c>
      <c r="F605" s="21"/>
      <c r="G605" s="27">
        <f>G606</f>
        <v>100</v>
      </c>
      <c r="H605" s="27">
        <f>H606</f>
        <v>100</v>
      </c>
      <c r="I605" s="27">
        <f t="shared" si="40"/>
        <v>100</v>
      </c>
    </row>
    <row r="606" spans="1:9" ht="47.25" customHeight="1">
      <c r="A606" s="26" t="s">
        <v>323</v>
      </c>
      <c r="B606" s="17">
        <v>906</v>
      </c>
      <c r="C606" s="21" t="s">
        <v>315</v>
      </c>
      <c r="D606" s="21" t="s">
        <v>169</v>
      </c>
      <c r="E606" s="21" t="s">
        <v>465</v>
      </c>
      <c r="F606" s="21" t="s">
        <v>324</v>
      </c>
      <c r="G606" s="27">
        <f>G607</f>
        <v>100</v>
      </c>
      <c r="H606" s="27">
        <f>H607</f>
        <v>100</v>
      </c>
      <c r="I606" s="27">
        <f t="shared" si="40"/>
        <v>100</v>
      </c>
    </row>
    <row r="607" spans="1:9" ht="15.75" customHeight="1">
      <c r="A607" s="26" t="s">
        <v>325</v>
      </c>
      <c r="B607" s="17">
        <v>906</v>
      </c>
      <c r="C607" s="21" t="s">
        <v>315</v>
      </c>
      <c r="D607" s="21" t="s">
        <v>169</v>
      </c>
      <c r="E607" s="21" t="s">
        <v>465</v>
      </c>
      <c r="F607" s="21" t="s">
        <v>326</v>
      </c>
      <c r="G607" s="27">
        <f>200-100</f>
        <v>100</v>
      </c>
      <c r="H607" s="27">
        <v>100</v>
      </c>
      <c r="I607" s="27">
        <f t="shared" si="40"/>
        <v>100</v>
      </c>
    </row>
    <row r="608" spans="1:9" ht="31.5">
      <c r="A608" s="26" t="s">
        <v>331</v>
      </c>
      <c r="B608" s="17">
        <v>906</v>
      </c>
      <c r="C608" s="21" t="s">
        <v>315</v>
      </c>
      <c r="D608" s="21" t="s">
        <v>169</v>
      </c>
      <c r="E608" s="21" t="s">
        <v>466</v>
      </c>
      <c r="F608" s="21"/>
      <c r="G608" s="27">
        <f>G609</f>
        <v>100</v>
      </c>
      <c r="H608" s="27">
        <f>H609</f>
        <v>100</v>
      </c>
      <c r="I608" s="27">
        <f t="shared" si="40"/>
        <v>100</v>
      </c>
    </row>
    <row r="609" spans="1:9" ht="47.25">
      <c r="A609" s="26" t="s">
        <v>323</v>
      </c>
      <c r="B609" s="17">
        <v>906</v>
      </c>
      <c r="C609" s="21" t="s">
        <v>315</v>
      </c>
      <c r="D609" s="21" t="s">
        <v>169</v>
      </c>
      <c r="E609" s="21" t="s">
        <v>466</v>
      </c>
      <c r="F609" s="21" t="s">
        <v>324</v>
      </c>
      <c r="G609" s="27">
        <f>G610</f>
        <v>100</v>
      </c>
      <c r="H609" s="27">
        <f>H610</f>
        <v>100</v>
      </c>
      <c r="I609" s="27">
        <f t="shared" si="40"/>
        <v>100</v>
      </c>
    </row>
    <row r="610" spans="1:9" ht="15.75">
      <c r="A610" s="26" t="s">
        <v>325</v>
      </c>
      <c r="B610" s="17">
        <v>906</v>
      </c>
      <c r="C610" s="21" t="s">
        <v>315</v>
      </c>
      <c r="D610" s="21" t="s">
        <v>169</v>
      </c>
      <c r="E610" s="21" t="s">
        <v>466</v>
      </c>
      <c r="F610" s="21" t="s">
        <v>326</v>
      </c>
      <c r="G610" s="27">
        <v>100</v>
      </c>
      <c r="H610" s="27">
        <v>100</v>
      </c>
      <c r="I610" s="27">
        <f t="shared" si="40"/>
        <v>100</v>
      </c>
    </row>
    <row r="611" spans="1:9" ht="47.25">
      <c r="A611" s="26" t="s">
        <v>467</v>
      </c>
      <c r="B611" s="17">
        <v>906</v>
      </c>
      <c r="C611" s="21" t="s">
        <v>315</v>
      </c>
      <c r="D611" s="21" t="s">
        <v>169</v>
      </c>
      <c r="E611" s="21" t="s">
        <v>468</v>
      </c>
      <c r="F611" s="21"/>
      <c r="G611" s="27">
        <f>G612</f>
        <v>3615.2</v>
      </c>
      <c r="H611" s="27">
        <f>H612</f>
        <v>3500</v>
      </c>
      <c r="I611" s="27">
        <f t="shared" si="40"/>
        <v>96.81345430404957</v>
      </c>
    </row>
    <row r="612" spans="1:9" ht="47.25">
      <c r="A612" s="26" t="s">
        <v>323</v>
      </c>
      <c r="B612" s="17">
        <v>906</v>
      </c>
      <c r="C612" s="21" t="s">
        <v>315</v>
      </c>
      <c r="D612" s="21" t="s">
        <v>169</v>
      </c>
      <c r="E612" s="21" t="s">
        <v>468</v>
      </c>
      <c r="F612" s="21" t="s">
        <v>324</v>
      </c>
      <c r="G612" s="27">
        <f>G613</f>
        <v>3615.2</v>
      </c>
      <c r="H612" s="27">
        <f>H613</f>
        <v>3500</v>
      </c>
      <c r="I612" s="27">
        <f t="shared" si="40"/>
        <v>96.81345430404957</v>
      </c>
    </row>
    <row r="613" spans="1:9" ht="15.75">
      <c r="A613" s="26" t="s">
        <v>325</v>
      </c>
      <c r="B613" s="17">
        <v>906</v>
      </c>
      <c r="C613" s="21" t="s">
        <v>315</v>
      </c>
      <c r="D613" s="21" t="s">
        <v>169</v>
      </c>
      <c r="E613" s="21" t="s">
        <v>468</v>
      </c>
      <c r="F613" s="21" t="s">
        <v>326</v>
      </c>
      <c r="G613" s="28">
        <f>5168.8-1088.3-465.3</f>
        <v>3615.2</v>
      </c>
      <c r="H613" s="28">
        <v>3500</v>
      </c>
      <c r="I613" s="27">
        <f t="shared" si="40"/>
        <v>96.81345430404957</v>
      </c>
    </row>
    <row r="614" spans="1:9" ht="31.5" customHeight="1">
      <c r="A614" s="26" t="s">
        <v>335</v>
      </c>
      <c r="B614" s="17">
        <v>906</v>
      </c>
      <c r="C614" s="21" t="s">
        <v>315</v>
      </c>
      <c r="D614" s="21" t="s">
        <v>169</v>
      </c>
      <c r="E614" s="21" t="s">
        <v>469</v>
      </c>
      <c r="F614" s="21"/>
      <c r="G614" s="27">
        <f>G615</f>
        <v>97.2</v>
      </c>
      <c r="H614" s="27">
        <f>H615</f>
        <v>97.1</v>
      </c>
      <c r="I614" s="27">
        <f t="shared" si="40"/>
        <v>99.89711934156378</v>
      </c>
    </row>
    <row r="615" spans="1:9" ht="47.25" customHeight="1">
      <c r="A615" s="26" t="s">
        <v>323</v>
      </c>
      <c r="B615" s="17">
        <v>906</v>
      </c>
      <c r="C615" s="21" t="s">
        <v>315</v>
      </c>
      <c r="D615" s="21" t="s">
        <v>169</v>
      </c>
      <c r="E615" s="21" t="s">
        <v>469</v>
      </c>
      <c r="F615" s="21" t="s">
        <v>324</v>
      </c>
      <c r="G615" s="27">
        <f>G616</f>
        <v>97.2</v>
      </c>
      <c r="H615" s="27">
        <f>H616</f>
        <v>97.1</v>
      </c>
      <c r="I615" s="27">
        <f t="shared" si="40"/>
        <v>99.89711934156378</v>
      </c>
    </row>
    <row r="616" spans="1:9" ht="15.75" customHeight="1">
      <c r="A616" s="26" t="s">
        <v>325</v>
      </c>
      <c r="B616" s="17">
        <v>906</v>
      </c>
      <c r="C616" s="21" t="s">
        <v>315</v>
      </c>
      <c r="D616" s="21" t="s">
        <v>169</v>
      </c>
      <c r="E616" s="21" t="s">
        <v>469</v>
      </c>
      <c r="F616" s="21" t="s">
        <v>326</v>
      </c>
      <c r="G616" s="27">
        <v>97.2</v>
      </c>
      <c r="H616" s="27">
        <v>97.1</v>
      </c>
      <c r="I616" s="27">
        <f t="shared" si="40"/>
        <v>99.89711934156378</v>
      </c>
    </row>
    <row r="617" spans="1:9" ht="47.25" customHeight="1">
      <c r="A617" s="70" t="s">
        <v>857</v>
      </c>
      <c r="B617" s="17">
        <v>906</v>
      </c>
      <c r="C617" s="21" t="s">
        <v>315</v>
      </c>
      <c r="D617" s="21" t="s">
        <v>169</v>
      </c>
      <c r="E617" s="21" t="s">
        <v>860</v>
      </c>
      <c r="F617" s="21"/>
      <c r="G617" s="27">
        <f>G618</f>
        <v>2587</v>
      </c>
      <c r="H617" s="27">
        <f>H618</f>
        <v>2573.4</v>
      </c>
      <c r="I617" s="27">
        <f t="shared" si="40"/>
        <v>99.47429454967144</v>
      </c>
    </row>
    <row r="618" spans="1:9" ht="55.5" customHeight="1">
      <c r="A618" s="31" t="s">
        <v>323</v>
      </c>
      <c r="B618" s="17">
        <v>906</v>
      </c>
      <c r="C618" s="21" t="s">
        <v>315</v>
      </c>
      <c r="D618" s="21" t="s">
        <v>169</v>
      </c>
      <c r="E618" s="21" t="s">
        <v>860</v>
      </c>
      <c r="F618" s="21" t="s">
        <v>324</v>
      </c>
      <c r="G618" s="27">
        <f>G619</f>
        <v>2587</v>
      </c>
      <c r="H618" s="27">
        <f>H619</f>
        <v>2573.4</v>
      </c>
      <c r="I618" s="27">
        <f t="shared" si="40"/>
        <v>99.47429454967144</v>
      </c>
    </row>
    <row r="619" spans="1:9" ht="15.75" customHeight="1">
      <c r="A619" s="246" t="s">
        <v>325</v>
      </c>
      <c r="B619" s="17">
        <v>906</v>
      </c>
      <c r="C619" s="21" t="s">
        <v>315</v>
      </c>
      <c r="D619" s="21" t="s">
        <v>169</v>
      </c>
      <c r="E619" s="21" t="s">
        <v>860</v>
      </c>
      <c r="F619" s="21" t="s">
        <v>326</v>
      </c>
      <c r="G619" s="27">
        <f>3468.9-250+250-633.5-74.1-174.3</f>
        <v>2587</v>
      </c>
      <c r="H619" s="27">
        <v>2573.4</v>
      </c>
      <c r="I619" s="27">
        <f t="shared" si="40"/>
        <v>99.47429454967144</v>
      </c>
    </row>
    <row r="620" spans="1:18" ht="50.25" customHeight="1">
      <c r="A620" s="70" t="s">
        <v>866</v>
      </c>
      <c r="B620" s="17">
        <v>906</v>
      </c>
      <c r="C620" s="21" t="s">
        <v>315</v>
      </c>
      <c r="D620" s="21" t="s">
        <v>169</v>
      </c>
      <c r="E620" s="21" t="s">
        <v>861</v>
      </c>
      <c r="F620" s="21"/>
      <c r="G620" s="27">
        <f>G621</f>
        <v>772.8</v>
      </c>
      <c r="H620" s="27">
        <f>H621</f>
        <v>772.8</v>
      </c>
      <c r="I620" s="27">
        <f t="shared" si="40"/>
        <v>100</v>
      </c>
      <c r="P620" s="294"/>
      <c r="Q620" s="312"/>
      <c r="R620" s="307"/>
    </row>
    <row r="621" spans="1:17" ht="47.25">
      <c r="A621" s="31" t="s">
        <v>323</v>
      </c>
      <c r="B621" s="17">
        <v>906</v>
      </c>
      <c r="C621" s="21" t="s">
        <v>315</v>
      </c>
      <c r="D621" s="21" t="s">
        <v>169</v>
      </c>
      <c r="E621" s="21" t="s">
        <v>861</v>
      </c>
      <c r="F621" s="21" t="s">
        <v>324</v>
      </c>
      <c r="G621" s="27">
        <f>G622</f>
        <v>772.8</v>
      </c>
      <c r="H621" s="27">
        <f>H622</f>
        <v>772.8</v>
      </c>
      <c r="I621" s="27">
        <f t="shared" si="40"/>
        <v>100</v>
      </c>
      <c r="Q621" s="312"/>
    </row>
    <row r="622" spans="1:9" ht="15.75">
      <c r="A622" s="246" t="s">
        <v>325</v>
      </c>
      <c r="B622" s="17">
        <v>906</v>
      </c>
      <c r="C622" s="21" t="s">
        <v>315</v>
      </c>
      <c r="D622" s="21" t="s">
        <v>169</v>
      </c>
      <c r="E622" s="21" t="s">
        <v>861</v>
      </c>
      <c r="F622" s="21" t="s">
        <v>326</v>
      </c>
      <c r="G622" s="27">
        <f>1230.6-457.8</f>
        <v>772.8</v>
      </c>
      <c r="H622" s="27">
        <v>772.8</v>
      </c>
      <c r="I622" s="27">
        <f t="shared" si="40"/>
        <v>100</v>
      </c>
    </row>
    <row r="623" spans="1:17" ht="161.25" customHeight="1">
      <c r="A623" s="26" t="s">
        <v>1021</v>
      </c>
      <c r="B623" s="17">
        <v>906</v>
      </c>
      <c r="C623" s="21" t="s">
        <v>315</v>
      </c>
      <c r="D623" s="21" t="s">
        <v>169</v>
      </c>
      <c r="E623" s="21" t="s">
        <v>1020</v>
      </c>
      <c r="F623" s="21"/>
      <c r="G623" s="27">
        <f>G624</f>
        <v>124.4</v>
      </c>
      <c r="H623" s="27">
        <f>H624</f>
        <v>124.4</v>
      </c>
      <c r="I623" s="27">
        <f t="shared" si="40"/>
        <v>100</v>
      </c>
      <c r="P623" s="294"/>
      <c r="Q623" s="294"/>
    </row>
    <row r="624" spans="1:9" ht="47.25">
      <c r="A624" s="31" t="s">
        <v>323</v>
      </c>
      <c r="B624" s="17">
        <v>906</v>
      </c>
      <c r="C624" s="21" t="s">
        <v>315</v>
      </c>
      <c r="D624" s="21" t="s">
        <v>169</v>
      </c>
      <c r="E624" s="21" t="s">
        <v>1020</v>
      </c>
      <c r="F624" s="21" t="s">
        <v>324</v>
      </c>
      <c r="G624" s="27">
        <f>G625</f>
        <v>124.4</v>
      </c>
      <c r="H624" s="27">
        <f>H625</f>
        <v>124.4</v>
      </c>
      <c r="I624" s="27">
        <f t="shared" si="40"/>
        <v>100</v>
      </c>
    </row>
    <row r="625" spans="1:9" ht="15.75" customHeight="1">
      <c r="A625" s="246" t="s">
        <v>325</v>
      </c>
      <c r="B625" s="17">
        <v>906</v>
      </c>
      <c r="C625" s="21" t="s">
        <v>315</v>
      </c>
      <c r="D625" s="21" t="s">
        <v>169</v>
      </c>
      <c r="E625" s="21" t="s">
        <v>1020</v>
      </c>
      <c r="F625" s="21" t="s">
        <v>326</v>
      </c>
      <c r="G625" s="27">
        <v>124.4</v>
      </c>
      <c r="H625" s="27">
        <v>124.4</v>
      </c>
      <c r="I625" s="27">
        <f t="shared" si="40"/>
        <v>100</v>
      </c>
    </row>
    <row r="626" spans="1:9" ht="15.75">
      <c r="A626" s="26" t="s">
        <v>172</v>
      </c>
      <c r="B626" s="17">
        <v>906</v>
      </c>
      <c r="C626" s="21" t="s">
        <v>315</v>
      </c>
      <c r="D626" s="21" t="s">
        <v>169</v>
      </c>
      <c r="E626" s="21" t="s">
        <v>173</v>
      </c>
      <c r="F626" s="21"/>
      <c r="G626" s="27">
        <f>G627</f>
        <v>71996.7</v>
      </c>
      <c r="H626" s="27">
        <f>H627</f>
        <v>71579.8</v>
      </c>
      <c r="I626" s="27">
        <f t="shared" si="40"/>
        <v>99.42094568223267</v>
      </c>
    </row>
    <row r="627" spans="1:9" ht="31.5">
      <c r="A627" s="26" t="s">
        <v>236</v>
      </c>
      <c r="B627" s="17">
        <v>906</v>
      </c>
      <c r="C627" s="21" t="s">
        <v>315</v>
      </c>
      <c r="D627" s="21" t="s">
        <v>169</v>
      </c>
      <c r="E627" s="21" t="s">
        <v>237</v>
      </c>
      <c r="F627" s="21"/>
      <c r="G627" s="27">
        <f>G631+G634+G637+G640+G643+G646+G628</f>
        <v>71996.7</v>
      </c>
      <c r="H627" s="27">
        <f>H631+H634+H637+H640+H643+H646+H628</f>
        <v>71579.8</v>
      </c>
      <c r="I627" s="27">
        <f t="shared" si="40"/>
        <v>99.42094568223267</v>
      </c>
    </row>
    <row r="628" spans="1:9" ht="146.25" customHeight="1">
      <c r="A628" s="26" t="s">
        <v>475</v>
      </c>
      <c r="B628" s="17">
        <v>906</v>
      </c>
      <c r="C628" s="21" t="s">
        <v>315</v>
      </c>
      <c r="D628" s="21" t="s">
        <v>169</v>
      </c>
      <c r="E628" s="21" t="s">
        <v>1005</v>
      </c>
      <c r="F628" s="21"/>
      <c r="G628" s="27">
        <f>G629</f>
        <v>124.4</v>
      </c>
      <c r="H628" s="27">
        <f>H629</f>
        <v>0</v>
      </c>
      <c r="I628" s="27">
        <f t="shared" si="40"/>
        <v>0</v>
      </c>
    </row>
    <row r="629" spans="1:9" ht="47.25">
      <c r="A629" s="26" t="s">
        <v>323</v>
      </c>
      <c r="B629" s="17">
        <v>906</v>
      </c>
      <c r="C629" s="21" t="s">
        <v>315</v>
      </c>
      <c r="D629" s="21" t="s">
        <v>169</v>
      </c>
      <c r="E629" s="21" t="s">
        <v>1005</v>
      </c>
      <c r="F629" s="21" t="s">
        <v>324</v>
      </c>
      <c r="G629" s="27">
        <f>G630</f>
        <v>124.4</v>
      </c>
      <c r="H629" s="27">
        <f>H630</f>
        <v>0</v>
      </c>
      <c r="I629" s="27">
        <f t="shared" si="40"/>
        <v>0</v>
      </c>
    </row>
    <row r="630" spans="1:9" ht="15.75">
      <c r="A630" s="26" t="s">
        <v>325</v>
      </c>
      <c r="B630" s="17">
        <v>906</v>
      </c>
      <c r="C630" s="21" t="s">
        <v>315</v>
      </c>
      <c r="D630" s="21" t="s">
        <v>169</v>
      </c>
      <c r="E630" s="21" t="s">
        <v>1005</v>
      </c>
      <c r="F630" s="21" t="s">
        <v>326</v>
      </c>
      <c r="G630" s="27">
        <v>124.4</v>
      </c>
      <c r="H630" s="27"/>
      <c r="I630" s="27">
        <f t="shared" si="40"/>
        <v>0</v>
      </c>
    </row>
    <row r="631" spans="1:9" ht="31.5" customHeight="1" hidden="1">
      <c r="A631" s="26" t="s">
        <v>470</v>
      </c>
      <c r="B631" s="17">
        <v>906</v>
      </c>
      <c r="C631" s="21" t="s">
        <v>315</v>
      </c>
      <c r="D631" s="21" t="s">
        <v>169</v>
      </c>
      <c r="E631" s="21" t="s">
        <v>471</v>
      </c>
      <c r="F631" s="21"/>
      <c r="G631" s="27">
        <f>G632</f>
        <v>0</v>
      </c>
      <c r="H631" s="27">
        <f>H632</f>
        <v>0</v>
      </c>
      <c r="I631" s="27" t="e">
        <f t="shared" si="40"/>
        <v>#DIV/0!</v>
      </c>
    </row>
    <row r="632" spans="1:9" ht="47.25" customHeight="1" hidden="1">
      <c r="A632" s="26" t="s">
        <v>323</v>
      </c>
      <c r="B632" s="17">
        <v>906</v>
      </c>
      <c r="C632" s="21" t="s">
        <v>315</v>
      </c>
      <c r="D632" s="21" t="s">
        <v>169</v>
      </c>
      <c r="E632" s="21" t="s">
        <v>471</v>
      </c>
      <c r="F632" s="21" t="s">
        <v>324</v>
      </c>
      <c r="G632" s="27">
        <f>G633</f>
        <v>0</v>
      </c>
      <c r="H632" s="27">
        <f>H633</f>
        <v>0</v>
      </c>
      <c r="I632" s="27" t="e">
        <f t="shared" si="40"/>
        <v>#DIV/0!</v>
      </c>
    </row>
    <row r="633" spans="1:9" ht="15.75" customHeight="1" hidden="1">
      <c r="A633" s="26" t="s">
        <v>325</v>
      </c>
      <c r="B633" s="17">
        <v>906</v>
      </c>
      <c r="C633" s="21" t="s">
        <v>315</v>
      </c>
      <c r="D633" s="21" t="s">
        <v>169</v>
      </c>
      <c r="E633" s="21" t="s">
        <v>471</v>
      </c>
      <c r="F633" s="21" t="s">
        <v>326</v>
      </c>
      <c r="G633" s="27"/>
      <c r="H633" s="27"/>
      <c r="I633" s="27" t="e">
        <f t="shared" si="40"/>
        <v>#DIV/0!</v>
      </c>
    </row>
    <row r="634" spans="1:9" ht="63">
      <c r="A634" s="33" t="s">
        <v>340</v>
      </c>
      <c r="B634" s="17">
        <v>906</v>
      </c>
      <c r="C634" s="21" t="s">
        <v>315</v>
      </c>
      <c r="D634" s="21" t="s">
        <v>169</v>
      </c>
      <c r="E634" s="21" t="s">
        <v>341</v>
      </c>
      <c r="F634" s="21"/>
      <c r="G634" s="27">
        <f>G635</f>
        <v>305.9</v>
      </c>
      <c r="H634" s="27">
        <f>H635</f>
        <v>287.1</v>
      </c>
      <c r="I634" s="27">
        <f t="shared" si="40"/>
        <v>93.8542007191893</v>
      </c>
    </row>
    <row r="635" spans="1:9" ht="47.25">
      <c r="A635" s="26" t="s">
        <v>323</v>
      </c>
      <c r="B635" s="17">
        <v>906</v>
      </c>
      <c r="C635" s="21" t="s">
        <v>315</v>
      </c>
      <c r="D635" s="21" t="s">
        <v>169</v>
      </c>
      <c r="E635" s="21" t="s">
        <v>341</v>
      </c>
      <c r="F635" s="21" t="s">
        <v>324</v>
      </c>
      <c r="G635" s="27">
        <f>G636</f>
        <v>305.9</v>
      </c>
      <c r="H635" s="27">
        <f>H636</f>
        <v>287.1</v>
      </c>
      <c r="I635" s="27">
        <f t="shared" si="40"/>
        <v>93.8542007191893</v>
      </c>
    </row>
    <row r="636" spans="1:9" ht="15.75">
      <c r="A636" s="26" t="s">
        <v>325</v>
      </c>
      <c r="B636" s="17">
        <v>906</v>
      </c>
      <c r="C636" s="21" t="s">
        <v>315</v>
      </c>
      <c r="D636" s="21" t="s">
        <v>169</v>
      </c>
      <c r="E636" s="21" t="s">
        <v>341</v>
      </c>
      <c r="F636" s="21" t="s">
        <v>326</v>
      </c>
      <c r="G636" s="27">
        <f>416.2-106-4.3</f>
        <v>305.9</v>
      </c>
      <c r="H636" s="27">
        <v>287.1</v>
      </c>
      <c r="I636" s="27">
        <f t="shared" si="40"/>
        <v>93.8542007191893</v>
      </c>
    </row>
    <row r="637" spans="1:9" ht="78.75">
      <c r="A637" s="33" t="s">
        <v>472</v>
      </c>
      <c r="B637" s="17">
        <v>906</v>
      </c>
      <c r="C637" s="21" t="s">
        <v>315</v>
      </c>
      <c r="D637" s="21" t="s">
        <v>169</v>
      </c>
      <c r="E637" s="21" t="s">
        <v>343</v>
      </c>
      <c r="F637" s="21"/>
      <c r="G637" s="27">
        <f>G638</f>
        <v>1299.1</v>
      </c>
      <c r="H637" s="27">
        <f>H638</f>
        <v>1236.7</v>
      </c>
      <c r="I637" s="27">
        <f t="shared" si="40"/>
        <v>95.1966746208914</v>
      </c>
    </row>
    <row r="638" spans="1:9" ht="47.25">
      <c r="A638" s="26" t="s">
        <v>323</v>
      </c>
      <c r="B638" s="17">
        <v>906</v>
      </c>
      <c r="C638" s="21" t="s">
        <v>315</v>
      </c>
      <c r="D638" s="21" t="s">
        <v>169</v>
      </c>
      <c r="E638" s="21" t="s">
        <v>343</v>
      </c>
      <c r="F638" s="21" t="s">
        <v>324</v>
      </c>
      <c r="G638" s="27">
        <f>G639</f>
        <v>1299.1</v>
      </c>
      <c r="H638" s="27">
        <f>H639</f>
        <v>1236.7</v>
      </c>
      <c r="I638" s="27">
        <f t="shared" si="40"/>
        <v>95.1966746208914</v>
      </c>
    </row>
    <row r="639" spans="1:9" ht="15.75">
      <c r="A639" s="26" t="s">
        <v>325</v>
      </c>
      <c r="B639" s="17">
        <v>906</v>
      </c>
      <c r="C639" s="21" t="s">
        <v>315</v>
      </c>
      <c r="D639" s="21" t="s">
        <v>169</v>
      </c>
      <c r="E639" s="21" t="s">
        <v>343</v>
      </c>
      <c r="F639" s="21" t="s">
        <v>326</v>
      </c>
      <c r="G639" s="27">
        <f>1900-203.2+59-456.7</f>
        <v>1299.1</v>
      </c>
      <c r="H639" s="27">
        <v>1236.7</v>
      </c>
      <c r="I639" s="27">
        <f t="shared" si="40"/>
        <v>95.1966746208914</v>
      </c>
    </row>
    <row r="640" spans="1:9" ht="94.5">
      <c r="A640" s="33" t="s">
        <v>473</v>
      </c>
      <c r="B640" s="17">
        <v>906</v>
      </c>
      <c r="C640" s="21" t="s">
        <v>315</v>
      </c>
      <c r="D640" s="21" t="s">
        <v>169</v>
      </c>
      <c r="E640" s="21" t="s">
        <v>474</v>
      </c>
      <c r="F640" s="21"/>
      <c r="G640" s="27">
        <f>G641</f>
        <v>67437.3</v>
      </c>
      <c r="H640" s="27">
        <f>H641</f>
        <v>67226</v>
      </c>
      <c r="I640" s="27">
        <f t="shared" si="40"/>
        <v>99.68667191598715</v>
      </c>
    </row>
    <row r="641" spans="1:9" ht="47.25">
      <c r="A641" s="26" t="s">
        <v>323</v>
      </c>
      <c r="B641" s="17">
        <v>906</v>
      </c>
      <c r="C641" s="21" t="s">
        <v>315</v>
      </c>
      <c r="D641" s="21" t="s">
        <v>169</v>
      </c>
      <c r="E641" s="21" t="s">
        <v>474</v>
      </c>
      <c r="F641" s="21" t="s">
        <v>324</v>
      </c>
      <c r="G641" s="27">
        <f>G642</f>
        <v>67437.3</v>
      </c>
      <c r="H641" s="27">
        <f>H642</f>
        <v>67226</v>
      </c>
      <c r="I641" s="27">
        <f t="shared" si="40"/>
        <v>99.68667191598715</v>
      </c>
    </row>
    <row r="642" spans="1:9" ht="15.75">
      <c r="A642" s="26" t="s">
        <v>325</v>
      </c>
      <c r="B642" s="17">
        <v>906</v>
      </c>
      <c r="C642" s="21" t="s">
        <v>315</v>
      </c>
      <c r="D642" s="21" t="s">
        <v>169</v>
      </c>
      <c r="E642" s="21" t="s">
        <v>474</v>
      </c>
      <c r="F642" s="21" t="s">
        <v>326</v>
      </c>
      <c r="G642" s="28">
        <f>64302.3+3135</f>
        <v>67437.3</v>
      </c>
      <c r="H642" s="28">
        <v>67226</v>
      </c>
      <c r="I642" s="27">
        <f t="shared" si="40"/>
        <v>99.68667191598715</v>
      </c>
    </row>
    <row r="643" spans="1:9" ht="110.25">
      <c r="A643" s="33" t="s">
        <v>344</v>
      </c>
      <c r="B643" s="17">
        <v>906</v>
      </c>
      <c r="C643" s="21" t="s">
        <v>315</v>
      </c>
      <c r="D643" s="21" t="s">
        <v>169</v>
      </c>
      <c r="E643" s="21" t="s">
        <v>345</v>
      </c>
      <c r="F643" s="21"/>
      <c r="G643" s="27">
        <f>G644</f>
        <v>2830</v>
      </c>
      <c r="H643" s="27">
        <f>H644</f>
        <v>2830</v>
      </c>
      <c r="I643" s="27">
        <f t="shared" si="40"/>
        <v>100</v>
      </c>
    </row>
    <row r="644" spans="1:9" ht="47.25">
      <c r="A644" s="26" t="s">
        <v>323</v>
      </c>
      <c r="B644" s="17">
        <v>906</v>
      </c>
      <c r="C644" s="21" t="s">
        <v>315</v>
      </c>
      <c r="D644" s="21" t="s">
        <v>169</v>
      </c>
      <c r="E644" s="21" t="s">
        <v>345</v>
      </c>
      <c r="F644" s="21" t="s">
        <v>324</v>
      </c>
      <c r="G644" s="27">
        <f>G645</f>
        <v>2830</v>
      </c>
      <c r="H644" s="27">
        <f>H645</f>
        <v>2830</v>
      </c>
      <c r="I644" s="27">
        <f t="shared" si="40"/>
        <v>100</v>
      </c>
    </row>
    <row r="645" spans="1:9" ht="15.75">
      <c r="A645" s="26" t="s">
        <v>325</v>
      </c>
      <c r="B645" s="17">
        <v>906</v>
      </c>
      <c r="C645" s="21" t="s">
        <v>315</v>
      </c>
      <c r="D645" s="21" t="s">
        <v>169</v>
      </c>
      <c r="E645" s="21" t="s">
        <v>345</v>
      </c>
      <c r="F645" s="21" t="s">
        <v>326</v>
      </c>
      <c r="G645" s="28">
        <f>2937.2-58.2-49</f>
        <v>2830</v>
      </c>
      <c r="H645" s="28">
        <v>2830</v>
      </c>
      <c r="I645" s="27">
        <f t="shared" si="40"/>
        <v>100</v>
      </c>
    </row>
    <row r="646" spans="1:9" ht="157.5" customHeight="1" hidden="1">
      <c r="A646" s="26" t="s">
        <v>475</v>
      </c>
      <c r="B646" s="17">
        <v>906</v>
      </c>
      <c r="C646" s="21" t="s">
        <v>315</v>
      </c>
      <c r="D646" s="21" t="s">
        <v>169</v>
      </c>
      <c r="E646" s="21" t="s">
        <v>476</v>
      </c>
      <c r="F646" s="21"/>
      <c r="G646" s="28">
        <f>G647</f>
        <v>0</v>
      </c>
      <c r="H646" s="28">
        <f>H647</f>
        <v>0</v>
      </c>
      <c r="I646" s="22" t="e">
        <f t="shared" si="40"/>
        <v>#DIV/0!</v>
      </c>
    </row>
    <row r="647" spans="1:9" ht="47.25" customHeight="1" hidden="1">
      <c r="A647" s="26" t="s">
        <v>323</v>
      </c>
      <c r="B647" s="17">
        <v>906</v>
      </c>
      <c r="C647" s="21" t="s">
        <v>315</v>
      </c>
      <c r="D647" s="21" t="s">
        <v>169</v>
      </c>
      <c r="E647" s="21" t="s">
        <v>476</v>
      </c>
      <c r="F647" s="21" t="s">
        <v>324</v>
      </c>
      <c r="G647" s="28">
        <f>G648</f>
        <v>0</v>
      </c>
      <c r="H647" s="28">
        <f>H648</f>
        <v>0</v>
      </c>
      <c r="I647" s="22" t="e">
        <f t="shared" si="40"/>
        <v>#DIV/0!</v>
      </c>
    </row>
    <row r="648" spans="1:9" ht="15.75" customHeight="1" hidden="1">
      <c r="A648" s="26" t="s">
        <v>325</v>
      </c>
      <c r="B648" s="17">
        <v>906</v>
      </c>
      <c r="C648" s="21" t="s">
        <v>315</v>
      </c>
      <c r="D648" s="21" t="s">
        <v>169</v>
      </c>
      <c r="E648" s="21" t="s">
        <v>476</v>
      </c>
      <c r="F648" s="21" t="s">
        <v>326</v>
      </c>
      <c r="G648" s="28">
        <f>276.5-276.5</f>
        <v>0</v>
      </c>
      <c r="H648" s="28">
        <f>276.5-276.5</f>
        <v>0</v>
      </c>
      <c r="I648" s="22" t="e">
        <f t="shared" si="40"/>
        <v>#DIV/0!</v>
      </c>
    </row>
    <row r="649" spans="1:9" ht="15.75">
      <c r="A649" s="24" t="s">
        <v>477</v>
      </c>
      <c r="B649" s="20">
        <v>906</v>
      </c>
      <c r="C649" s="25" t="s">
        <v>315</v>
      </c>
      <c r="D649" s="25" t="s">
        <v>264</v>
      </c>
      <c r="E649" s="25"/>
      <c r="F649" s="25"/>
      <c r="G649" s="22">
        <f>G650+G686</f>
        <v>142709.3</v>
      </c>
      <c r="H649" s="22">
        <f>H650+H686</f>
        <v>142028.5</v>
      </c>
      <c r="I649" s="22">
        <f t="shared" si="40"/>
        <v>99.5229462971229</v>
      </c>
    </row>
    <row r="650" spans="1:9" ht="47.25">
      <c r="A650" s="26" t="s">
        <v>478</v>
      </c>
      <c r="B650" s="17">
        <v>906</v>
      </c>
      <c r="C650" s="21" t="s">
        <v>315</v>
      </c>
      <c r="D650" s="21" t="s">
        <v>264</v>
      </c>
      <c r="E650" s="21" t="s">
        <v>458</v>
      </c>
      <c r="F650" s="21"/>
      <c r="G650" s="27">
        <f>G651+G655</f>
        <v>40675.2</v>
      </c>
      <c r="H650" s="27">
        <f>H651+H655</f>
        <v>40436.7</v>
      </c>
      <c r="I650" s="27">
        <f t="shared" si="40"/>
        <v>99.4136476280387</v>
      </c>
    </row>
    <row r="651" spans="1:9" ht="37.5" customHeight="1">
      <c r="A651" s="26" t="s">
        <v>459</v>
      </c>
      <c r="B651" s="17">
        <v>906</v>
      </c>
      <c r="C651" s="21" t="s">
        <v>315</v>
      </c>
      <c r="D651" s="21" t="s">
        <v>264</v>
      </c>
      <c r="E651" s="21" t="s">
        <v>460</v>
      </c>
      <c r="F651" s="21"/>
      <c r="G651" s="27">
        <f aca="true" t="shared" si="44" ref="G651:H653">G652</f>
        <v>33571.899999999994</v>
      </c>
      <c r="H651" s="27">
        <f t="shared" si="44"/>
        <v>33430</v>
      </c>
      <c r="I651" s="27">
        <f aca="true" t="shared" si="45" ref="I651:I714">H651/G651*100</f>
        <v>99.57732508437117</v>
      </c>
    </row>
    <row r="652" spans="1:9" ht="47.25">
      <c r="A652" s="26" t="s">
        <v>479</v>
      </c>
      <c r="B652" s="17">
        <v>906</v>
      </c>
      <c r="C652" s="21" t="s">
        <v>315</v>
      </c>
      <c r="D652" s="21" t="s">
        <v>264</v>
      </c>
      <c r="E652" s="21" t="s">
        <v>480</v>
      </c>
      <c r="F652" s="21"/>
      <c r="G652" s="27">
        <f t="shared" si="44"/>
        <v>33571.899999999994</v>
      </c>
      <c r="H652" s="27">
        <f t="shared" si="44"/>
        <v>33430</v>
      </c>
      <c r="I652" s="27">
        <f t="shared" si="45"/>
        <v>99.57732508437117</v>
      </c>
    </row>
    <row r="653" spans="1:9" ht="47.25">
      <c r="A653" s="26" t="s">
        <v>323</v>
      </c>
      <c r="B653" s="17">
        <v>906</v>
      </c>
      <c r="C653" s="21" t="s">
        <v>315</v>
      </c>
      <c r="D653" s="21" t="s">
        <v>264</v>
      </c>
      <c r="E653" s="21" t="s">
        <v>480</v>
      </c>
      <c r="F653" s="21" t="s">
        <v>324</v>
      </c>
      <c r="G653" s="27">
        <f t="shared" si="44"/>
        <v>33571.899999999994</v>
      </c>
      <c r="H653" s="27">
        <f t="shared" si="44"/>
        <v>33430</v>
      </c>
      <c r="I653" s="27">
        <f t="shared" si="45"/>
        <v>99.57732508437117</v>
      </c>
    </row>
    <row r="654" spans="1:18" ht="15.75">
      <c r="A654" s="26" t="s">
        <v>325</v>
      </c>
      <c r="B654" s="17">
        <v>906</v>
      </c>
      <c r="C654" s="21" t="s">
        <v>315</v>
      </c>
      <c r="D654" s="21" t="s">
        <v>264</v>
      </c>
      <c r="E654" s="21" t="s">
        <v>480</v>
      </c>
      <c r="F654" s="21" t="s">
        <v>326</v>
      </c>
      <c r="G654" s="28">
        <f>31613.6-723.3-107-107+107+107+178.5+166.8+220.5+250-78.6-40-49.7+69.1+687.3+1128+444.1-190-104.4</f>
        <v>33571.899999999994</v>
      </c>
      <c r="H654" s="28">
        <v>33430</v>
      </c>
      <c r="I654" s="27">
        <f t="shared" si="45"/>
        <v>99.57732508437117</v>
      </c>
      <c r="J654" s="209"/>
      <c r="R654" s="280"/>
    </row>
    <row r="655" spans="1:15" ht="36" customHeight="1">
      <c r="A655" s="26" t="s">
        <v>482</v>
      </c>
      <c r="B655" s="17">
        <v>906</v>
      </c>
      <c r="C655" s="21" t="s">
        <v>315</v>
      </c>
      <c r="D655" s="21" t="s">
        <v>264</v>
      </c>
      <c r="E655" s="21" t="s">
        <v>483</v>
      </c>
      <c r="F655" s="21"/>
      <c r="G655" s="27">
        <f>G661+G677+G674+G680+G671+G656+G662+G665+G668+G683</f>
        <v>7103.3</v>
      </c>
      <c r="H655" s="27">
        <f>H661+H677+H674+H680+H671+H656+H662+H665+H668+H683</f>
        <v>7006.7</v>
      </c>
      <c r="I655" s="27">
        <f t="shared" si="45"/>
        <v>98.64006870046316</v>
      </c>
      <c r="K655" s="401"/>
      <c r="L655" s="401"/>
      <c r="M655" s="401"/>
      <c r="N655" s="401"/>
      <c r="O655" s="294"/>
    </row>
    <row r="656" spans="1:9" ht="63" customHeight="1" hidden="1">
      <c r="A656" s="26" t="s">
        <v>484</v>
      </c>
      <c r="B656" s="17">
        <v>906</v>
      </c>
      <c r="C656" s="21" t="s">
        <v>315</v>
      </c>
      <c r="D656" s="21" t="s">
        <v>264</v>
      </c>
      <c r="E656" s="21" t="s">
        <v>485</v>
      </c>
      <c r="F656" s="21"/>
      <c r="G656" s="27">
        <f>G657</f>
        <v>0</v>
      </c>
      <c r="H656" s="27">
        <f>H657</f>
        <v>0</v>
      </c>
      <c r="I656" s="27" t="e">
        <f t="shared" si="45"/>
        <v>#DIV/0!</v>
      </c>
    </row>
    <row r="657" spans="1:9" ht="47.25" customHeight="1" hidden="1">
      <c r="A657" s="26" t="s">
        <v>323</v>
      </c>
      <c r="B657" s="17">
        <v>906</v>
      </c>
      <c r="C657" s="21" t="s">
        <v>315</v>
      </c>
      <c r="D657" s="21" t="s">
        <v>264</v>
      </c>
      <c r="E657" s="21" t="s">
        <v>485</v>
      </c>
      <c r="F657" s="21" t="s">
        <v>324</v>
      </c>
      <c r="G657" s="27">
        <f>G658</f>
        <v>0</v>
      </c>
      <c r="H657" s="27">
        <f>H658</f>
        <v>0</v>
      </c>
      <c r="I657" s="27" t="e">
        <f t="shared" si="45"/>
        <v>#DIV/0!</v>
      </c>
    </row>
    <row r="658" spans="1:9" ht="15.75" customHeight="1" hidden="1">
      <c r="A658" s="26" t="s">
        <v>325</v>
      </c>
      <c r="B658" s="17">
        <v>906</v>
      </c>
      <c r="C658" s="21" t="s">
        <v>315</v>
      </c>
      <c r="D658" s="21" t="s">
        <v>264</v>
      </c>
      <c r="E658" s="21" t="s">
        <v>485</v>
      </c>
      <c r="F658" s="21" t="s">
        <v>326</v>
      </c>
      <c r="G658" s="27">
        <v>0</v>
      </c>
      <c r="H658" s="27">
        <v>0</v>
      </c>
      <c r="I658" s="27" t="e">
        <f t="shared" si="45"/>
        <v>#DIV/0!</v>
      </c>
    </row>
    <row r="659" spans="1:9" ht="48.75" customHeight="1" hidden="1">
      <c r="A659" s="26" t="s">
        <v>486</v>
      </c>
      <c r="B659" s="17">
        <v>906</v>
      </c>
      <c r="C659" s="21" t="s">
        <v>315</v>
      </c>
      <c r="D659" s="21" t="s">
        <v>264</v>
      </c>
      <c r="E659" s="21" t="s">
        <v>487</v>
      </c>
      <c r="F659" s="21"/>
      <c r="G659" s="27">
        <f>G660</f>
        <v>0</v>
      </c>
      <c r="H659" s="27">
        <f>H660</f>
        <v>0</v>
      </c>
      <c r="I659" s="27" t="e">
        <f t="shared" si="45"/>
        <v>#DIV/0!</v>
      </c>
    </row>
    <row r="660" spans="1:9" ht="47.25" customHeight="1" hidden="1">
      <c r="A660" s="26" t="s">
        <v>323</v>
      </c>
      <c r="B660" s="17">
        <v>906</v>
      </c>
      <c r="C660" s="21" t="s">
        <v>315</v>
      </c>
      <c r="D660" s="21" t="s">
        <v>264</v>
      </c>
      <c r="E660" s="21" t="s">
        <v>487</v>
      </c>
      <c r="F660" s="21" t="s">
        <v>324</v>
      </c>
      <c r="G660" s="27">
        <f>G661</f>
        <v>0</v>
      </c>
      <c r="H660" s="27">
        <f>H661</f>
        <v>0</v>
      </c>
      <c r="I660" s="27" t="e">
        <f t="shared" si="45"/>
        <v>#DIV/0!</v>
      </c>
    </row>
    <row r="661" spans="1:9" ht="15.75" customHeight="1" hidden="1">
      <c r="A661" s="26" t="s">
        <v>325</v>
      </c>
      <c r="B661" s="17">
        <v>906</v>
      </c>
      <c r="C661" s="21" t="s">
        <v>315</v>
      </c>
      <c r="D661" s="21" t="s">
        <v>264</v>
      </c>
      <c r="E661" s="21" t="s">
        <v>487</v>
      </c>
      <c r="F661" s="21" t="s">
        <v>326</v>
      </c>
      <c r="G661" s="27">
        <v>0</v>
      </c>
      <c r="H661" s="27">
        <v>0</v>
      </c>
      <c r="I661" s="27" t="e">
        <f t="shared" si="45"/>
        <v>#DIV/0!</v>
      </c>
    </row>
    <row r="662" spans="1:9" ht="55.5" customHeight="1">
      <c r="A662" s="26" t="s">
        <v>488</v>
      </c>
      <c r="B662" s="17">
        <v>906</v>
      </c>
      <c r="C662" s="21" t="s">
        <v>315</v>
      </c>
      <c r="D662" s="21" t="s">
        <v>264</v>
      </c>
      <c r="E662" s="21" t="s">
        <v>489</v>
      </c>
      <c r="F662" s="21"/>
      <c r="G662" s="27">
        <f>G663</f>
        <v>2967.9</v>
      </c>
      <c r="H662" s="27">
        <f>H663</f>
        <v>2967.9</v>
      </c>
      <c r="I662" s="27">
        <f t="shared" si="45"/>
        <v>100</v>
      </c>
    </row>
    <row r="663" spans="1:9" ht="47.25">
      <c r="A663" s="26" t="s">
        <v>323</v>
      </c>
      <c r="B663" s="17">
        <v>906</v>
      </c>
      <c r="C663" s="21" t="s">
        <v>315</v>
      </c>
      <c r="D663" s="21" t="s">
        <v>264</v>
      </c>
      <c r="E663" s="21" t="s">
        <v>489</v>
      </c>
      <c r="F663" s="21" t="s">
        <v>324</v>
      </c>
      <c r="G663" s="27">
        <f>G664</f>
        <v>2967.9</v>
      </c>
      <c r="H663" s="27">
        <f>H664</f>
        <v>2967.9</v>
      </c>
      <c r="I663" s="27">
        <f t="shared" si="45"/>
        <v>100</v>
      </c>
    </row>
    <row r="664" spans="1:10" ht="15.75">
      <c r="A664" s="26" t="s">
        <v>325</v>
      </c>
      <c r="B664" s="17">
        <v>906</v>
      </c>
      <c r="C664" s="21" t="s">
        <v>315</v>
      </c>
      <c r="D664" s="21" t="s">
        <v>264</v>
      </c>
      <c r="E664" s="21" t="s">
        <v>489</v>
      </c>
      <c r="F664" s="21" t="s">
        <v>326</v>
      </c>
      <c r="G664" s="28">
        <f>2967.9</f>
        <v>2967.9</v>
      </c>
      <c r="H664" s="28">
        <v>2967.9</v>
      </c>
      <c r="I664" s="27">
        <f t="shared" si="45"/>
        <v>100</v>
      </c>
      <c r="J664" s="209"/>
    </row>
    <row r="665" spans="1:9" ht="63">
      <c r="A665" s="26" t="s">
        <v>490</v>
      </c>
      <c r="B665" s="17">
        <v>906</v>
      </c>
      <c r="C665" s="21" t="s">
        <v>315</v>
      </c>
      <c r="D665" s="21" t="s">
        <v>264</v>
      </c>
      <c r="E665" s="21" t="s">
        <v>491</v>
      </c>
      <c r="F665" s="21"/>
      <c r="G665" s="27">
        <f>G666</f>
        <v>362.3</v>
      </c>
      <c r="H665" s="27">
        <f>H666</f>
        <v>351.9</v>
      </c>
      <c r="I665" s="27">
        <f t="shared" si="45"/>
        <v>97.12945073143803</v>
      </c>
    </row>
    <row r="666" spans="1:10" ht="47.25">
      <c r="A666" s="26" t="s">
        <v>323</v>
      </c>
      <c r="B666" s="17">
        <v>906</v>
      </c>
      <c r="C666" s="21" t="s">
        <v>315</v>
      </c>
      <c r="D666" s="21" t="s">
        <v>264</v>
      </c>
      <c r="E666" s="21" t="s">
        <v>491</v>
      </c>
      <c r="F666" s="21" t="s">
        <v>324</v>
      </c>
      <c r="G666" s="27">
        <f>G667</f>
        <v>362.3</v>
      </c>
      <c r="H666" s="27">
        <f>H667</f>
        <v>351.9</v>
      </c>
      <c r="I666" s="27">
        <f t="shared" si="45"/>
        <v>97.12945073143803</v>
      </c>
      <c r="J666" s="209"/>
    </row>
    <row r="667" spans="1:9" ht="15.75">
      <c r="A667" s="26" t="s">
        <v>325</v>
      </c>
      <c r="B667" s="17">
        <v>906</v>
      </c>
      <c r="C667" s="21" t="s">
        <v>315</v>
      </c>
      <c r="D667" s="21" t="s">
        <v>264</v>
      </c>
      <c r="E667" s="21" t="s">
        <v>491</v>
      </c>
      <c r="F667" s="21" t="s">
        <v>326</v>
      </c>
      <c r="G667" s="27">
        <f>320+42.3</f>
        <v>362.3</v>
      </c>
      <c r="H667" s="27">
        <v>351.9</v>
      </c>
      <c r="I667" s="27">
        <f t="shared" si="45"/>
        <v>97.12945073143803</v>
      </c>
    </row>
    <row r="668" spans="1:9" ht="47.25" customHeight="1">
      <c r="A668" s="26" t="s">
        <v>492</v>
      </c>
      <c r="B668" s="17">
        <v>906</v>
      </c>
      <c r="C668" s="21" t="s">
        <v>315</v>
      </c>
      <c r="D668" s="21" t="s">
        <v>264</v>
      </c>
      <c r="E668" s="21" t="s">
        <v>493</v>
      </c>
      <c r="F668" s="21"/>
      <c r="G668" s="27">
        <f>G669</f>
        <v>107</v>
      </c>
      <c r="H668" s="27">
        <f>H669</f>
        <v>107</v>
      </c>
      <c r="I668" s="27">
        <f t="shared" si="45"/>
        <v>100</v>
      </c>
    </row>
    <row r="669" spans="1:9" ht="47.25" customHeight="1">
      <c r="A669" s="26" t="s">
        <v>323</v>
      </c>
      <c r="B669" s="17">
        <v>906</v>
      </c>
      <c r="C669" s="21" t="s">
        <v>315</v>
      </c>
      <c r="D669" s="21" t="s">
        <v>264</v>
      </c>
      <c r="E669" s="21" t="s">
        <v>493</v>
      </c>
      <c r="F669" s="21" t="s">
        <v>324</v>
      </c>
      <c r="G669" s="27">
        <f>G670</f>
        <v>107</v>
      </c>
      <c r="H669" s="27">
        <f>H670</f>
        <v>107</v>
      </c>
      <c r="I669" s="27">
        <f t="shared" si="45"/>
        <v>100</v>
      </c>
    </row>
    <row r="670" spans="1:9" ht="15.75" customHeight="1">
      <c r="A670" s="26" t="s">
        <v>325</v>
      </c>
      <c r="B670" s="17">
        <v>906</v>
      </c>
      <c r="C670" s="21" t="s">
        <v>315</v>
      </c>
      <c r="D670" s="21" t="s">
        <v>264</v>
      </c>
      <c r="E670" s="21" t="s">
        <v>493</v>
      </c>
      <c r="F670" s="21" t="s">
        <v>326</v>
      </c>
      <c r="G670" s="27">
        <f>72+35+107+107-107-107</f>
        <v>107</v>
      </c>
      <c r="H670" s="27">
        <v>107</v>
      </c>
      <c r="I670" s="27">
        <f t="shared" si="45"/>
        <v>100</v>
      </c>
    </row>
    <row r="671" spans="1:9" ht="47.25">
      <c r="A671" s="26" t="s">
        <v>329</v>
      </c>
      <c r="B671" s="17">
        <v>906</v>
      </c>
      <c r="C671" s="21" t="s">
        <v>315</v>
      </c>
      <c r="D671" s="21" t="s">
        <v>264</v>
      </c>
      <c r="E671" s="21" t="s">
        <v>494</v>
      </c>
      <c r="F671" s="21"/>
      <c r="G671" s="27">
        <f>G672</f>
        <v>300</v>
      </c>
      <c r="H671" s="27">
        <f>H672</f>
        <v>300</v>
      </c>
      <c r="I671" s="27">
        <f t="shared" si="45"/>
        <v>100</v>
      </c>
    </row>
    <row r="672" spans="1:9" ht="47.25">
      <c r="A672" s="26" t="s">
        <v>323</v>
      </c>
      <c r="B672" s="17">
        <v>906</v>
      </c>
      <c r="C672" s="21" t="s">
        <v>315</v>
      </c>
      <c r="D672" s="21" t="s">
        <v>264</v>
      </c>
      <c r="E672" s="21" t="s">
        <v>494</v>
      </c>
      <c r="F672" s="21" t="s">
        <v>324</v>
      </c>
      <c r="G672" s="27">
        <f>G673</f>
        <v>300</v>
      </c>
      <c r="H672" s="27">
        <f>H673</f>
        <v>300</v>
      </c>
      <c r="I672" s="27">
        <f t="shared" si="45"/>
        <v>100</v>
      </c>
    </row>
    <row r="673" spans="1:9" ht="15.75">
      <c r="A673" s="26" t="s">
        <v>325</v>
      </c>
      <c r="B673" s="17">
        <v>906</v>
      </c>
      <c r="C673" s="21" t="s">
        <v>315</v>
      </c>
      <c r="D673" s="21" t="s">
        <v>264</v>
      </c>
      <c r="E673" s="21" t="s">
        <v>494</v>
      </c>
      <c r="F673" s="21" t="s">
        <v>326</v>
      </c>
      <c r="G673" s="27">
        <f>300+100-100</f>
        <v>300</v>
      </c>
      <c r="H673" s="27">
        <v>300</v>
      </c>
      <c r="I673" s="27">
        <f t="shared" si="45"/>
        <v>100</v>
      </c>
    </row>
    <row r="674" spans="1:9" ht="31.5" customHeight="1">
      <c r="A674" s="26" t="s">
        <v>331</v>
      </c>
      <c r="B674" s="17">
        <v>906</v>
      </c>
      <c r="C674" s="21" t="s">
        <v>315</v>
      </c>
      <c r="D674" s="21" t="s">
        <v>264</v>
      </c>
      <c r="E674" s="21" t="s">
        <v>495</v>
      </c>
      <c r="F674" s="21"/>
      <c r="G674" s="27">
        <f>G675</f>
        <v>136</v>
      </c>
      <c r="H674" s="27">
        <f>H675</f>
        <v>136</v>
      </c>
      <c r="I674" s="27">
        <f t="shared" si="45"/>
        <v>100</v>
      </c>
    </row>
    <row r="675" spans="1:9" ht="47.25" customHeight="1">
      <c r="A675" s="26" t="s">
        <v>323</v>
      </c>
      <c r="B675" s="17">
        <v>906</v>
      </c>
      <c r="C675" s="21" t="s">
        <v>315</v>
      </c>
      <c r="D675" s="21" t="s">
        <v>264</v>
      </c>
      <c r="E675" s="21" t="s">
        <v>495</v>
      </c>
      <c r="F675" s="21" t="s">
        <v>324</v>
      </c>
      <c r="G675" s="27">
        <f>G676</f>
        <v>136</v>
      </c>
      <c r="H675" s="27">
        <f>H676</f>
        <v>136</v>
      </c>
      <c r="I675" s="27">
        <f t="shared" si="45"/>
        <v>100</v>
      </c>
    </row>
    <row r="676" spans="1:9" ht="15.75" customHeight="1">
      <c r="A676" s="26" t="s">
        <v>325</v>
      </c>
      <c r="B676" s="17">
        <v>906</v>
      </c>
      <c r="C676" s="21" t="s">
        <v>315</v>
      </c>
      <c r="D676" s="21" t="s">
        <v>264</v>
      </c>
      <c r="E676" s="21" t="s">
        <v>495</v>
      </c>
      <c r="F676" s="21" t="s">
        <v>326</v>
      </c>
      <c r="G676" s="27">
        <v>136</v>
      </c>
      <c r="H676" s="27">
        <v>136</v>
      </c>
      <c r="I676" s="27">
        <f t="shared" si="45"/>
        <v>100</v>
      </c>
    </row>
    <row r="677" spans="1:9" ht="47.25">
      <c r="A677" s="26" t="s">
        <v>333</v>
      </c>
      <c r="B677" s="17">
        <v>906</v>
      </c>
      <c r="C677" s="21" t="s">
        <v>315</v>
      </c>
      <c r="D677" s="21" t="s">
        <v>264</v>
      </c>
      <c r="E677" s="21" t="s">
        <v>496</v>
      </c>
      <c r="F677" s="21"/>
      <c r="G677" s="27">
        <f>G678</f>
        <v>224.2</v>
      </c>
      <c r="H677" s="27">
        <f>H678</f>
        <v>154.7</v>
      </c>
      <c r="I677" s="27">
        <f t="shared" si="45"/>
        <v>69.00089206066012</v>
      </c>
    </row>
    <row r="678" spans="1:9" ht="47.25">
      <c r="A678" s="26" t="s">
        <v>323</v>
      </c>
      <c r="B678" s="17">
        <v>906</v>
      </c>
      <c r="C678" s="21" t="s">
        <v>315</v>
      </c>
      <c r="D678" s="21" t="s">
        <v>264</v>
      </c>
      <c r="E678" s="21" t="s">
        <v>496</v>
      </c>
      <c r="F678" s="21" t="s">
        <v>324</v>
      </c>
      <c r="G678" s="27">
        <f>G679</f>
        <v>224.2</v>
      </c>
      <c r="H678" s="27">
        <f>H679</f>
        <v>154.7</v>
      </c>
      <c r="I678" s="27">
        <f t="shared" si="45"/>
        <v>69.00089206066012</v>
      </c>
    </row>
    <row r="679" spans="1:9" ht="15.75">
      <c r="A679" s="26" t="s">
        <v>325</v>
      </c>
      <c r="B679" s="17">
        <v>906</v>
      </c>
      <c r="C679" s="21" t="s">
        <v>315</v>
      </c>
      <c r="D679" s="21" t="s">
        <v>264</v>
      </c>
      <c r="E679" s="21" t="s">
        <v>496</v>
      </c>
      <c r="F679" s="21" t="s">
        <v>326</v>
      </c>
      <c r="G679" s="27">
        <f>127-72+72+97.2</f>
        <v>224.2</v>
      </c>
      <c r="H679" s="27">
        <v>154.7</v>
      </c>
      <c r="I679" s="27">
        <f t="shared" si="45"/>
        <v>69.00089206066012</v>
      </c>
    </row>
    <row r="680" spans="1:9" ht="31.5">
      <c r="A680" s="26" t="s">
        <v>335</v>
      </c>
      <c r="B680" s="17">
        <v>906</v>
      </c>
      <c r="C680" s="21" t="s">
        <v>315</v>
      </c>
      <c r="D680" s="21" t="s">
        <v>264</v>
      </c>
      <c r="E680" s="21" t="s">
        <v>497</v>
      </c>
      <c r="F680" s="21"/>
      <c r="G680" s="27">
        <f>G681</f>
        <v>244.3</v>
      </c>
      <c r="H680" s="27">
        <f>H681</f>
        <v>244.2</v>
      </c>
      <c r="I680" s="27">
        <f t="shared" si="45"/>
        <v>99.95906672124435</v>
      </c>
    </row>
    <row r="681" spans="1:9" ht="47.25">
      <c r="A681" s="26" t="s">
        <v>323</v>
      </c>
      <c r="B681" s="17">
        <v>906</v>
      </c>
      <c r="C681" s="21" t="s">
        <v>315</v>
      </c>
      <c r="D681" s="21" t="s">
        <v>264</v>
      </c>
      <c r="E681" s="21" t="s">
        <v>497</v>
      </c>
      <c r="F681" s="21" t="s">
        <v>324</v>
      </c>
      <c r="G681" s="27">
        <f>G682</f>
        <v>244.3</v>
      </c>
      <c r="H681" s="27">
        <f>H682</f>
        <v>244.2</v>
      </c>
      <c r="I681" s="27">
        <f t="shared" si="45"/>
        <v>99.95906672124435</v>
      </c>
    </row>
    <row r="682" spans="1:9" ht="15.75">
      <c r="A682" s="26" t="s">
        <v>325</v>
      </c>
      <c r="B682" s="17">
        <v>906</v>
      </c>
      <c r="C682" s="21" t="s">
        <v>315</v>
      </c>
      <c r="D682" s="21" t="s">
        <v>264</v>
      </c>
      <c r="E682" s="21" t="s">
        <v>497</v>
      </c>
      <c r="F682" s="21" t="s">
        <v>326</v>
      </c>
      <c r="G682" s="27">
        <f>125.7+78.6+40</f>
        <v>244.3</v>
      </c>
      <c r="H682" s="27">
        <v>244.2</v>
      </c>
      <c r="I682" s="27">
        <f t="shared" si="45"/>
        <v>99.95906672124435</v>
      </c>
    </row>
    <row r="683" spans="1:9" ht="47.25">
      <c r="A683" s="70" t="s">
        <v>857</v>
      </c>
      <c r="B683" s="17">
        <v>906</v>
      </c>
      <c r="C683" s="21" t="s">
        <v>315</v>
      </c>
      <c r="D683" s="21" t="s">
        <v>264</v>
      </c>
      <c r="E683" s="21" t="s">
        <v>859</v>
      </c>
      <c r="F683" s="21"/>
      <c r="G683" s="27">
        <f>G684</f>
        <v>2761.6000000000004</v>
      </c>
      <c r="H683" s="27">
        <f>H684</f>
        <v>2745</v>
      </c>
      <c r="I683" s="27">
        <f t="shared" si="45"/>
        <v>99.398899188876</v>
      </c>
    </row>
    <row r="684" spans="1:9" ht="47.25">
      <c r="A684" s="31" t="s">
        <v>323</v>
      </c>
      <c r="B684" s="17">
        <v>906</v>
      </c>
      <c r="C684" s="21" t="s">
        <v>315</v>
      </c>
      <c r="D684" s="21" t="s">
        <v>264</v>
      </c>
      <c r="E684" s="21" t="s">
        <v>859</v>
      </c>
      <c r="F684" s="21" t="s">
        <v>324</v>
      </c>
      <c r="G684" s="27">
        <f>G685</f>
        <v>2761.6000000000004</v>
      </c>
      <c r="H684" s="27">
        <f>H685</f>
        <v>2745</v>
      </c>
      <c r="I684" s="27">
        <f t="shared" si="45"/>
        <v>99.398899188876</v>
      </c>
    </row>
    <row r="685" spans="1:18" ht="15.75">
      <c r="A685" s="246" t="s">
        <v>325</v>
      </c>
      <c r="B685" s="17">
        <v>906</v>
      </c>
      <c r="C685" s="21" t="s">
        <v>315</v>
      </c>
      <c r="D685" s="21" t="s">
        <v>264</v>
      </c>
      <c r="E685" s="21" t="s">
        <v>859</v>
      </c>
      <c r="F685" s="21" t="s">
        <v>326</v>
      </c>
      <c r="G685" s="27">
        <f>2794-100+100+12.3-69.1+24.4</f>
        <v>2761.6000000000004</v>
      </c>
      <c r="H685" s="27">
        <v>2745</v>
      </c>
      <c r="I685" s="27">
        <f t="shared" si="45"/>
        <v>99.398899188876</v>
      </c>
      <c r="R685" s="280"/>
    </row>
    <row r="686" spans="1:18" ht="15.75">
      <c r="A686" s="26" t="s">
        <v>172</v>
      </c>
      <c r="B686" s="17">
        <v>906</v>
      </c>
      <c r="C686" s="21" t="s">
        <v>315</v>
      </c>
      <c r="D686" s="21" t="s">
        <v>264</v>
      </c>
      <c r="E686" s="21" t="s">
        <v>173</v>
      </c>
      <c r="F686" s="21"/>
      <c r="G686" s="27">
        <f>G687</f>
        <v>102034.1</v>
      </c>
      <c r="H686" s="27">
        <f>H687</f>
        <v>101591.8</v>
      </c>
      <c r="I686" s="27">
        <f t="shared" si="45"/>
        <v>99.56651746817975</v>
      </c>
      <c r="K686" s="402"/>
      <c r="L686" s="402"/>
      <c r="M686" s="402"/>
      <c r="R686" s="280"/>
    </row>
    <row r="687" spans="1:18" ht="31.5">
      <c r="A687" s="26" t="s">
        <v>236</v>
      </c>
      <c r="B687" s="17">
        <v>906</v>
      </c>
      <c r="C687" s="21" t="s">
        <v>315</v>
      </c>
      <c r="D687" s="21" t="s">
        <v>264</v>
      </c>
      <c r="E687" s="21" t="s">
        <v>237</v>
      </c>
      <c r="F687" s="21"/>
      <c r="G687" s="27">
        <f>G694+G697+G703+G706+G709+G712+G688+G691+G715+G700</f>
        <v>102034.1</v>
      </c>
      <c r="H687" s="27">
        <f>H694+H697+H703+H706+H709+H712+H688+H691+H715+H700</f>
        <v>101591.8</v>
      </c>
      <c r="I687" s="27">
        <f t="shared" si="45"/>
        <v>99.56651746817975</v>
      </c>
      <c r="R687" s="280"/>
    </row>
    <row r="688" spans="1:18" ht="47.25" customHeight="1" hidden="1">
      <c r="A688" s="26" t="s">
        <v>502</v>
      </c>
      <c r="B688" s="17">
        <v>906</v>
      </c>
      <c r="C688" s="21" t="s">
        <v>315</v>
      </c>
      <c r="D688" s="21" t="s">
        <v>264</v>
      </c>
      <c r="E688" s="21" t="s">
        <v>503</v>
      </c>
      <c r="F688" s="21"/>
      <c r="G688" s="27">
        <f>G689</f>
        <v>0</v>
      </c>
      <c r="H688" s="27">
        <f>H689</f>
        <v>0</v>
      </c>
      <c r="I688" s="27" t="e">
        <f t="shared" si="45"/>
        <v>#DIV/0!</v>
      </c>
      <c r="R688" s="280"/>
    </row>
    <row r="689" spans="1:18" ht="47.25" customHeight="1" hidden="1">
      <c r="A689" s="26" t="s">
        <v>323</v>
      </c>
      <c r="B689" s="17">
        <v>906</v>
      </c>
      <c r="C689" s="21" t="s">
        <v>315</v>
      </c>
      <c r="D689" s="21" t="s">
        <v>264</v>
      </c>
      <c r="E689" s="21" t="s">
        <v>503</v>
      </c>
      <c r="F689" s="21" t="s">
        <v>324</v>
      </c>
      <c r="G689" s="27">
        <f>G690</f>
        <v>0</v>
      </c>
      <c r="H689" s="27">
        <f>H690</f>
        <v>0</v>
      </c>
      <c r="I689" s="27" t="e">
        <f t="shared" si="45"/>
        <v>#DIV/0!</v>
      </c>
      <c r="R689" s="280"/>
    </row>
    <row r="690" spans="1:18" ht="15.75" customHeight="1" hidden="1">
      <c r="A690" s="26" t="s">
        <v>325</v>
      </c>
      <c r="B690" s="17">
        <v>906</v>
      </c>
      <c r="C690" s="21" t="s">
        <v>315</v>
      </c>
      <c r="D690" s="21" t="s">
        <v>264</v>
      </c>
      <c r="E690" s="21" t="s">
        <v>503</v>
      </c>
      <c r="F690" s="21" t="s">
        <v>326</v>
      </c>
      <c r="G690" s="27">
        <v>0</v>
      </c>
      <c r="H690" s="27">
        <v>0</v>
      </c>
      <c r="I690" s="27" t="e">
        <f t="shared" si="45"/>
        <v>#DIV/0!</v>
      </c>
      <c r="R690" s="280"/>
    </row>
    <row r="691" spans="1:18" ht="15.75" customHeight="1" hidden="1">
      <c r="A691" s="26" t="s">
        <v>504</v>
      </c>
      <c r="B691" s="17">
        <v>906</v>
      </c>
      <c r="C691" s="21" t="s">
        <v>315</v>
      </c>
      <c r="D691" s="21" t="s">
        <v>264</v>
      </c>
      <c r="E691" s="21" t="s">
        <v>505</v>
      </c>
      <c r="F691" s="21"/>
      <c r="G691" s="27">
        <f>G692</f>
        <v>0</v>
      </c>
      <c r="H691" s="27">
        <f>H692</f>
        <v>0</v>
      </c>
      <c r="I691" s="27" t="e">
        <f t="shared" si="45"/>
        <v>#DIV/0!</v>
      </c>
      <c r="R691" s="280"/>
    </row>
    <row r="692" spans="1:18" ht="47.25" customHeight="1" hidden="1">
      <c r="A692" s="26" t="s">
        <v>323</v>
      </c>
      <c r="B692" s="17">
        <v>906</v>
      </c>
      <c r="C692" s="21" t="s">
        <v>315</v>
      </c>
      <c r="D692" s="21" t="s">
        <v>264</v>
      </c>
      <c r="E692" s="21" t="s">
        <v>505</v>
      </c>
      <c r="F692" s="21" t="s">
        <v>324</v>
      </c>
      <c r="G692" s="27">
        <f>G693</f>
        <v>0</v>
      </c>
      <c r="H692" s="27">
        <f>H693</f>
        <v>0</v>
      </c>
      <c r="I692" s="27" t="e">
        <f t="shared" si="45"/>
        <v>#DIV/0!</v>
      </c>
      <c r="R692" s="280"/>
    </row>
    <row r="693" spans="1:18" ht="15.75" customHeight="1" hidden="1">
      <c r="A693" s="26" t="s">
        <v>325</v>
      </c>
      <c r="B693" s="17">
        <v>906</v>
      </c>
      <c r="C693" s="21" t="s">
        <v>315</v>
      </c>
      <c r="D693" s="21" t="s">
        <v>264</v>
      </c>
      <c r="E693" s="21" t="s">
        <v>505</v>
      </c>
      <c r="F693" s="21" t="s">
        <v>326</v>
      </c>
      <c r="G693" s="28">
        <v>0</v>
      </c>
      <c r="H693" s="28">
        <v>0</v>
      </c>
      <c r="I693" s="27" t="e">
        <f t="shared" si="45"/>
        <v>#DIV/0!</v>
      </c>
      <c r="R693" s="280"/>
    </row>
    <row r="694" spans="1:18" ht="31.5" customHeight="1" hidden="1">
      <c r="A694" s="26" t="s">
        <v>506</v>
      </c>
      <c r="B694" s="17">
        <v>906</v>
      </c>
      <c r="C694" s="21" t="s">
        <v>315</v>
      </c>
      <c r="D694" s="21" t="s">
        <v>264</v>
      </c>
      <c r="E694" s="21" t="s">
        <v>507</v>
      </c>
      <c r="F694" s="21"/>
      <c r="G694" s="27">
        <f>G695</f>
        <v>0</v>
      </c>
      <c r="H694" s="27">
        <f>H695</f>
        <v>0</v>
      </c>
      <c r="I694" s="27" t="e">
        <f t="shared" si="45"/>
        <v>#DIV/0!</v>
      </c>
      <c r="R694" s="280"/>
    </row>
    <row r="695" spans="1:18" ht="47.25" customHeight="1" hidden="1">
      <c r="A695" s="26" t="s">
        <v>323</v>
      </c>
      <c r="B695" s="17">
        <v>906</v>
      </c>
      <c r="C695" s="21" t="s">
        <v>315</v>
      </c>
      <c r="D695" s="21" t="s">
        <v>264</v>
      </c>
      <c r="E695" s="21" t="s">
        <v>507</v>
      </c>
      <c r="F695" s="21" t="s">
        <v>324</v>
      </c>
      <c r="G695" s="27">
        <f>G696</f>
        <v>0</v>
      </c>
      <c r="H695" s="27">
        <f>H696</f>
        <v>0</v>
      </c>
      <c r="I695" s="27" t="e">
        <f t="shared" si="45"/>
        <v>#DIV/0!</v>
      </c>
      <c r="R695" s="280"/>
    </row>
    <row r="696" spans="1:18" ht="15.75" customHeight="1" hidden="1">
      <c r="A696" s="26" t="s">
        <v>325</v>
      </c>
      <c r="B696" s="17">
        <v>906</v>
      </c>
      <c r="C696" s="21" t="s">
        <v>315</v>
      </c>
      <c r="D696" s="21" t="s">
        <v>264</v>
      </c>
      <c r="E696" s="21" t="s">
        <v>507</v>
      </c>
      <c r="F696" s="21" t="s">
        <v>326</v>
      </c>
      <c r="G696" s="27">
        <f>157.3-157.3</f>
        <v>0</v>
      </c>
      <c r="H696" s="27">
        <f>157.3-157.3</f>
        <v>0</v>
      </c>
      <c r="I696" s="27" t="e">
        <f t="shared" si="45"/>
        <v>#DIV/0!</v>
      </c>
      <c r="R696" s="280"/>
    </row>
    <row r="697" spans="1:18" ht="31.5">
      <c r="A697" s="26" t="s">
        <v>508</v>
      </c>
      <c r="B697" s="17">
        <v>906</v>
      </c>
      <c r="C697" s="21" t="s">
        <v>315</v>
      </c>
      <c r="D697" s="21" t="s">
        <v>264</v>
      </c>
      <c r="E697" s="21" t="s">
        <v>509</v>
      </c>
      <c r="F697" s="21"/>
      <c r="G697" s="27">
        <f>G698</f>
        <v>1293.6</v>
      </c>
      <c r="H697" s="27">
        <f>H698</f>
        <v>1293.1</v>
      </c>
      <c r="I697" s="27">
        <f t="shared" si="45"/>
        <v>99.96134817563389</v>
      </c>
      <c r="R697" s="280"/>
    </row>
    <row r="698" spans="1:9" ht="47.25">
      <c r="A698" s="26" t="s">
        <v>323</v>
      </c>
      <c r="B698" s="17">
        <v>906</v>
      </c>
      <c r="C698" s="21" t="s">
        <v>315</v>
      </c>
      <c r="D698" s="21" t="s">
        <v>264</v>
      </c>
      <c r="E698" s="21" t="s">
        <v>509</v>
      </c>
      <c r="F698" s="21" t="s">
        <v>324</v>
      </c>
      <c r="G698" s="27">
        <f>G699</f>
        <v>1293.6</v>
      </c>
      <c r="H698" s="27">
        <f>H699</f>
        <v>1293.1</v>
      </c>
      <c r="I698" s="27">
        <f t="shared" si="45"/>
        <v>99.96134817563389</v>
      </c>
    </row>
    <row r="699" spans="1:9" ht="15.75">
      <c r="A699" s="26" t="s">
        <v>325</v>
      </c>
      <c r="B699" s="17">
        <v>906</v>
      </c>
      <c r="C699" s="21" t="s">
        <v>315</v>
      </c>
      <c r="D699" s="21" t="s">
        <v>264</v>
      </c>
      <c r="E699" s="21" t="s">
        <v>509</v>
      </c>
      <c r="F699" s="21" t="s">
        <v>326</v>
      </c>
      <c r="G699" s="28">
        <f>1572.5-278.9</f>
        <v>1293.6</v>
      </c>
      <c r="H699" s="28">
        <v>1293.1</v>
      </c>
      <c r="I699" s="27">
        <f t="shared" si="45"/>
        <v>99.96134817563389</v>
      </c>
    </row>
    <row r="700" spans="1:9" ht="47.25">
      <c r="A700" s="26" t="s">
        <v>510</v>
      </c>
      <c r="B700" s="17">
        <v>906</v>
      </c>
      <c r="C700" s="21" t="s">
        <v>315</v>
      </c>
      <c r="D700" s="21" t="s">
        <v>264</v>
      </c>
      <c r="E700" s="21" t="s">
        <v>511</v>
      </c>
      <c r="F700" s="21"/>
      <c r="G700" s="28">
        <f>G701</f>
        <v>496.7</v>
      </c>
      <c r="H700" s="28">
        <f>H701</f>
        <v>496.7</v>
      </c>
      <c r="I700" s="27">
        <f t="shared" si="45"/>
        <v>100</v>
      </c>
    </row>
    <row r="701" spans="1:9" ht="47.25">
      <c r="A701" s="26" t="s">
        <v>323</v>
      </c>
      <c r="B701" s="17">
        <v>906</v>
      </c>
      <c r="C701" s="21" t="s">
        <v>315</v>
      </c>
      <c r="D701" s="21" t="s">
        <v>264</v>
      </c>
      <c r="E701" s="21" t="s">
        <v>511</v>
      </c>
      <c r="F701" s="21" t="s">
        <v>324</v>
      </c>
      <c r="G701" s="28">
        <f>G702</f>
        <v>496.7</v>
      </c>
      <c r="H701" s="28">
        <f>H702</f>
        <v>496.7</v>
      </c>
      <c r="I701" s="27">
        <f t="shared" si="45"/>
        <v>100</v>
      </c>
    </row>
    <row r="702" spans="1:9" ht="15.75">
      <c r="A702" s="26" t="s">
        <v>325</v>
      </c>
      <c r="B702" s="17">
        <v>906</v>
      </c>
      <c r="C702" s="21" t="s">
        <v>315</v>
      </c>
      <c r="D702" s="21" t="s">
        <v>264</v>
      </c>
      <c r="E702" s="21" t="s">
        <v>511</v>
      </c>
      <c r="F702" s="21" t="s">
        <v>326</v>
      </c>
      <c r="G702" s="28">
        <f>733.5-244.8+8</f>
        <v>496.7</v>
      </c>
      <c r="H702" s="28">
        <v>496.7</v>
      </c>
      <c r="I702" s="27">
        <f t="shared" si="45"/>
        <v>100</v>
      </c>
    </row>
    <row r="703" spans="1:9" ht="80.25" customHeight="1">
      <c r="A703" s="33" t="s">
        <v>512</v>
      </c>
      <c r="B703" s="17">
        <v>906</v>
      </c>
      <c r="C703" s="21" t="s">
        <v>315</v>
      </c>
      <c r="D703" s="21" t="s">
        <v>264</v>
      </c>
      <c r="E703" s="21" t="s">
        <v>513</v>
      </c>
      <c r="F703" s="21"/>
      <c r="G703" s="27">
        <f>G704</f>
        <v>92211.5</v>
      </c>
      <c r="H703" s="27">
        <f>H704</f>
        <v>91936.3</v>
      </c>
      <c r="I703" s="27">
        <f t="shared" si="45"/>
        <v>99.70155566279695</v>
      </c>
    </row>
    <row r="704" spans="1:9" ht="47.25">
      <c r="A704" s="26" t="s">
        <v>323</v>
      </c>
      <c r="B704" s="17">
        <v>906</v>
      </c>
      <c r="C704" s="21" t="s">
        <v>315</v>
      </c>
      <c r="D704" s="21" t="s">
        <v>264</v>
      </c>
      <c r="E704" s="21" t="s">
        <v>513</v>
      </c>
      <c r="F704" s="21" t="s">
        <v>324</v>
      </c>
      <c r="G704" s="27">
        <f>G705</f>
        <v>92211.5</v>
      </c>
      <c r="H704" s="27">
        <f>H705</f>
        <v>91936.3</v>
      </c>
      <c r="I704" s="27">
        <f t="shared" si="45"/>
        <v>99.70155566279695</v>
      </c>
    </row>
    <row r="705" spans="1:9" ht="15.75">
      <c r="A705" s="26" t="s">
        <v>325</v>
      </c>
      <c r="B705" s="17">
        <v>906</v>
      </c>
      <c r="C705" s="21" t="s">
        <v>315</v>
      </c>
      <c r="D705" s="21" t="s">
        <v>264</v>
      </c>
      <c r="E705" s="21" t="s">
        <v>513</v>
      </c>
      <c r="F705" s="21" t="s">
        <v>326</v>
      </c>
      <c r="G705" s="28">
        <f>79406.8+9647.7+3157</f>
        <v>92211.5</v>
      </c>
      <c r="H705" s="28">
        <v>91936.3</v>
      </c>
      <c r="I705" s="27">
        <f t="shared" si="45"/>
        <v>99.70155566279695</v>
      </c>
    </row>
    <row r="706" spans="1:9" ht="63">
      <c r="A706" s="33" t="s">
        <v>340</v>
      </c>
      <c r="B706" s="17">
        <v>906</v>
      </c>
      <c r="C706" s="21" t="s">
        <v>315</v>
      </c>
      <c r="D706" s="21" t="s">
        <v>264</v>
      </c>
      <c r="E706" s="21" t="s">
        <v>341</v>
      </c>
      <c r="F706" s="21"/>
      <c r="G706" s="27">
        <f>G707</f>
        <v>617.5000000000001</v>
      </c>
      <c r="H706" s="27">
        <f>H707</f>
        <v>569.2</v>
      </c>
      <c r="I706" s="27">
        <f t="shared" si="45"/>
        <v>92.17813765182186</v>
      </c>
    </row>
    <row r="707" spans="1:9" ht="47.25">
      <c r="A707" s="26" t="s">
        <v>323</v>
      </c>
      <c r="B707" s="17">
        <v>906</v>
      </c>
      <c r="C707" s="21" t="s">
        <v>315</v>
      </c>
      <c r="D707" s="21" t="s">
        <v>264</v>
      </c>
      <c r="E707" s="21" t="s">
        <v>341</v>
      </c>
      <c r="F707" s="21" t="s">
        <v>324</v>
      </c>
      <c r="G707" s="27">
        <f>G708</f>
        <v>617.5000000000001</v>
      </c>
      <c r="H707" s="27">
        <f>H708</f>
        <v>569.2</v>
      </c>
      <c r="I707" s="27">
        <f t="shared" si="45"/>
        <v>92.17813765182186</v>
      </c>
    </row>
    <row r="708" spans="1:9" ht="15.75">
      <c r="A708" s="26" t="s">
        <v>325</v>
      </c>
      <c r="B708" s="17">
        <v>906</v>
      </c>
      <c r="C708" s="21" t="s">
        <v>315</v>
      </c>
      <c r="D708" s="21" t="s">
        <v>264</v>
      </c>
      <c r="E708" s="21" t="s">
        <v>341</v>
      </c>
      <c r="F708" s="21" t="s">
        <v>326</v>
      </c>
      <c r="G708" s="28">
        <f>1101.7-190.8-293.4</f>
        <v>617.5000000000001</v>
      </c>
      <c r="H708" s="28">
        <v>569.2</v>
      </c>
      <c r="I708" s="27">
        <f t="shared" si="45"/>
        <v>92.17813765182186</v>
      </c>
    </row>
    <row r="709" spans="1:9" ht="78.75">
      <c r="A709" s="33" t="s">
        <v>342</v>
      </c>
      <c r="B709" s="17">
        <v>906</v>
      </c>
      <c r="C709" s="21" t="s">
        <v>315</v>
      </c>
      <c r="D709" s="21" t="s">
        <v>264</v>
      </c>
      <c r="E709" s="21" t="s">
        <v>343</v>
      </c>
      <c r="F709" s="21"/>
      <c r="G709" s="27">
        <f>G710</f>
        <v>2153.8</v>
      </c>
      <c r="H709" s="27">
        <f>H710</f>
        <v>2110.7</v>
      </c>
      <c r="I709" s="27">
        <f t="shared" si="45"/>
        <v>97.99888569040763</v>
      </c>
    </row>
    <row r="710" spans="1:9" ht="47.25">
      <c r="A710" s="26" t="s">
        <v>323</v>
      </c>
      <c r="B710" s="17">
        <v>906</v>
      </c>
      <c r="C710" s="21" t="s">
        <v>315</v>
      </c>
      <c r="D710" s="21" t="s">
        <v>264</v>
      </c>
      <c r="E710" s="21" t="s">
        <v>343</v>
      </c>
      <c r="F710" s="21" t="s">
        <v>324</v>
      </c>
      <c r="G710" s="27">
        <f>G711</f>
        <v>2153.8</v>
      </c>
      <c r="H710" s="27">
        <f>H711</f>
        <v>2110.7</v>
      </c>
      <c r="I710" s="27">
        <f t="shared" si="45"/>
        <v>97.99888569040763</v>
      </c>
    </row>
    <row r="711" spans="1:9" ht="15.75">
      <c r="A711" s="26" t="s">
        <v>325</v>
      </c>
      <c r="B711" s="17">
        <v>906</v>
      </c>
      <c r="C711" s="21" t="s">
        <v>315</v>
      </c>
      <c r="D711" s="21" t="s">
        <v>264</v>
      </c>
      <c r="E711" s="21" t="s">
        <v>343</v>
      </c>
      <c r="F711" s="21" t="s">
        <v>326</v>
      </c>
      <c r="G711" s="28">
        <f>2823.2-667.7+75-76.7</f>
        <v>2153.8</v>
      </c>
      <c r="H711" s="28">
        <v>2110.7</v>
      </c>
      <c r="I711" s="27">
        <f t="shared" si="45"/>
        <v>97.99888569040763</v>
      </c>
    </row>
    <row r="712" spans="1:9" ht="47.25">
      <c r="A712" s="33" t="s">
        <v>514</v>
      </c>
      <c r="B712" s="17">
        <v>906</v>
      </c>
      <c r="C712" s="21" t="s">
        <v>315</v>
      </c>
      <c r="D712" s="21" t="s">
        <v>264</v>
      </c>
      <c r="E712" s="21" t="s">
        <v>515</v>
      </c>
      <c r="F712" s="21"/>
      <c r="G712" s="27">
        <f>G713</f>
        <v>966.3</v>
      </c>
      <c r="H712" s="27">
        <f>H713</f>
        <v>891.1</v>
      </c>
      <c r="I712" s="27">
        <f t="shared" si="45"/>
        <v>92.21773776259961</v>
      </c>
    </row>
    <row r="713" spans="1:9" ht="47.25">
      <c r="A713" s="26" t="s">
        <v>323</v>
      </c>
      <c r="B713" s="17">
        <v>906</v>
      </c>
      <c r="C713" s="21" t="s">
        <v>315</v>
      </c>
      <c r="D713" s="21" t="s">
        <v>264</v>
      </c>
      <c r="E713" s="21" t="s">
        <v>515</v>
      </c>
      <c r="F713" s="21" t="s">
        <v>324</v>
      </c>
      <c r="G713" s="27">
        <f>G714</f>
        <v>966.3</v>
      </c>
      <c r="H713" s="27">
        <f>H714</f>
        <v>891.1</v>
      </c>
      <c r="I713" s="27">
        <f t="shared" si="45"/>
        <v>92.21773776259961</v>
      </c>
    </row>
    <row r="714" spans="1:9" ht="15.75">
      <c r="A714" s="26" t="s">
        <v>325</v>
      </c>
      <c r="B714" s="17">
        <v>906</v>
      </c>
      <c r="C714" s="21" t="s">
        <v>315</v>
      </c>
      <c r="D714" s="21" t="s">
        <v>264</v>
      </c>
      <c r="E714" s="21" t="s">
        <v>515</v>
      </c>
      <c r="F714" s="21" t="s">
        <v>326</v>
      </c>
      <c r="G714" s="28">
        <v>966.3</v>
      </c>
      <c r="H714" s="28">
        <v>891.1</v>
      </c>
      <c r="I714" s="27">
        <f t="shared" si="45"/>
        <v>92.21773776259961</v>
      </c>
    </row>
    <row r="715" spans="1:9" ht="110.25">
      <c r="A715" s="33" t="s">
        <v>516</v>
      </c>
      <c r="B715" s="17">
        <v>906</v>
      </c>
      <c r="C715" s="21" t="s">
        <v>315</v>
      </c>
      <c r="D715" s="21" t="s">
        <v>264</v>
      </c>
      <c r="E715" s="21" t="s">
        <v>345</v>
      </c>
      <c r="F715" s="21"/>
      <c r="G715" s="27">
        <f>G716</f>
        <v>4294.7</v>
      </c>
      <c r="H715" s="27">
        <f>H716</f>
        <v>4294.7</v>
      </c>
      <c r="I715" s="27">
        <f aca="true" t="shared" si="46" ref="I715:I778">H715/G715*100</f>
        <v>100</v>
      </c>
    </row>
    <row r="716" spans="1:9" ht="47.25">
      <c r="A716" s="26" t="s">
        <v>323</v>
      </c>
      <c r="B716" s="17">
        <v>906</v>
      </c>
      <c r="C716" s="21" t="s">
        <v>315</v>
      </c>
      <c r="D716" s="21" t="s">
        <v>264</v>
      </c>
      <c r="E716" s="21" t="s">
        <v>345</v>
      </c>
      <c r="F716" s="21" t="s">
        <v>324</v>
      </c>
      <c r="G716" s="27">
        <f>G717</f>
        <v>4294.7</v>
      </c>
      <c r="H716" s="27">
        <f>H717</f>
        <v>4294.7</v>
      </c>
      <c r="I716" s="27">
        <f t="shared" si="46"/>
        <v>100</v>
      </c>
    </row>
    <row r="717" spans="1:9" ht="15.75">
      <c r="A717" s="26" t="s">
        <v>325</v>
      </c>
      <c r="B717" s="17">
        <v>906</v>
      </c>
      <c r="C717" s="21" t="s">
        <v>315</v>
      </c>
      <c r="D717" s="21" t="s">
        <v>264</v>
      </c>
      <c r="E717" s="21" t="s">
        <v>345</v>
      </c>
      <c r="F717" s="21" t="s">
        <v>326</v>
      </c>
      <c r="G717" s="28">
        <f>5441.9-1072.9-74.3</f>
        <v>4294.7</v>
      </c>
      <c r="H717" s="28">
        <v>4294.7</v>
      </c>
      <c r="I717" s="27">
        <f t="shared" si="46"/>
        <v>100</v>
      </c>
    </row>
    <row r="718" spans="1:9" ht="15.75">
      <c r="A718" s="24" t="s">
        <v>316</v>
      </c>
      <c r="B718" s="20">
        <v>906</v>
      </c>
      <c r="C718" s="25" t="s">
        <v>315</v>
      </c>
      <c r="D718" s="25" t="s">
        <v>266</v>
      </c>
      <c r="E718" s="25"/>
      <c r="F718" s="25"/>
      <c r="G718" s="46">
        <f>G719+G731</f>
        <v>33299.3</v>
      </c>
      <c r="H718" s="46">
        <f>H719+H731</f>
        <v>33297.1</v>
      </c>
      <c r="I718" s="22">
        <f t="shared" si="46"/>
        <v>99.99339325451284</v>
      </c>
    </row>
    <row r="719" spans="1:9" ht="47.25">
      <c r="A719" s="26" t="s">
        <v>478</v>
      </c>
      <c r="B719" s="17">
        <v>906</v>
      </c>
      <c r="C719" s="21" t="s">
        <v>315</v>
      </c>
      <c r="D719" s="21" t="s">
        <v>266</v>
      </c>
      <c r="E719" s="21" t="s">
        <v>458</v>
      </c>
      <c r="F719" s="21"/>
      <c r="G719" s="28">
        <f>G720+G724</f>
        <v>31812.7</v>
      </c>
      <c r="H719" s="28">
        <f>H720+H724</f>
        <v>31812.6</v>
      </c>
      <c r="I719" s="27">
        <f t="shared" si="46"/>
        <v>99.99968566012943</v>
      </c>
    </row>
    <row r="720" spans="1:9" ht="47.25">
      <c r="A720" s="26" t="s">
        <v>459</v>
      </c>
      <c r="B720" s="17">
        <v>906</v>
      </c>
      <c r="C720" s="21" t="s">
        <v>315</v>
      </c>
      <c r="D720" s="21" t="s">
        <v>266</v>
      </c>
      <c r="E720" s="21" t="s">
        <v>460</v>
      </c>
      <c r="F720" s="21"/>
      <c r="G720" s="28">
        <f aca="true" t="shared" si="47" ref="G720:H722">G721</f>
        <v>31066.5</v>
      </c>
      <c r="H720" s="28">
        <f t="shared" si="47"/>
        <v>31066.5</v>
      </c>
      <c r="I720" s="27">
        <f t="shared" si="46"/>
        <v>100</v>
      </c>
    </row>
    <row r="721" spans="1:9" ht="47.25">
      <c r="A721" s="26" t="s">
        <v>321</v>
      </c>
      <c r="B721" s="17">
        <v>906</v>
      </c>
      <c r="C721" s="21" t="s">
        <v>315</v>
      </c>
      <c r="D721" s="21" t="s">
        <v>266</v>
      </c>
      <c r="E721" s="21" t="s">
        <v>481</v>
      </c>
      <c r="F721" s="21"/>
      <c r="G721" s="28">
        <f t="shared" si="47"/>
        <v>31066.5</v>
      </c>
      <c r="H721" s="28">
        <f t="shared" si="47"/>
        <v>31066.5</v>
      </c>
      <c r="I721" s="27">
        <f t="shared" si="46"/>
        <v>100</v>
      </c>
    </row>
    <row r="722" spans="1:9" ht="47.25">
      <c r="A722" s="26" t="s">
        <v>323</v>
      </c>
      <c r="B722" s="17">
        <v>906</v>
      </c>
      <c r="C722" s="21" t="s">
        <v>315</v>
      </c>
      <c r="D722" s="21" t="s">
        <v>266</v>
      </c>
      <c r="E722" s="21" t="s">
        <v>481</v>
      </c>
      <c r="F722" s="21" t="s">
        <v>324</v>
      </c>
      <c r="G722" s="28">
        <f t="shared" si="47"/>
        <v>31066.5</v>
      </c>
      <c r="H722" s="28">
        <f t="shared" si="47"/>
        <v>31066.5</v>
      </c>
      <c r="I722" s="27">
        <f t="shared" si="46"/>
        <v>100</v>
      </c>
    </row>
    <row r="723" spans="1:14" ht="15.75">
      <c r="A723" s="26" t="s">
        <v>325</v>
      </c>
      <c r="B723" s="17">
        <v>906</v>
      </c>
      <c r="C723" s="21" t="s">
        <v>315</v>
      </c>
      <c r="D723" s="21" t="s">
        <v>266</v>
      </c>
      <c r="E723" s="21" t="s">
        <v>481</v>
      </c>
      <c r="F723" s="21" t="s">
        <v>326</v>
      </c>
      <c r="G723" s="28">
        <f>21618.8-450.7+6212.9+2326+990+369.5</f>
        <v>31066.5</v>
      </c>
      <c r="H723" s="28">
        <v>31066.5</v>
      </c>
      <c r="I723" s="27">
        <f t="shared" si="46"/>
        <v>100</v>
      </c>
      <c r="J723" s="275"/>
      <c r="K723" s="281"/>
      <c r="L723" s="281"/>
      <c r="M723" s="281"/>
      <c r="N723" s="310"/>
    </row>
    <row r="724" spans="1:14" ht="43.5" customHeight="1">
      <c r="A724" s="33" t="s">
        <v>787</v>
      </c>
      <c r="B724" s="17">
        <v>906</v>
      </c>
      <c r="C724" s="21" t="s">
        <v>315</v>
      </c>
      <c r="D724" s="21" t="s">
        <v>266</v>
      </c>
      <c r="E724" s="21" t="s">
        <v>499</v>
      </c>
      <c r="F724" s="21"/>
      <c r="G724" s="28">
        <f>G725+G730</f>
        <v>746.2</v>
      </c>
      <c r="H724" s="28">
        <f>H725+H730</f>
        <v>746.1</v>
      </c>
      <c r="I724" s="27">
        <f t="shared" si="46"/>
        <v>99.98659876708656</v>
      </c>
      <c r="N724" s="311"/>
    </row>
    <row r="725" spans="1:9" ht="31.5" hidden="1">
      <c r="A725" s="47" t="s">
        <v>871</v>
      </c>
      <c r="B725" s="17">
        <v>906</v>
      </c>
      <c r="C725" s="21" t="s">
        <v>315</v>
      </c>
      <c r="D725" s="21" t="s">
        <v>266</v>
      </c>
      <c r="E725" s="21" t="s">
        <v>789</v>
      </c>
      <c r="F725" s="21"/>
      <c r="G725" s="28">
        <f>G726</f>
        <v>0</v>
      </c>
      <c r="H725" s="28">
        <f>H726</f>
        <v>0</v>
      </c>
      <c r="I725" s="27" t="e">
        <f t="shared" si="46"/>
        <v>#DIV/0!</v>
      </c>
    </row>
    <row r="726" spans="1:9" ht="47.25" hidden="1">
      <c r="A726" s="33" t="s">
        <v>323</v>
      </c>
      <c r="B726" s="17">
        <v>906</v>
      </c>
      <c r="C726" s="21" t="s">
        <v>315</v>
      </c>
      <c r="D726" s="21" t="s">
        <v>266</v>
      </c>
      <c r="E726" s="21" t="s">
        <v>789</v>
      </c>
      <c r="F726" s="21" t="s">
        <v>324</v>
      </c>
      <c r="G726" s="28">
        <f>G727</f>
        <v>0</v>
      </c>
      <c r="H726" s="28">
        <f>H727</f>
        <v>0</v>
      </c>
      <c r="I726" s="27" t="e">
        <f t="shared" si="46"/>
        <v>#DIV/0!</v>
      </c>
    </row>
    <row r="727" spans="1:9" ht="15.75" hidden="1">
      <c r="A727" s="33" t="s">
        <v>325</v>
      </c>
      <c r="B727" s="17">
        <v>906</v>
      </c>
      <c r="C727" s="21" t="s">
        <v>315</v>
      </c>
      <c r="D727" s="21" t="s">
        <v>266</v>
      </c>
      <c r="E727" s="21" t="s">
        <v>789</v>
      </c>
      <c r="F727" s="21" t="s">
        <v>326</v>
      </c>
      <c r="G727" s="28">
        <v>0</v>
      </c>
      <c r="H727" s="28">
        <v>0</v>
      </c>
      <c r="I727" s="27" t="e">
        <f t="shared" si="46"/>
        <v>#DIV/0!</v>
      </c>
    </row>
    <row r="728" spans="1:9" ht="47.25">
      <c r="A728" s="47" t="s">
        <v>857</v>
      </c>
      <c r="B728" s="17">
        <v>906</v>
      </c>
      <c r="C728" s="21" t="s">
        <v>315</v>
      </c>
      <c r="D728" s="21" t="s">
        <v>266</v>
      </c>
      <c r="E728" s="21" t="s">
        <v>858</v>
      </c>
      <c r="F728" s="21"/>
      <c r="G728" s="28">
        <f>G729</f>
        <v>746.2</v>
      </c>
      <c r="H728" s="28">
        <f>H729</f>
        <v>746.1</v>
      </c>
      <c r="I728" s="27">
        <f t="shared" si="46"/>
        <v>99.98659876708656</v>
      </c>
    </row>
    <row r="729" spans="1:9" ht="47.25">
      <c r="A729" s="26" t="s">
        <v>323</v>
      </c>
      <c r="B729" s="17">
        <v>906</v>
      </c>
      <c r="C729" s="21" t="s">
        <v>315</v>
      </c>
      <c r="D729" s="21" t="s">
        <v>266</v>
      </c>
      <c r="E729" s="21" t="s">
        <v>858</v>
      </c>
      <c r="F729" s="21" t="s">
        <v>324</v>
      </c>
      <c r="G729" s="28">
        <f>G730</f>
        <v>746.2</v>
      </c>
      <c r="H729" s="28">
        <f>H730</f>
        <v>746.1</v>
      </c>
      <c r="I729" s="27">
        <f t="shared" si="46"/>
        <v>99.98659876708656</v>
      </c>
    </row>
    <row r="730" spans="1:9" ht="15.75">
      <c r="A730" s="33" t="s">
        <v>325</v>
      </c>
      <c r="B730" s="17">
        <v>906</v>
      </c>
      <c r="C730" s="21" t="s">
        <v>315</v>
      </c>
      <c r="D730" s="21" t="s">
        <v>266</v>
      </c>
      <c r="E730" s="21" t="s">
        <v>858</v>
      </c>
      <c r="F730" s="21" t="s">
        <v>326</v>
      </c>
      <c r="G730" s="28">
        <f>753.1-6.9</f>
        <v>746.2</v>
      </c>
      <c r="H730" s="28">
        <v>746.1</v>
      </c>
      <c r="I730" s="27">
        <f t="shared" si="46"/>
        <v>99.98659876708656</v>
      </c>
    </row>
    <row r="731" spans="1:9" ht="15.75">
      <c r="A731" s="26" t="s">
        <v>517</v>
      </c>
      <c r="B731" s="17">
        <v>906</v>
      </c>
      <c r="C731" s="21" t="s">
        <v>315</v>
      </c>
      <c r="D731" s="21" t="s">
        <v>266</v>
      </c>
      <c r="E731" s="21" t="s">
        <v>173</v>
      </c>
      <c r="F731" s="21"/>
      <c r="G731" s="28">
        <f>G732</f>
        <v>1486.6</v>
      </c>
      <c r="H731" s="28">
        <f>H732</f>
        <v>1484.5</v>
      </c>
      <c r="I731" s="27">
        <f t="shared" si="46"/>
        <v>99.8587380600027</v>
      </c>
    </row>
    <row r="732" spans="1:9" ht="31.5">
      <c r="A732" s="26" t="s">
        <v>236</v>
      </c>
      <c r="B732" s="17">
        <v>906</v>
      </c>
      <c r="C732" s="21" t="s">
        <v>315</v>
      </c>
      <c r="D732" s="21" t="s">
        <v>266</v>
      </c>
      <c r="E732" s="21" t="s">
        <v>237</v>
      </c>
      <c r="F732" s="21"/>
      <c r="G732" s="28">
        <f>G733+G736+G739</f>
        <v>1486.6</v>
      </c>
      <c r="H732" s="28">
        <f>H733+H736+H739</f>
        <v>1484.5</v>
      </c>
      <c r="I732" s="27">
        <f t="shared" si="46"/>
        <v>99.8587380600027</v>
      </c>
    </row>
    <row r="733" spans="1:9" ht="63">
      <c r="A733" s="33" t="s">
        <v>340</v>
      </c>
      <c r="B733" s="17">
        <v>906</v>
      </c>
      <c r="C733" s="21" t="s">
        <v>315</v>
      </c>
      <c r="D733" s="21" t="s">
        <v>266</v>
      </c>
      <c r="E733" s="21" t="s">
        <v>341</v>
      </c>
      <c r="F733" s="21"/>
      <c r="G733" s="28">
        <f>G734</f>
        <v>73.5</v>
      </c>
      <c r="H733" s="28">
        <f>H734</f>
        <v>71.4</v>
      </c>
      <c r="I733" s="27">
        <f t="shared" si="46"/>
        <v>97.14285714285715</v>
      </c>
    </row>
    <row r="734" spans="1:9" ht="47.25">
      <c r="A734" s="26" t="s">
        <v>323</v>
      </c>
      <c r="B734" s="17">
        <v>906</v>
      </c>
      <c r="C734" s="21" t="s">
        <v>315</v>
      </c>
      <c r="D734" s="21" t="s">
        <v>266</v>
      </c>
      <c r="E734" s="21" t="s">
        <v>341</v>
      </c>
      <c r="F734" s="21" t="s">
        <v>324</v>
      </c>
      <c r="G734" s="28">
        <f>G735</f>
        <v>73.5</v>
      </c>
      <c r="H734" s="28">
        <f>H735</f>
        <v>71.4</v>
      </c>
      <c r="I734" s="27">
        <f t="shared" si="46"/>
        <v>97.14285714285715</v>
      </c>
    </row>
    <row r="735" spans="1:9" ht="15.75">
      <c r="A735" s="26" t="s">
        <v>325</v>
      </c>
      <c r="B735" s="17">
        <v>906</v>
      </c>
      <c r="C735" s="21" t="s">
        <v>315</v>
      </c>
      <c r="D735" s="21" t="s">
        <v>266</v>
      </c>
      <c r="E735" s="21" t="s">
        <v>341</v>
      </c>
      <c r="F735" s="21" t="s">
        <v>326</v>
      </c>
      <c r="G735" s="28">
        <f>110-36.5</f>
        <v>73.5</v>
      </c>
      <c r="H735" s="28">
        <v>71.4</v>
      </c>
      <c r="I735" s="27">
        <f t="shared" si="46"/>
        <v>97.14285714285715</v>
      </c>
    </row>
    <row r="736" spans="1:9" ht="78.75">
      <c r="A736" s="33" t="s">
        <v>342</v>
      </c>
      <c r="B736" s="17">
        <v>906</v>
      </c>
      <c r="C736" s="21" t="s">
        <v>315</v>
      </c>
      <c r="D736" s="21" t="s">
        <v>266</v>
      </c>
      <c r="E736" s="21" t="s">
        <v>343</v>
      </c>
      <c r="F736" s="21"/>
      <c r="G736" s="28">
        <f>G737</f>
        <v>528.6</v>
      </c>
      <c r="H736" s="28">
        <f>H737</f>
        <v>528.6</v>
      </c>
      <c r="I736" s="27">
        <f t="shared" si="46"/>
        <v>100</v>
      </c>
    </row>
    <row r="737" spans="1:9" ht="47.25">
      <c r="A737" s="26" t="s">
        <v>323</v>
      </c>
      <c r="B737" s="17">
        <v>906</v>
      </c>
      <c r="C737" s="21" t="s">
        <v>315</v>
      </c>
      <c r="D737" s="21" t="s">
        <v>266</v>
      </c>
      <c r="E737" s="21" t="s">
        <v>343</v>
      </c>
      <c r="F737" s="21" t="s">
        <v>324</v>
      </c>
      <c r="G737" s="28">
        <f>G738</f>
        <v>528.6</v>
      </c>
      <c r="H737" s="28">
        <f>H738</f>
        <v>528.6</v>
      </c>
      <c r="I737" s="27">
        <f t="shared" si="46"/>
        <v>100</v>
      </c>
    </row>
    <row r="738" spans="1:9" ht="15.75">
      <c r="A738" s="26" t="s">
        <v>325</v>
      </c>
      <c r="B738" s="17">
        <v>906</v>
      </c>
      <c r="C738" s="21" t="s">
        <v>315</v>
      </c>
      <c r="D738" s="21" t="s">
        <v>266</v>
      </c>
      <c r="E738" s="21" t="s">
        <v>343</v>
      </c>
      <c r="F738" s="21" t="s">
        <v>326</v>
      </c>
      <c r="G738" s="28">
        <f>572.2+19.9-63.5</f>
        <v>528.6</v>
      </c>
      <c r="H738" s="28">
        <v>528.6</v>
      </c>
      <c r="I738" s="27">
        <f t="shared" si="46"/>
        <v>100</v>
      </c>
    </row>
    <row r="739" spans="1:9" ht="110.25">
      <c r="A739" s="33" t="s">
        <v>344</v>
      </c>
      <c r="B739" s="17">
        <v>906</v>
      </c>
      <c r="C739" s="21" t="s">
        <v>315</v>
      </c>
      <c r="D739" s="21" t="s">
        <v>266</v>
      </c>
      <c r="E739" s="21" t="s">
        <v>345</v>
      </c>
      <c r="F739" s="21"/>
      <c r="G739" s="28">
        <f>G740</f>
        <v>884.5</v>
      </c>
      <c r="H739" s="28">
        <f>H740</f>
        <v>884.5</v>
      </c>
      <c r="I739" s="27">
        <f t="shared" si="46"/>
        <v>100</v>
      </c>
    </row>
    <row r="740" spans="1:9" ht="47.25">
      <c r="A740" s="26" t="s">
        <v>323</v>
      </c>
      <c r="B740" s="17">
        <v>906</v>
      </c>
      <c r="C740" s="21" t="s">
        <v>315</v>
      </c>
      <c r="D740" s="21" t="s">
        <v>266</v>
      </c>
      <c r="E740" s="21" t="s">
        <v>345</v>
      </c>
      <c r="F740" s="21" t="s">
        <v>324</v>
      </c>
      <c r="G740" s="28">
        <f>G741</f>
        <v>884.5</v>
      </c>
      <c r="H740" s="28">
        <f>H741</f>
        <v>884.5</v>
      </c>
      <c r="I740" s="27">
        <f t="shared" si="46"/>
        <v>100</v>
      </c>
    </row>
    <row r="741" spans="1:10" ht="15.75">
      <c r="A741" s="26" t="s">
        <v>325</v>
      </c>
      <c r="B741" s="17">
        <v>906</v>
      </c>
      <c r="C741" s="21" t="s">
        <v>315</v>
      </c>
      <c r="D741" s="21" t="s">
        <v>266</v>
      </c>
      <c r="E741" s="21" t="s">
        <v>345</v>
      </c>
      <c r="F741" s="21" t="s">
        <v>326</v>
      </c>
      <c r="G741" s="28">
        <f>900-15.5</f>
        <v>884.5</v>
      </c>
      <c r="H741" s="28">
        <v>884.5</v>
      </c>
      <c r="I741" s="27">
        <f t="shared" si="46"/>
        <v>100</v>
      </c>
      <c r="J741" s="275"/>
    </row>
    <row r="742" spans="1:9" ht="21" customHeight="1">
      <c r="A742" s="24" t="s">
        <v>518</v>
      </c>
      <c r="B742" s="20">
        <v>906</v>
      </c>
      <c r="C742" s="25" t="s">
        <v>315</v>
      </c>
      <c r="D742" s="25" t="s">
        <v>315</v>
      </c>
      <c r="E742" s="25"/>
      <c r="F742" s="25"/>
      <c r="G742" s="22">
        <f>G743+G748</f>
        <v>4887.8</v>
      </c>
      <c r="H742" s="22">
        <f>H743+H748</f>
        <v>4887.8</v>
      </c>
      <c r="I742" s="22">
        <f t="shared" si="46"/>
        <v>100</v>
      </c>
    </row>
    <row r="743" spans="1:9" ht="47.25">
      <c r="A743" s="26" t="s">
        <v>478</v>
      </c>
      <c r="B743" s="17">
        <v>906</v>
      </c>
      <c r="C743" s="21" t="s">
        <v>315</v>
      </c>
      <c r="D743" s="21" t="s">
        <v>315</v>
      </c>
      <c r="E743" s="21" t="s">
        <v>458</v>
      </c>
      <c r="F743" s="21"/>
      <c r="G743" s="27">
        <f aca="true" t="shared" si="48" ref="G743:H752">G744</f>
        <v>3584</v>
      </c>
      <c r="H743" s="27">
        <f t="shared" si="48"/>
        <v>3584</v>
      </c>
      <c r="I743" s="27">
        <f t="shared" si="46"/>
        <v>100</v>
      </c>
    </row>
    <row r="744" spans="1:9" ht="31.5">
      <c r="A744" s="26" t="s">
        <v>519</v>
      </c>
      <c r="B744" s="17">
        <v>906</v>
      </c>
      <c r="C744" s="21" t="s">
        <v>315</v>
      </c>
      <c r="D744" s="21" t="s">
        <v>520</v>
      </c>
      <c r="E744" s="21" t="s">
        <v>521</v>
      </c>
      <c r="F744" s="21"/>
      <c r="G744" s="27">
        <f t="shared" si="48"/>
        <v>3584</v>
      </c>
      <c r="H744" s="27">
        <f t="shared" si="48"/>
        <v>3584</v>
      </c>
      <c r="I744" s="27">
        <f t="shared" si="46"/>
        <v>100</v>
      </c>
    </row>
    <row r="745" spans="1:9" ht="31.5">
      <c r="A745" s="26" t="s">
        <v>673</v>
      </c>
      <c r="B745" s="17">
        <v>906</v>
      </c>
      <c r="C745" s="21" t="s">
        <v>315</v>
      </c>
      <c r="D745" s="21" t="s">
        <v>315</v>
      </c>
      <c r="E745" s="21" t="s">
        <v>523</v>
      </c>
      <c r="F745" s="21"/>
      <c r="G745" s="27">
        <f t="shared" si="48"/>
        <v>3584</v>
      </c>
      <c r="H745" s="27">
        <f t="shared" si="48"/>
        <v>3584</v>
      </c>
      <c r="I745" s="27">
        <f t="shared" si="46"/>
        <v>100</v>
      </c>
    </row>
    <row r="746" spans="1:9" ht="47.25">
      <c r="A746" s="26" t="s">
        <v>323</v>
      </c>
      <c r="B746" s="17">
        <v>906</v>
      </c>
      <c r="C746" s="21" t="s">
        <v>315</v>
      </c>
      <c r="D746" s="21" t="s">
        <v>315</v>
      </c>
      <c r="E746" s="21" t="s">
        <v>523</v>
      </c>
      <c r="F746" s="21" t="s">
        <v>324</v>
      </c>
      <c r="G746" s="27">
        <f t="shared" si="48"/>
        <v>3584</v>
      </c>
      <c r="H746" s="27">
        <f t="shared" si="48"/>
        <v>3584</v>
      </c>
      <c r="I746" s="27">
        <f t="shared" si="46"/>
        <v>100</v>
      </c>
    </row>
    <row r="747" spans="1:9" ht="15.75">
      <c r="A747" s="26" t="s">
        <v>325</v>
      </c>
      <c r="B747" s="17">
        <v>906</v>
      </c>
      <c r="C747" s="21" t="s">
        <v>315</v>
      </c>
      <c r="D747" s="21" t="s">
        <v>315</v>
      </c>
      <c r="E747" s="21" t="s">
        <v>523</v>
      </c>
      <c r="F747" s="21" t="s">
        <v>326</v>
      </c>
      <c r="G747" s="28">
        <f>3485+99</f>
        <v>3584</v>
      </c>
      <c r="H747" s="28">
        <v>3584</v>
      </c>
      <c r="I747" s="27">
        <f t="shared" si="46"/>
        <v>100</v>
      </c>
    </row>
    <row r="748" spans="1:9" ht="15.75">
      <c r="A748" s="26" t="s">
        <v>172</v>
      </c>
      <c r="B748" s="17">
        <v>906</v>
      </c>
      <c r="C748" s="21" t="s">
        <v>315</v>
      </c>
      <c r="D748" s="21" t="s">
        <v>315</v>
      </c>
      <c r="E748" s="21" t="s">
        <v>173</v>
      </c>
      <c r="F748" s="21"/>
      <c r="G748" s="27">
        <f>G749</f>
        <v>1303.8</v>
      </c>
      <c r="H748" s="27">
        <f>H749</f>
        <v>1303.8</v>
      </c>
      <c r="I748" s="27">
        <f t="shared" si="46"/>
        <v>100</v>
      </c>
    </row>
    <row r="749" spans="1:9" ht="31.5">
      <c r="A749" s="26" t="s">
        <v>236</v>
      </c>
      <c r="B749" s="17">
        <v>906</v>
      </c>
      <c r="C749" s="21" t="s">
        <v>315</v>
      </c>
      <c r="D749" s="21" t="s">
        <v>315</v>
      </c>
      <c r="E749" s="21" t="s">
        <v>237</v>
      </c>
      <c r="F749" s="21"/>
      <c r="G749" s="27">
        <f>G751</f>
        <v>1303.8</v>
      </c>
      <c r="H749" s="27">
        <f>H751</f>
        <v>1303.8</v>
      </c>
      <c r="I749" s="27">
        <f t="shared" si="46"/>
        <v>100</v>
      </c>
    </row>
    <row r="750" spans="1:9" ht="63" customHeight="1" hidden="1">
      <c r="A750" s="26" t="s">
        <v>524</v>
      </c>
      <c r="B750" s="17">
        <v>906</v>
      </c>
      <c r="C750" s="21" t="s">
        <v>315</v>
      </c>
      <c r="D750" s="21" t="s">
        <v>315</v>
      </c>
      <c r="E750" s="21" t="s">
        <v>525</v>
      </c>
      <c r="F750" s="21"/>
      <c r="G750" s="27">
        <f t="shared" si="48"/>
        <v>1303.8</v>
      </c>
      <c r="H750" s="27">
        <f t="shared" si="48"/>
        <v>1303.8</v>
      </c>
      <c r="I750" s="27">
        <f t="shared" si="46"/>
        <v>100</v>
      </c>
    </row>
    <row r="751" spans="1:9" ht="31.5">
      <c r="A751" s="33" t="s">
        <v>526</v>
      </c>
      <c r="B751" s="17">
        <v>906</v>
      </c>
      <c r="C751" s="21" t="s">
        <v>315</v>
      </c>
      <c r="D751" s="21" t="s">
        <v>315</v>
      </c>
      <c r="E751" s="21" t="s">
        <v>527</v>
      </c>
      <c r="F751" s="21"/>
      <c r="G751" s="27">
        <f t="shared" si="48"/>
        <v>1303.8</v>
      </c>
      <c r="H751" s="27">
        <f t="shared" si="48"/>
        <v>1303.8</v>
      </c>
      <c r="I751" s="27">
        <f t="shared" si="46"/>
        <v>100</v>
      </c>
    </row>
    <row r="752" spans="1:9" ht="47.25">
      <c r="A752" s="26" t="s">
        <v>323</v>
      </c>
      <c r="B752" s="17">
        <v>906</v>
      </c>
      <c r="C752" s="21" t="s">
        <v>315</v>
      </c>
      <c r="D752" s="21" t="s">
        <v>315</v>
      </c>
      <c r="E752" s="21" t="s">
        <v>527</v>
      </c>
      <c r="F752" s="21" t="s">
        <v>324</v>
      </c>
      <c r="G752" s="27">
        <f t="shared" si="48"/>
        <v>1303.8</v>
      </c>
      <c r="H752" s="27">
        <f t="shared" si="48"/>
        <v>1303.8</v>
      </c>
      <c r="I752" s="27">
        <f t="shared" si="46"/>
        <v>100</v>
      </c>
    </row>
    <row r="753" spans="1:9" ht="15.75">
      <c r="A753" s="26" t="s">
        <v>325</v>
      </c>
      <c r="B753" s="17">
        <v>906</v>
      </c>
      <c r="C753" s="21" t="s">
        <v>315</v>
      </c>
      <c r="D753" s="21" t="s">
        <v>315</v>
      </c>
      <c r="E753" s="21" t="s">
        <v>527</v>
      </c>
      <c r="F753" s="21" t="s">
        <v>326</v>
      </c>
      <c r="G753" s="28">
        <v>1303.8</v>
      </c>
      <c r="H753" s="28">
        <v>1303.8</v>
      </c>
      <c r="I753" s="27">
        <f t="shared" si="46"/>
        <v>100</v>
      </c>
    </row>
    <row r="754" spans="1:9" ht="15.75">
      <c r="A754" s="24" t="s">
        <v>346</v>
      </c>
      <c r="B754" s="20">
        <v>906</v>
      </c>
      <c r="C754" s="25" t="s">
        <v>315</v>
      </c>
      <c r="D754" s="25" t="s">
        <v>270</v>
      </c>
      <c r="E754" s="25"/>
      <c r="F754" s="25"/>
      <c r="G754" s="22">
        <f>G755+G764</f>
        <v>19956.000000000004</v>
      </c>
      <c r="H754" s="22">
        <f>H755+H764</f>
        <v>19637.8</v>
      </c>
      <c r="I754" s="22">
        <f t="shared" si="46"/>
        <v>98.40549208258166</v>
      </c>
    </row>
    <row r="755" spans="1:9" ht="47.25" hidden="1">
      <c r="A755" s="26" t="s">
        <v>385</v>
      </c>
      <c r="B755" s="17">
        <v>906</v>
      </c>
      <c r="C755" s="21" t="s">
        <v>315</v>
      </c>
      <c r="D755" s="21" t="s">
        <v>270</v>
      </c>
      <c r="E755" s="21" t="s">
        <v>386</v>
      </c>
      <c r="F755" s="21"/>
      <c r="G755" s="27">
        <f>G756+G759</f>
        <v>0</v>
      </c>
      <c r="H755" s="27">
        <f>H756+H759</f>
        <v>0</v>
      </c>
      <c r="I755" s="22" t="e">
        <f t="shared" si="46"/>
        <v>#DIV/0!</v>
      </c>
    </row>
    <row r="756" spans="1:9" ht="31.5" customHeight="1" hidden="1">
      <c r="A756" s="26" t="s">
        <v>387</v>
      </c>
      <c r="B756" s="17">
        <v>906</v>
      </c>
      <c r="C756" s="21" t="s">
        <v>315</v>
      </c>
      <c r="D756" s="21" t="s">
        <v>270</v>
      </c>
      <c r="E756" s="21" t="s">
        <v>388</v>
      </c>
      <c r="F756" s="21"/>
      <c r="G756" s="27">
        <f>G757</f>
        <v>0</v>
      </c>
      <c r="H756" s="27">
        <f>H757</f>
        <v>0</v>
      </c>
      <c r="I756" s="22" t="e">
        <f t="shared" si="46"/>
        <v>#DIV/0!</v>
      </c>
    </row>
    <row r="757" spans="1:9" ht="31.5" customHeight="1" hidden="1">
      <c r="A757" s="26" t="s">
        <v>182</v>
      </c>
      <c r="B757" s="17">
        <v>906</v>
      </c>
      <c r="C757" s="21" t="s">
        <v>315</v>
      </c>
      <c r="D757" s="21" t="s">
        <v>270</v>
      </c>
      <c r="E757" s="21" t="s">
        <v>388</v>
      </c>
      <c r="F757" s="21" t="s">
        <v>183</v>
      </c>
      <c r="G757" s="27">
        <f>G758</f>
        <v>0</v>
      </c>
      <c r="H757" s="27">
        <f>H758</f>
        <v>0</v>
      </c>
      <c r="I757" s="22" t="e">
        <f t="shared" si="46"/>
        <v>#DIV/0!</v>
      </c>
    </row>
    <row r="758" spans="1:9" ht="47.25" customHeight="1" hidden="1">
      <c r="A758" s="26" t="s">
        <v>184</v>
      </c>
      <c r="B758" s="17">
        <v>906</v>
      </c>
      <c r="C758" s="21" t="s">
        <v>315</v>
      </c>
      <c r="D758" s="21" t="s">
        <v>270</v>
      </c>
      <c r="E758" s="21" t="s">
        <v>388</v>
      </c>
      <c r="F758" s="21" t="s">
        <v>185</v>
      </c>
      <c r="G758" s="27">
        <f>50-50</f>
        <v>0</v>
      </c>
      <c r="H758" s="27">
        <f>50-50</f>
        <v>0</v>
      </c>
      <c r="I758" s="22" t="e">
        <f t="shared" si="46"/>
        <v>#DIV/0!</v>
      </c>
    </row>
    <row r="759" spans="1:9" ht="63" hidden="1">
      <c r="A759" s="26" t="s">
        <v>528</v>
      </c>
      <c r="B759" s="17">
        <v>906</v>
      </c>
      <c r="C759" s="21" t="s">
        <v>315</v>
      </c>
      <c r="D759" s="21" t="s">
        <v>270</v>
      </c>
      <c r="E759" s="21" t="s">
        <v>529</v>
      </c>
      <c r="F759" s="21"/>
      <c r="G759" s="27">
        <f>G760+G762</f>
        <v>0</v>
      </c>
      <c r="H759" s="27">
        <f>H760+H762</f>
        <v>0</v>
      </c>
      <c r="I759" s="22" t="e">
        <f t="shared" si="46"/>
        <v>#DIV/0!</v>
      </c>
    </row>
    <row r="760" spans="1:9" ht="94.5" hidden="1">
      <c r="A760" s="26" t="s">
        <v>178</v>
      </c>
      <c r="B760" s="17">
        <v>906</v>
      </c>
      <c r="C760" s="21" t="s">
        <v>315</v>
      </c>
      <c r="D760" s="21" t="s">
        <v>270</v>
      </c>
      <c r="E760" s="21" t="s">
        <v>529</v>
      </c>
      <c r="F760" s="21" t="s">
        <v>179</v>
      </c>
      <c r="G760" s="27">
        <f>G761</f>
        <v>0</v>
      </c>
      <c r="H760" s="27">
        <f>H761</f>
        <v>0</v>
      </c>
      <c r="I760" s="22" t="e">
        <f t="shared" si="46"/>
        <v>#DIV/0!</v>
      </c>
    </row>
    <row r="761" spans="1:9" ht="31.5" hidden="1">
      <c r="A761" s="26" t="s">
        <v>393</v>
      </c>
      <c r="B761" s="17">
        <v>906</v>
      </c>
      <c r="C761" s="21" t="s">
        <v>315</v>
      </c>
      <c r="D761" s="21" t="s">
        <v>270</v>
      </c>
      <c r="E761" s="21" t="s">
        <v>529</v>
      </c>
      <c r="F761" s="21" t="s">
        <v>260</v>
      </c>
      <c r="G761" s="27">
        <v>0</v>
      </c>
      <c r="H761" s="27">
        <v>0</v>
      </c>
      <c r="I761" s="22" t="e">
        <f t="shared" si="46"/>
        <v>#DIV/0!</v>
      </c>
    </row>
    <row r="762" spans="1:9" ht="31.5" hidden="1">
      <c r="A762" s="26" t="s">
        <v>182</v>
      </c>
      <c r="B762" s="17">
        <v>906</v>
      </c>
      <c r="C762" s="21" t="s">
        <v>315</v>
      </c>
      <c r="D762" s="21" t="s">
        <v>270</v>
      </c>
      <c r="E762" s="21" t="s">
        <v>529</v>
      </c>
      <c r="F762" s="21" t="s">
        <v>183</v>
      </c>
      <c r="G762" s="27">
        <f>G763</f>
        <v>0</v>
      </c>
      <c r="H762" s="27">
        <f>H763</f>
        <v>0</v>
      </c>
      <c r="I762" s="22" t="e">
        <f t="shared" si="46"/>
        <v>#DIV/0!</v>
      </c>
    </row>
    <row r="763" spans="1:9" ht="47.25" hidden="1">
      <c r="A763" s="26" t="s">
        <v>184</v>
      </c>
      <c r="B763" s="17">
        <v>906</v>
      </c>
      <c r="C763" s="21" t="s">
        <v>315</v>
      </c>
      <c r="D763" s="21" t="s">
        <v>270</v>
      </c>
      <c r="E763" s="21" t="s">
        <v>529</v>
      </c>
      <c r="F763" s="21" t="s">
        <v>185</v>
      </c>
      <c r="G763" s="27">
        <v>0</v>
      </c>
      <c r="H763" s="27">
        <v>0</v>
      </c>
      <c r="I763" s="22" t="e">
        <f t="shared" si="46"/>
        <v>#DIV/0!</v>
      </c>
    </row>
    <row r="764" spans="1:9" ht="15.75">
      <c r="A764" s="26" t="s">
        <v>172</v>
      </c>
      <c r="B764" s="17">
        <v>906</v>
      </c>
      <c r="C764" s="21" t="s">
        <v>315</v>
      </c>
      <c r="D764" s="21" t="s">
        <v>270</v>
      </c>
      <c r="E764" s="21" t="s">
        <v>173</v>
      </c>
      <c r="F764" s="21"/>
      <c r="G764" s="27">
        <f>G765+G771</f>
        <v>19956.000000000004</v>
      </c>
      <c r="H764" s="27">
        <f>H765+H771</f>
        <v>19637.8</v>
      </c>
      <c r="I764" s="27">
        <f t="shared" si="46"/>
        <v>98.40549208258166</v>
      </c>
    </row>
    <row r="765" spans="1:9" ht="31.5">
      <c r="A765" s="26" t="s">
        <v>174</v>
      </c>
      <c r="B765" s="17">
        <v>906</v>
      </c>
      <c r="C765" s="21" t="s">
        <v>315</v>
      </c>
      <c r="D765" s="21" t="s">
        <v>270</v>
      </c>
      <c r="E765" s="21" t="s">
        <v>175</v>
      </c>
      <c r="F765" s="21"/>
      <c r="G765" s="27">
        <f>G766</f>
        <v>6038.7</v>
      </c>
      <c r="H765" s="27">
        <f>H766</f>
        <v>5873.099999999999</v>
      </c>
      <c r="I765" s="27">
        <f t="shared" si="46"/>
        <v>97.25768791296139</v>
      </c>
    </row>
    <row r="766" spans="1:9" ht="47.25">
      <c r="A766" s="26" t="s">
        <v>176</v>
      </c>
      <c r="B766" s="17">
        <v>906</v>
      </c>
      <c r="C766" s="21" t="s">
        <v>315</v>
      </c>
      <c r="D766" s="21" t="s">
        <v>270</v>
      </c>
      <c r="E766" s="21" t="s">
        <v>177</v>
      </c>
      <c r="F766" s="21"/>
      <c r="G766" s="27">
        <f>G767+G769</f>
        <v>6038.7</v>
      </c>
      <c r="H766" s="27">
        <f>H767+H769</f>
        <v>5873.099999999999</v>
      </c>
      <c r="I766" s="27">
        <f t="shared" si="46"/>
        <v>97.25768791296139</v>
      </c>
    </row>
    <row r="767" spans="1:9" ht="94.5">
      <c r="A767" s="26" t="s">
        <v>178</v>
      </c>
      <c r="B767" s="17">
        <v>906</v>
      </c>
      <c r="C767" s="21" t="s">
        <v>315</v>
      </c>
      <c r="D767" s="21" t="s">
        <v>270</v>
      </c>
      <c r="E767" s="21" t="s">
        <v>177</v>
      </c>
      <c r="F767" s="21" t="s">
        <v>179</v>
      </c>
      <c r="G767" s="27">
        <f>G768</f>
        <v>5761.2</v>
      </c>
      <c r="H767" s="27">
        <f>H768</f>
        <v>5645.9</v>
      </c>
      <c r="I767" s="27">
        <f t="shared" si="46"/>
        <v>97.99868083038255</v>
      </c>
    </row>
    <row r="768" spans="1:9" ht="31.5">
      <c r="A768" s="26" t="s">
        <v>180</v>
      </c>
      <c r="B768" s="17">
        <v>906</v>
      </c>
      <c r="C768" s="21" t="s">
        <v>315</v>
      </c>
      <c r="D768" s="21" t="s">
        <v>270</v>
      </c>
      <c r="E768" s="21" t="s">
        <v>177</v>
      </c>
      <c r="F768" s="21" t="s">
        <v>181</v>
      </c>
      <c r="G768" s="28">
        <f>5119.5+310.7-35-14+380</f>
        <v>5761.2</v>
      </c>
      <c r="H768" s="28">
        <v>5645.9</v>
      </c>
      <c r="I768" s="27">
        <f t="shared" si="46"/>
        <v>97.99868083038255</v>
      </c>
    </row>
    <row r="769" spans="1:12" ht="31.5">
      <c r="A769" s="26" t="s">
        <v>182</v>
      </c>
      <c r="B769" s="17">
        <v>906</v>
      </c>
      <c r="C769" s="21" t="s">
        <v>315</v>
      </c>
      <c r="D769" s="21" t="s">
        <v>270</v>
      </c>
      <c r="E769" s="21" t="s">
        <v>177</v>
      </c>
      <c r="F769" s="21" t="s">
        <v>183</v>
      </c>
      <c r="G769" s="27">
        <f>G770</f>
        <v>277.5</v>
      </c>
      <c r="H769" s="27">
        <f>H770</f>
        <v>227.2</v>
      </c>
      <c r="I769" s="27">
        <f t="shared" si="46"/>
        <v>81.87387387387388</v>
      </c>
      <c r="K769" s="278"/>
      <c r="L769" s="278"/>
    </row>
    <row r="770" spans="1:13" ht="47.25">
      <c r="A770" s="26" t="s">
        <v>184</v>
      </c>
      <c r="B770" s="17">
        <v>906</v>
      </c>
      <c r="C770" s="21" t="s">
        <v>315</v>
      </c>
      <c r="D770" s="21" t="s">
        <v>270</v>
      </c>
      <c r="E770" s="21" t="s">
        <v>177</v>
      </c>
      <c r="F770" s="21" t="s">
        <v>185</v>
      </c>
      <c r="G770" s="27">
        <f>163-5.8+35+71.3+14</f>
        <v>277.5</v>
      </c>
      <c r="H770" s="27">
        <v>227.2</v>
      </c>
      <c r="I770" s="27">
        <f t="shared" si="46"/>
        <v>81.87387387387388</v>
      </c>
      <c r="J770" s="277"/>
      <c r="K770" s="278"/>
      <c r="L770" s="278"/>
      <c r="M770" s="278"/>
    </row>
    <row r="771" spans="1:9" ht="15.75">
      <c r="A771" s="26" t="s">
        <v>192</v>
      </c>
      <c r="B771" s="17">
        <v>906</v>
      </c>
      <c r="C771" s="21" t="s">
        <v>315</v>
      </c>
      <c r="D771" s="21" t="s">
        <v>270</v>
      </c>
      <c r="E771" s="21" t="s">
        <v>193</v>
      </c>
      <c r="F771" s="21"/>
      <c r="G771" s="27">
        <f>G775+G772</f>
        <v>13917.300000000003</v>
      </c>
      <c r="H771" s="27">
        <f>H775+H772</f>
        <v>13764.7</v>
      </c>
      <c r="I771" s="27">
        <f t="shared" si="46"/>
        <v>98.90352295344641</v>
      </c>
    </row>
    <row r="772" spans="1:9" ht="15.75">
      <c r="A772" s="26" t="s">
        <v>530</v>
      </c>
      <c r="B772" s="17">
        <v>906</v>
      </c>
      <c r="C772" s="21" t="s">
        <v>315</v>
      </c>
      <c r="D772" s="21" t="s">
        <v>270</v>
      </c>
      <c r="E772" s="21" t="s">
        <v>531</v>
      </c>
      <c r="F772" s="21"/>
      <c r="G772" s="27">
        <f>G773</f>
        <v>350</v>
      </c>
      <c r="H772" s="27">
        <f>H773</f>
        <v>327</v>
      </c>
      <c r="I772" s="27">
        <f t="shared" si="46"/>
        <v>93.42857142857143</v>
      </c>
    </row>
    <row r="773" spans="1:9" ht="31.5">
      <c r="A773" s="26" t="s">
        <v>182</v>
      </c>
      <c r="B773" s="17">
        <v>906</v>
      </c>
      <c r="C773" s="21" t="s">
        <v>315</v>
      </c>
      <c r="D773" s="21" t="s">
        <v>270</v>
      </c>
      <c r="E773" s="21" t="s">
        <v>531</v>
      </c>
      <c r="F773" s="21" t="s">
        <v>183</v>
      </c>
      <c r="G773" s="27">
        <f>G774</f>
        <v>350</v>
      </c>
      <c r="H773" s="27">
        <f>H774</f>
        <v>327</v>
      </c>
      <c r="I773" s="27">
        <f t="shared" si="46"/>
        <v>93.42857142857143</v>
      </c>
    </row>
    <row r="774" spans="1:10" ht="47.25">
      <c r="A774" s="26" t="s">
        <v>184</v>
      </c>
      <c r="B774" s="17">
        <v>906</v>
      </c>
      <c r="C774" s="21" t="s">
        <v>315</v>
      </c>
      <c r="D774" s="21" t="s">
        <v>270</v>
      </c>
      <c r="E774" s="21" t="s">
        <v>531</v>
      </c>
      <c r="F774" s="21" t="s">
        <v>185</v>
      </c>
      <c r="G774" s="27">
        <f>350-35+35+250-250</f>
        <v>350</v>
      </c>
      <c r="H774" s="27">
        <v>327</v>
      </c>
      <c r="I774" s="27">
        <f t="shared" si="46"/>
        <v>93.42857142857143</v>
      </c>
      <c r="J774" s="277"/>
    </row>
    <row r="775" spans="1:9" ht="31.5">
      <c r="A775" s="26" t="s">
        <v>391</v>
      </c>
      <c r="B775" s="17">
        <v>906</v>
      </c>
      <c r="C775" s="21" t="s">
        <v>315</v>
      </c>
      <c r="D775" s="21" t="s">
        <v>270</v>
      </c>
      <c r="E775" s="21" t="s">
        <v>392</v>
      </c>
      <c r="F775" s="21"/>
      <c r="G775" s="27">
        <f>G776+G778+G780</f>
        <v>13567.300000000003</v>
      </c>
      <c r="H775" s="27">
        <f>H776+H778+H780</f>
        <v>13437.7</v>
      </c>
      <c r="I775" s="27">
        <f t="shared" si="46"/>
        <v>99.04476203813579</v>
      </c>
    </row>
    <row r="776" spans="1:9" ht="94.5">
      <c r="A776" s="26" t="s">
        <v>178</v>
      </c>
      <c r="B776" s="17">
        <v>906</v>
      </c>
      <c r="C776" s="21" t="s">
        <v>315</v>
      </c>
      <c r="D776" s="21" t="s">
        <v>270</v>
      </c>
      <c r="E776" s="21" t="s">
        <v>392</v>
      </c>
      <c r="F776" s="21" t="s">
        <v>179</v>
      </c>
      <c r="G776" s="27">
        <f>G777</f>
        <v>12139.000000000004</v>
      </c>
      <c r="H776" s="27">
        <f>H777</f>
        <v>12054.1</v>
      </c>
      <c r="I776" s="27">
        <f t="shared" si="46"/>
        <v>99.30060136749319</v>
      </c>
    </row>
    <row r="777" spans="1:9" ht="31.5">
      <c r="A777" s="26" t="s">
        <v>393</v>
      </c>
      <c r="B777" s="17">
        <v>906</v>
      </c>
      <c r="C777" s="21" t="s">
        <v>315</v>
      </c>
      <c r="D777" s="21" t="s">
        <v>270</v>
      </c>
      <c r="E777" s="21" t="s">
        <v>392</v>
      </c>
      <c r="F777" s="21" t="s">
        <v>260</v>
      </c>
      <c r="G777" s="28">
        <f>11988.7-469.4+77.7+14.3+49.7+252.7+151.6+73.7</f>
        <v>12139.000000000004</v>
      </c>
      <c r="H777" s="28">
        <v>12054.1</v>
      </c>
      <c r="I777" s="27">
        <f t="shared" si="46"/>
        <v>99.30060136749319</v>
      </c>
    </row>
    <row r="778" spans="1:13" ht="31.5">
      <c r="A778" s="26" t="s">
        <v>182</v>
      </c>
      <c r="B778" s="17">
        <v>906</v>
      </c>
      <c r="C778" s="21" t="s">
        <v>315</v>
      </c>
      <c r="D778" s="21" t="s">
        <v>270</v>
      </c>
      <c r="E778" s="21" t="s">
        <v>392</v>
      </c>
      <c r="F778" s="21" t="s">
        <v>183</v>
      </c>
      <c r="G778" s="27">
        <f>G779</f>
        <v>1412.8999999999999</v>
      </c>
      <c r="H778" s="27">
        <f>H779</f>
        <v>1381.2</v>
      </c>
      <c r="I778" s="27">
        <f t="shared" si="46"/>
        <v>97.75638757166114</v>
      </c>
      <c r="M778" s="294"/>
    </row>
    <row r="779" spans="1:13" ht="47.25">
      <c r="A779" s="26" t="s">
        <v>184</v>
      </c>
      <c r="B779" s="17">
        <v>906</v>
      </c>
      <c r="C779" s="21" t="s">
        <v>315</v>
      </c>
      <c r="D779" s="21" t="s">
        <v>270</v>
      </c>
      <c r="E779" s="21" t="s">
        <v>392</v>
      </c>
      <c r="F779" s="21" t="s">
        <v>185</v>
      </c>
      <c r="G779" s="27">
        <f>1416.8-152.7-77.7+100-14.3+140.8</f>
        <v>1412.8999999999999</v>
      </c>
      <c r="H779" s="27">
        <v>1381.2</v>
      </c>
      <c r="I779" s="27">
        <f aca="true" t="shared" si="49" ref="I779:I842">H779/G779*100</f>
        <v>97.75638757166114</v>
      </c>
      <c r="K779" s="278"/>
      <c r="L779" s="278"/>
      <c r="M779" s="278"/>
    </row>
    <row r="780" spans="1:9" ht="15.75">
      <c r="A780" s="26" t="s">
        <v>186</v>
      </c>
      <c r="B780" s="17">
        <v>906</v>
      </c>
      <c r="C780" s="21" t="s">
        <v>315</v>
      </c>
      <c r="D780" s="21" t="s">
        <v>270</v>
      </c>
      <c r="E780" s="21" t="s">
        <v>392</v>
      </c>
      <c r="F780" s="21" t="s">
        <v>196</v>
      </c>
      <c r="G780" s="27">
        <f>G781</f>
        <v>15.399999999999999</v>
      </c>
      <c r="H780" s="27">
        <f>H781</f>
        <v>2.4</v>
      </c>
      <c r="I780" s="27">
        <f t="shared" si="49"/>
        <v>15.584415584415584</v>
      </c>
    </row>
    <row r="781" spans="1:9" ht="15.75">
      <c r="A781" s="26" t="s">
        <v>620</v>
      </c>
      <c r="B781" s="17">
        <v>906</v>
      </c>
      <c r="C781" s="21" t="s">
        <v>315</v>
      </c>
      <c r="D781" s="21" t="s">
        <v>270</v>
      </c>
      <c r="E781" s="21" t="s">
        <v>392</v>
      </c>
      <c r="F781" s="21" t="s">
        <v>189</v>
      </c>
      <c r="G781" s="27">
        <f>7-1.8+10.2</f>
        <v>15.399999999999999</v>
      </c>
      <c r="H781" s="27">
        <v>2.4</v>
      </c>
      <c r="I781" s="27">
        <f t="shared" si="49"/>
        <v>15.584415584415584</v>
      </c>
    </row>
    <row r="782" spans="1:9" ht="36.75" customHeight="1">
      <c r="A782" s="20" t="s">
        <v>532</v>
      </c>
      <c r="B782" s="20">
        <v>907</v>
      </c>
      <c r="C782" s="21"/>
      <c r="D782" s="21"/>
      <c r="E782" s="21"/>
      <c r="F782" s="21"/>
      <c r="G782" s="22">
        <f>G789+G822+G783</f>
        <v>63071.4</v>
      </c>
      <c r="H782" s="22">
        <f>H789+H822+H783</f>
        <v>62422.200000000004</v>
      </c>
      <c r="I782" s="22">
        <f t="shared" si="49"/>
        <v>98.97069036044864</v>
      </c>
    </row>
    <row r="783" spans="1:9" ht="24" customHeight="1">
      <c r="A783" s="24" t="s">
        <v>168</v>
      </c>
      <c r="B783" s="20">
        <v>907</v>
      </c>
      <c r="C783" s="25" t="s">
        <v>169</v>
      </c>
      <c r="D783" s="25"/>
      <c r="E783" s="21"/>
      <c r="F783" s="21"/>
      <c r="G783" s="22">
        <f aca="true" t="shared" si="50" ref="G783:H787">G784</f>
        <v>868.6</v>
      </c>
      <c r="H783" s="22">
        <f t="shared" si="50"/>
        <v>785.9</v>
      </c>
      <c r="I783" s="22">
        <f t="shared" si="49"/>
        <v>90.47893161409164</v>
      </c>
    </row>
    <row r="784" spans="1:9" ht="21.75" customHeight="1">
      <c r="A784" s="36" t="s">
        <v>190</v>
      </c>
      <c r="B784" s="20">
        <v>907</v>
      </c>
      <c r="C784" s="25" t="s">
        <v>169</v>
      </c>
      <c r="D784" s="25" t="s">
        <v>191</v>
      </c>
      <c r="E784" s="21"/>
      <c r="F784" s="21"/>
      <c r="G784" s="22">
        <f t="shared" si="50"/>
        <v>868.6</v>
      </c>
      <c r="H784" s="22">
        <f t="shared" si="50"/>
        <v>785.9</v>
      </c>
      <c r="I784" s="22">
        <f t="shared" si="49"/>
        <v>90.47893161409164</v>
      </c>
    </row>
    <row r="785" spans="1:9" ht="62.25" customHeight="1">
      <c r="A785" s="31" t="s">
        <v>797</v>
      </c>
      <c r="B785" s="17">
        <v>907</v>
      </c>
      <c r="C785" s="21" t="s">
        <v>169</v>
      </c>
      <c r="D785" s="21" t="s">
        <v>191</v>
      </c>
      <c r="E785" s="21" t="s">
        <v>795</v>
      </c>
      <c r="F785" s="34"/>
      <c r="G785" s="27">
        <f t="shared" si="50"/>
        <v>868.6</v>
      </c>
      <c r="H785" s="27">
        <f t="shared" si="50"/>
        <v>785.9</v>
      </c>
      <c r="I785" s="27">
        <f t="shared" si="49"/>
        <v>90.47893161409164</v>
      </c>
    </row>
    <row r="786" spans="1:9" ht="53.25" customHeight="1">
      <c r="A786" s="123" t="s">
        <v>943</v>
      </c>
      <c r="B786" s="17">
        <v>907</v>
      </c>
      <c r="C786" s="21" t="s">
        <v>169</v>
      </c>
      <c r="D786" s="21" t="s">
        <v>191</v>
      </c>
      <c r="E786" s="21" t="s">
        <v>944</v>
      </c>
      <c r="F786" s="34"/>
      <c r="G786" s="27">
        <f t="shared" si="50"/>
        <v>868.6</v>
      </c>
      <c r="H786" s="27">
        <f t="shared" si="50"/>
        <v>785.9</v>
      </c>
      <c r="I786" s="27">
        <f t="shared" si="49"/>
        <v>90.47893161409164</v>
      </c>
    </row>
    <row r="787" spans="1:9" ht="54.75" customHeight="1">
      <c r="A787" s="31" t="s">
        <v>323</v>
      </c>
      <c r="B787" s="17">
        <v>907</v>
      </c>
      <c r="C787" s="21" t="s">
        <v>169</v>
      </c>
      <c r="D787" s="21" t="s">
        <v>191</v>
      </c>
      <c r="E787" s="21" t="s">
        <v>944</v>
      </c>
      <c r="F787" s="34" t="s">
        <v>324</v>
      </c>
      <c r="G787" s="27">
        <f t="shared" si="50"/>
        <v>868.6</v>
      </c>
      <c r="H787" s="27">
        <f t="shared" si="50"/>
        <v>785.9</v>
      </c>
      <c r="I787" s="27">
        <f t="shared" si="49"/>
        <v>90.47893161409164</v>
      </c>
    </row>
    <row r="788" spans="1:10" ht="18.75" customHeight="1">
      <c r="A788" s="246" t="s">
        <v>325</v>
      </c>
      <c r="B788" s="17">
        <v>907</v>
      </c>
      <c r="C788" s="21" t="s">
        <v>169</v>
      </c>
      <c r="D788" s="21" t="s">
        <v>191</v>
      </c>
      <c r="E788" s="21" t="s">
        <v>944</v>
      </c>
      <c r="F788" s="34" t="s">
        <v>326</v>
      </c>
      <c r="G788" s="27">
        <v>868.6</v>
      </c>
      <c r="H788" s="27">
        <v>785.9</v>
      </c>
      <c r="I788" s="27">
        <f t="shared" si="49"/>
        <v>90.47893161409164</v>
      </c>
      <c r="J788" s="247"/>
    </row>
    <row r="789" spans="1:9" ht="15.75">
      <c r="A789" s="24" t="s">
        <v>314</v>
      </c>
      <c r="B789" s="20">
        <v>907</v>
      </c>
      <c r="C789" s="25" t="s">
        <v>520</v>
      </c>
      <c r="D789" s="25"/>
      <c r="E789" s="25"/>
      <c r="F789" s="25"/>
      <c r="G789" s="22">
        <f>G790</f>
        <v>12413.800000000001</v>
      </c>
      <c r="H789" s="22">
        <f>H790</f>
        <v>12172.7</v>
      </c>
      <c r="I789" s="22">
        <f t="shared" si="49"/>
        <v>98.05780663455187</v>
      </c>
    </row>
    <row r="790" spans="1:9" ht="15.75">
      <c r="A790" s="24" t="s">
        <v>316</v>
      </c>
      <c r="B790" s="20">
        <v>907</v>
      </c>
      <c r="C790" s="25" t="s">
        <v>315</v>
      </c>
      <c r="D790" s="25" t="s">
        <v>266</v>
      </c>
      <c r="E790" s="25"/>
      <c r="F790" s="25"/>
      <c r="G790" s="22">
        <f>G791+G811</f>
        <v>12413.800000000001</v>
      </c>
      <c r="H790" s="22">
        <f>H791+H811</f>
        <v>12172.7</v>
      </c>
      <c r="I790" s="22">
        <f t="shared" si="49"/>
        <v>98.05780663455187</v>
      </c>
    </row>
    <row r="791" spans="1:9" ht="47.25">
      <c r="A791" s="26" t="s">
        <v>533</v>
      </c>
      <c r="B791" s="17">
        <v>907</v>
      </c>
      <c r="C791" s="21" t="s">
        <v>315</v>
      </c>
      <c r="D791" s="21" t="s">
        <v>266</v>
      </c>
      <c r="E791" s="21" t="s">
        <v>534</v>
      </c>
      <c r="F791" s="21"/>
      <c r="G791" s="27">
        <f>G792</f>
        <v>11772.2</v>
      </c>
      <c r="H791" s="27">
        <f>H792</f>
        <v>11672.6</v>
      </c>
      <c r="I791" s="27">
        <f t="shared" si="49"/>
        <v>99.15393894089465</v>
      </c>
    </row>
    <row r="792" spans="1:9" ht="47.25">
      <c r="A792" s="26" t="s">
        <v>535</v>
      </c>
      <c r="B792" s="17">
        <v>907</v>
      </c>
      <c r="C792" s="21" t="s">
        <v>315</v>
      </c>
      <c r="D792" s="21" t="s">
        <v>266</v>
      </c>
      <c r="E792" s="21" t="s">
        <v>536</v>
      </c>
      <c r="F792" s="21"/>
      <c r="G792" s="27">
        <f>G793+G796+G799+G805+G802+G808</f>
        <v>11772.2</v>
      </c>
      <c r="H792" s="27">
        <f>H793+H796+H799+H805+H802+H808</f>
        <v>11672.6</v>
      </c>
      <c r="I792" s="27">
        <f t="shared" si="49"/>
        <v>99.15393894089465</v>
      </c>
    </row>
    <row r="793" spans="1:9" ht="47.25">
      <c r="A793" s="26" t="s">
        <v>321</v>
      </c>
      <c r="B793" s="17">
        <v>907</v>
      </c>
      <c r="C793" s="21" t="s">
        <v>315</v>
      </c>
      <c r="D793" s="21" t="s">
        <v>266</v>
      </c>
      <c r="E793" s="21" t="s">
        <v>537</v>
      </c>
      <c r="F793" s="21"/>
      <c r="G793" s="27">
        <f>G794</f>
        <v>11421.1</v>
      </c>
      <c r="H793" s="27">
        <f>H794</f>
        <v>11421.1</v>
      </c>
      <c r="I793" s="27">
        <f t="shared" si="49"/>
        <v>100</v>
      </c>
    </row>
    <row r="794" spans="1:9" ht="47.25">
      <c r="A794" s="26" t="s">
        <v>323</v>
      </c>
      <c r="B794" s="17">
        <v>907</v>
      </c>
      <c r="C794" s="21" t="s">
        <v>315</v>
      </c>
      <c r="D794" s="21" t="s">
        <v>266</v>
      </c>
      <c r="E794" s="21" t="s">
        <v>537</v>
      </c>
      <c r="F794" s="21" t="s">
        <v>324</v>
      </c>
      <c r="G794" s="27">
        <f>G795</f>
        <v>11421.1</v>
      </c>
      <c r="H794" s="27">
        <f>H795</f>
        <v>11421.1</v>
      </c>
      <c r="I794" s="27">
        <f t="shared" si="49"/>
        <v>100</v>
      </c>
    </row>
    <row r="795" spans="1:14" ht="15.75">
      <c r="A795" s="26" t="s">
        <v>325</v>
      </c>
      <c r="B795" s="17">
        <v>907</v>
      </c>
      <c r="C795" s="21" t="s">
        <v>315</v>
      </c>
      <c r="D795" s="21" t="s">
        <v>266</v>
      </c>
      <c r="E795" s="21" t="s">
        <v>537</v>
      </c>
      <c r="F795" s="21" t="s">
        <v>326</v>
      </c>
      <c r="G795" s="28">
        <f>10445.7+902.8+42+30.6+920.7-920.7</f>
        <v>11421.1</v>
      </c>
      <c r="H795" s="28">
        <v>11421.1</v>
      </c>
      <c r="I795" s="27">
        <f t="shared" si="49"/>
        <v>100</v>
      </c>
      <c r="J795" s="275"/>
      <c r="K795" s="289"/>
      <c r="L795" s="289"/>
      <c r="N795" s="310"/>
    </row>
    <row r="796" spans="1:14" ht="47.25" customHeight="1" hidden="1">
      <c r="A796" s="26" t="s">
        <v>329</v>
      </c>
      <c r="B796" s="17">
        <v>907</v>
      </c>
      <c r="C796" s="21" t="s">
        <v>315</v>
      </c>
      <c r="D796" s="21" t="s">
        <v>264</v>
      </c>
      <c r="E796" s="21" t="s">
        <v>538</v>
      </c>
      <c r="F796" s="21"/>
      <c r="G796" s="27">
        <f>G797</f>
        <v>0</v>
      </c>
      <c r="H796" s="27">
        <f>H797</f>
        <v>0</v>
      </c>
      <c r="I796" s="27" t="e">
        <f t="shared" si="49"/>
        <v>#DIV/0!</v>
      </c>
      <c r="N796" s="311"/>
    </row>
    <row r="797" spans="1:9" ht="47.25" customHeight="1" hidden="1">
      <c r="A797" s="26" t="s">
        <v>323</v>
      </c>
      <c r="B797" s="17">
        <v>907</v>
      </c>
      <c r="C797" s="21" t="s">
        <v>315</v>
      </c>
      <c r="D797" s="21" t="s">
        <v>264</v>
      </c>
      <c r="E797" s="21" t="s">
        <v>538</v>
      </c>
      <c r="F797" s="21" t="s">
        <v>324</v>
      </c>
      <c r="G797" s="27">
        <f>G798</f>
        <v>0</v>
      </c>
      <c r="H797" s="27">
        <f>H798</f>
        <v>0</v>
      </c>
      <c r="I797" s="27" t="e">
        <f t="shared" si="49"/>
        <v>#DIV/0!</v>
      </c>
    </row>
    <row r="798" spans="1:9" ht="15.75" customHeight="1" hidden="1">
      <c r="A798" s="26" t="s">
        <v>325</v>
      </c>
      <c r="B798" s="17">
        <v>907</v>
      </c>
      <c r="C798" s="21" t="s">
        <v>315</v>
      </c>
      <c r="D798" s="21" t="s">
        <v>264</v>
      </c>
      <c r="E798" s="21" t="s">
        <v>538</v>
      </c>
      <c r="F798" s="21" t="s">
        <v>326</v>
      </c>
      <c r="G798" s="27">
        <v>0</v>
      </c>
      <c r="H798" s="27">
        <v>0</v>
      </c>
      <c r="I798" s="27" t="e">
        <f t="shared" si="49"/>
        <v>#DIV/0!</v>
      </c>
    </row>
    <row r="799" spans="1:9" ht="31.5" customHeight="1" hidden="1">
      <c r="A799" s="26" t="s">
        <v>331</v>
      </c>
      <c r="B799" s="17">
        <v>907</v>
      </c>
      <c r="C799" s="21" t="s">
        <v>315</v>
      </c>
      <c r="D799" s="21" t="s">
        <v>264</v>
      </c>
      <c r="E799" s="21" t="s">
        <v>539</v>
      </c>
      <c r="F799" s="21"/>
      <c r="G799" s="27">
        <f>G800</f>
        <v>0</v>
      </c>
      <c r="H799" s="27">
        <f>H800</f>
        <v>0</v>
      </c>
      <c r="I799" s="27" t="e">
        <f t="shared" si="49"/>
        <v>#DIV/0!</v>
      </c>
    </row>
    <row r="800" spans="1:9" ht="47.25" customHeight="1" hidden="1">
      <c r="A800" s="26" t="s">
        <v>323</v>
      </c>
      <c r="B800" s="17">
        <v>907</v>
      </c>
      <c r="C800" s="21" t="s">
        <v>315</v>
      </c>
      <c r="D800" s="21" t="s">
        <v>264</v>
      </c>
      <c r="E800" s="21" t="s">
        <v>539</v>
      </c>
      <c r="F800" s="21" t="s">
        <v>324</v>
      </c>
      <c r="G800" s="27">
        <f>G801</f>
        <v>0</v>
      </c>
      <c r="H800" s="27">
        <f>H801</f>
        <v>0</v>
      </c>
      <c r="I800" s="27" t="e">
        <f t="shared" si="49"/>
        <v>#DIV/0!</v>
      </c>
    </row>
    <row r="801" spans="1:9" ht="15.75" customHeight="1" hidden="1">
      <c r="A801" s="26" t="s">
        <v>325</v>
      </c>
      <c r="B801" s="17">
        <v>907</v>
      </c>
      <c r="C801" s="21" t="s">
        <v>315</v>
      </c>
      <c r="D801" s="21" t="s">
        <v>264</v>
      </c>
      <c r="E801" s="21" t="s">
        <v>539</v>
      </c>
      <c r="F801" s="21" t="s">
        <v>326</v>
      </c>
      <c r="G801" s="27">
        <v>0</v>
      </c>
      <c r="H801" s="27">
        <v>0</v>
      </c>
      <c r="I801" s="27" t="e">
        <f t="shared" si="49"/>
        <v>#DIV/0!</v>
      </c>
    </row>
    <row r="802" spans="1:14" ht="47.25">
      <c r="A802" s="26" t="s">
        <v>333</v>
      </c>
      <c r="B802" s="17">
        <v>907</v>
      </c>
      <c r="C802" s="21" t="s">
        <v>315</v>
      </c>
      <c r="D802" s="21" t="s">
        <v>266</v>
      </c>
      <c r="E802" s="21" t="s">
        <v>540</v>
      </c>
      <c r="F802" s="21"/>
      <c r="G802" s="27">
        <f>G803</f>
        <v>36</v>
      </c>
      <c r="H802" s="27">
        <f>H803</f>
        <v>36</v>
      </c>
      <c r="I802" s="27">
        <f t="shared" si="49"/>
        <v>100</v>
      </c>
      <c r="J802" s="209"/>
      <c r="N802" s="311"/>
    </row>
    <row r="803" spans="1:9" ht="47.25">
      <c r="A803" s="26" t="s">
        <v>323</v>
      </c>
      <c r="B803" s="17">
        <v>907</v>
      </c>
      <c r="C803" s="21" t="s">
        <v>315</v>
      </c>
      <c r="D803" s="21" t="s">
        <v>266</v>
      </c>
      <c r="E803" s="21" t="s">
        <v>540</v>
      </c>
      <c r="F803" s="21" t="s">
        <v>324</v>
      </c>
      <c r="G803" s="27">
        <f>G804</f>
        <v>36</v>
      </c>
      <c r="H803" s="27">
        <f>H804</f>
        <v>36</v>
      </c>
      <c r="I803" s="27">
        <f t="shared" si="49"/>
        <v>100</v>
      </c>
    </row>
    <row r="804" spans="1:9" ht="15.75">
      <c r="A804" s="26" t="s">
        <v>325</v>
      </c>
      <c r="B804" s="17">
        <v>907</v>
      </c>
      <c r="C804" s="21" t="s">
        <v>315</v>
      </c>
      <c r="D804" s="21" t="s">
        <v>266</v>
      </c>
      <c r="E804" s="21" t="s">
        <v>540</v>
      </c>
      <c r="F804" s="21" t="s">
        <v>326</v>
      </c>
      <c r="G804" s="27">
        <f>36</f>
        <v>36</v>
      </c>
      <c r="H804" s="27">
        <v>36</v>
      </c>
      <c r="I804" s="27">
        <f t="shared" si="49"/>
        <v>100</v>
      </c>
    </row>
    <row r="805" spans="1:9" ht="31.5" customHeight="1" hidden="1">
      <c r="A805" s="26" t="s">
        <v>335</v>
      </c>
      <c r="B805" s="17">
        <v>907</v>
      </c>
      <c r="C805" s="21" t="s">
        <v>315</v>
      </c>
      <c r="D805" s="21" t="s">
        <v>266</v>
      </c>
      <c r="E805" s="21" t="s">
        <v>541</v>
      </c>
      <c r="F805" s="21"/>
      <c r="G805" s="27">
        <f>G806</f>
        <v>0</v>
      </c>
      <c r="H805" s="27">
        <f>H806</f>
        <v>0</v>
      </c>
      <c r="I805" s="27" t="e">
        <f t="shared" si="49"/>
        <v>#DIV/0!</v>
      </c>
    </row>
    <row r="806" spans="1:9" ht="47.25" customHeight="1" hidden="1">
      <c r="A806" s="26" t="s">
        <v>323</v>
      </c>
      <c r="B806" s="17">
        <v>907</v>
      </c>
      <c r="C806" s="21" t="s">
        <v>315</v>
      </c>
      <c r="D806" s="21" t="s">
        <v>266</v>
      </c>
      <c r="E806" s="21" t="s">
        <v>541</v>
      </c>
      <c r="F806" s="21" t="s">
        <v>324</v>
      </c>
      <c r="G806" s="27">
        <f>G807</f>
        <v>0</v>
      </c>
      <c r="H806" s="27">
        <f>H807</f>
        <v>0</v>
      </c>
      <c r="I806" s="27" t="e">
        <f t="shared" si="49"/>
        <v>#DIV/0!</v>
      </c>
    </row>
    <row r="807" spans="1:9" ht="15.75" customHeight="1" hidden="1">
      <c r="A807" s="26" t="s">
        <v>325</v>
      </c>
      <c r="B807" s="17">
        <v>907</v>
      </c>
      <c r="C807" s="21" t="s">
        <v>315</v>
      </c>
      <c r="D807" s="21" t="s">
        <v>266</v>
      </c>
      <c r="E807" s="21" t="s">
        <v>541</v>
      </c>
      <c r="F807" s="21" t="s">
        <v>326</v>
      </c>
      <c r="G807" s="27">
        <v>0</v>
      </c>
      <c r="H807" s="27">
        <v>0</v>
      </c>
      <c r="I807" s="27" t="e">
        <f t="shared" si="49"/>
        <v>#DIV/0!</v>
      </c>
    </row>
    <row r="808" spans="1:9" ht="52.5" customHeight="1">
      <c r="A808" s="47" t="s">
        <v>857</v>
      </c>
      <c r="B808" s="17">
        <v>907</v>
      </c>
      <c r="C808" s="21" t="s">
        <v>315</v>
      </c>
      <c r="D808" s="21" t="s">
        <v>266</v>
      </c>
      <c r="E808" s="21" t="s">
        <v>864</v>
      </c>
      <c r="F808" s="21"/>
      <c r="G808" s="27">
        <f>G809</f>
        <v>315.1</v>
      </c>
      <c r="H808" s="27">
        <f>H809</f>
        <v>215.5</v>
      </c>
      <c r="I808" s="27">
        <f t="shared" si="49"/>
        <v>68.3909869882577</v>
      </c>
    </row>
    <row r="809" spans="1:9" ht="54.75" customHeight="1">
      <c r="A809" s="33" t="s">
        <v>323</v>
      </c>
      <c r="B809" s="17">
        <v>907</v>
      </c>
      <c r="C809" s="21" t="s">
        <v>315</v>
      </c>
      <c r="D809" s="21" t="s">
        <v>266</v>
      </c>
      <c r="E809" s="21" t="s">
        <v>864</v>
      </c>
      <c r="F809" s="21" t="s">
        <v>324</v>
      </c>
      <c r="G809" s="27">
        <f>G810</f>
        <v>315.1</v>
      </c>
      <c r="H809" s="27">
        <f>H810</f>
        <v>215.5</v>
      </c>
      <c r="I809" s="27">
        <f t="shared" si="49"/>
        <v>68.3909869882577</v>
      </c>
    </row>
    <row r="810" spans="1:9" ht="15.75" customHeight="1">
      <c r="A810" s="33" t="s">
        <v>325</v>
      </c>
      <c r="B810" s="17">
        <v>907</v>
      </c>
      <c r="C810" s="21" t="s">
        <v>315</v>
      </c>
      <c r="D810" s="21" t="s">
        <v>266</v>
      </c>
      <c r="E810" s="21" t="s">
        <v>864</v>
      </c>
      <c r="F810" s="21" t="s">
        <v>326</v>
      </c>
      <c r="G810" s="27">
        <f>365.2+57-107.1</f>
        <v>315.1</v>
      </c>
      <c r="H810" s="27">
        <v>215.5</v>
      </c>
      <c r="I810" s="27">
        <f t="shared" si="49"/>
        <v>68.3909869882577</v>
      </c>
    </row>
    <row r="811" spans="1:9" ht="15.75">
      <c r="A811" s="26" t="s">
        <v>172</v>
      </c>
      <c r="B811" s="17">
        <v>907</v>
      </c>
      <c r="C811" s="21" t="s">
        <v>315</v>
      </c>
      <c r="D811" s="21" t="s">
        <v>266</v>
      </c>
      <c r="E811" s="21" t="s">
        <v>173</v>
      </c>
      <c r="F811" s="21"/>
      <c r="G811" s="27">
        <f>G812</f>
        <v>641.6</v>
      </c>
      <c r="H811" s="27">
        <f>H812</f>
        <v>500.1</v>
      </c>
      <c r="I811" s="27">
        <f t="shared" si="49"/>
        <v>77.94576059850374</v>
      </c>
    </row>
    <row r="812" spans="1:9" ht="31.5">
      <c r="A812" s="26" t="s">
        <v>236</v>
      </c>
      <c r="B812" s="17">
        <v>907</v>
      </c>
      <c r="C812" s="21" t="s">
        <v>315</v>
      </c>
      <c r="D812" s="21" t="s">
        <v>266</v>
      </c>
      <c r="E812" s="21" t="s">
        <v>237</v>
      </c>
      <c r="F812" s="21"/>
      <c r="G812" s="27">
        <f>G813+G816+G819</f>
        <v>641.6</v>
      </c>
      <c r="H812" s="27">
        <f>H813+H816+H819</f>
        <v>500.1</v>
      </c>
      <c r="I812" s="27">
        <f t="shared" si="49"/>
        <v>77.94576059850374</v>
      </c>
    </row>
    <row r="813" spans="1:9" ht="63" hidden="1">
      <c r="A813" s="33" t="s">
        <v>340</v>
      </c>
      <c r="B813" s="17">
        <v>907</v>
      </c>
      <c r="C813" s="21" t="s">
        <v>315</v>
      </c>
      <c r="D813" s="21" t="s">
        <v>266</v>
      </c>
      <c r="E813" s="21" t="s">
        <v>341</v>
      </c>
      <c r="F813" s="21"/>
      <c r="G813" s="27">
        <f>G814</f>
        <v>0</v>
      </c>
      <c r="H813" s="27">
        <f>H814</f>
        <v>0</v>
      </c>
      <c r="I813" s="27" t="e">
        <f t="shared" si="49"/>
        <v>#DIV/0!</v>
      </c>
    </row>
    <row r="814" spans="1:9" ht="47.25" hidden="1">
      <c r="A814" s="26" t="s">
        <v>323</v>
      </c>
      <c r="B814" s="17">
        <v>907</v>
      </c>
      <c r="C814" s="21" t="s">
        <v>315</v>
      </c>
      <c r="D814" s="21" t="s">
        <v>266</v>
      </c>
      <c r="E814" s="21" t="s">
        <v>341</v>
      </c>
      <c r="F814" s="21" t="s">
        <v>324</v>
      </c>
      <c r="G814" s="27">
        <f>G815</f>
        <v>0</v>
      </c>
      <c r="H814" s="27">
        <f>H815</f>
        <v>0</v>
      </c>
      <c r="I814" s="27" t="e">
        <f t="shared" si="49"/>
        <v>#DIV/0!</v>
      </c>
    </row>
    <row r="815" spans="1:9" ht="15.75" hidden="1">
      <c r="A815" s="26" t="s">
        <v>325</v>
      </c>
      <c r="B815" s="17">
        <v>907</v>
      </c>
      <c r="C815" s="21" t="s">
        <v>315</v>
      </c>
      <c r="D815" s="21" t="s">
        <v>266</v>
      </c>
      <c r="E815" s="21" t="s">
        <v>341</v>
      </c>
      <c r="F815" s="21" t="s">
        <v>326</v>
      </c>
      <c r="G815" s="27">
        <f>50-39.5-10.5</f>
        <v>0</v>
      </c>
      <c r="H815" s="27">
        <f>50-39.5-10.5</f>
        <v>0</v>
      </c>
      <c r="I815" s="27" t="e">
        <f t="shared" si="49"/>
        <v>#DIV/0!</v>
      </c>
    </row>
    <row r="816" spans="1:9" ht="78.75">
      <c r="A816" s="33" t="s">
        <v>342</v>
      </c>
      <c r="B816" s="17">
        <v>907</v>
      </c>
      <c r="C816" s="21" t="s">
        <v>315</v>
      </c>
      <c r="D816" s="21" t="s">
        <v>266</v>
      </c>
      <c r="E816" s="21" t="s">
        <v>343</v>
      </c>
      <c r="F816" s="21"/>
      <c r="G816" s="27">
        <f aca="true" t="shared" si="51" ref="G816:H820">G817</f>
        <v>170</v>
      </c>
      <c r="H816" s="27">
        <f t="shared" si="51"/>
        <v>148</v>
      </c>
      <c r="I816" s="27">
        <f t="shared" si="49"/>
        <v>87.05882352941177</v>
      </c>
    </row>
    <row r="817" spans="1:9" ht="47.25">
      <c r="A817" s="26" t="s">
        <v>323</v>
      </c>
      <c r="B817" s="17">
        <v>907</v>
      </c>
      <c r="C817" s="21" t="s">
        <v>315</v>
      </c>
      <c r="D817" s="21" t="s">
        <v>266</v>
      </c>
      <c r="E817" s="21" t="s">
        <v>343</v>
      </c>
      <c r="F817" s="21" t="s">
        <v>324</v>
      </c>
      <c r="G817" s="27">
        <f t="shared" si="51"/>
        <v>170</v>
      </c>
      <c r="H817" s="27">
        <f t="shared" si="51"/>
        <v>148</v>
      </c>
      <c r="I817" s="27">
        <f t="shared" si="49"/>
        <v>87.05882352941177</v>
      </c>
    </row>
    <row r="818" spans="1:9" ht="15.75">
      <c r="A818" s="26" t="s">
        <v>325</v>
      </c>
      <c r="B818" s="17">
        <v>907</v>
      </c>
      <c r="C818" s="21" t="s">
        <v>315</v>
      </c>
      <c r="D818" s="21" t="s">
        <v>266</v>
      </c>
      <c r="E818" s="21" t="s">
        <v>343</v>
      </c>
      <c r="F818" s="21" t="s">
        <v>326</v>
      </c>
      <c r="G818" s="27">
        <f>200-2.7+6.9-34.2</f>
        <v>170</v>
      </c>
      <c r="H818" s="27">
        <v>148</v>
      </c>
      <c r="I818" s="27">
        <f t="shared" si="49"/>
        <v>87.05882352941177</v>
      </c>
    </row>
    <row r="819" spans="1:9" ht="110.25">
      <c r="A819" s="33" t="s">
        <v>516</v>
      </c>
      <c r="B819" s="17">
        <v>907</v>
      </c>
      <c r="C819" s="21" t="s">
        <v>315</v>
      </c>
      <c r="D819" s="21" t="s">
        <v>266</v>
      </c>
      <c r="E819" s="21" t="s">
        <v>345</v>
      </c>
      <c r="F819" s="21"/>
      <c r="G819" s="27">
        <f>G820</f>
        <v>471.6</v>
      </c>
      <c r="H819" s="27">
        <f>H820</f>
        <v>352.1</v>
      </c>
      <c r="I819" s="27">
        <f t="shared" si="49"/>
        <v>74.66072943172179</v>
      </c>
    </row>
    <row r="820" spans="1:9" ht="47.25">
      <c r="A820" s="26" t="s">
        <v>323</v>
      </c>
      <c r="B820" s="17">
        <v>907</v>
      </c>
      <c r="C820" s="21" t="s">
        <v>315</v>
      </c>
      <c r="D820" s="21" t="s">
        <v>266</v>
      </c>
      <c r="E820" s="21" t="s">
        <v>345</v>
      </c>
      <c r="F820" s="21" t="s">
        <v>324</v>
      </c>
      <c r="G820" s="27">
        <f t="shared" si="51"/>
        <v>471.6</v>
      </c>
      <c r="H820" s="27">
        <f t="shared" si="51"/>
        <v>352.1</v>
      </c>
      <c r="I820" s="27">
        <f t="shared" si="49"/>
        <v>74.66072943172179</v>
      </c>
    </row>
    <row r="821" spans="1:9" ht="15.75">
      <c r="A821" s="26" t="s">
        <v>325</v>
      </c>
      <c r="B821" s="17">
        <v>907</v>
      </c>
      <c r="C821" s="21" t="s">
        <v>315</v>
      </c>
      <c r="D821" s="21" t="s">
        <v>266</v>
      </c>
      <c r="E821" s="21" t="s">
        <v>345</v>
      </c>
      <c r="F821" s="21" t="s">
        <v>326</v>
      </c>
      <c r="G821" s="27">
        <f>500-20.2-8.2</f>
        <v>471.6</v>
      </c>
      <c r="H821" s="27">
        <v>352.1</v>
      </c>
      <c r="I821" s="27">
        <f t="shared" si="49"/>
        <v>74.66072943172179</v>
      </c>
    </row>
    <row r="822" spans="1:9" ht="15.75">
      <c r="A822" s="24" t="s">
        <v>542</v>
      </c>
      <c r="B822" s="20">
        <v>907</v>
      </c>
      <c r="C822" s="25" t="s">
        <v>543</v>
      </c>
      <c r="D822" s="21"/>
      <c r="E822" s="21"/>
      <c r="F822" s="21"/>
      <c r="G822" s="22">
        <f>G823+G850</f>
        <v>49789</v>
      </c>
      <c r="H822" s="22">
        <f>H823+H850</f>
        <v>49463.600000000006</v>
      </c>
      <c r="I822" s="22">
        <f t="shared" si="49"/>
        <v>99.34644198517746</v>
      </c>
    </row>
    <row r="823" spans="1:9" ht="15.75">
      <c r="A823" s="24" t="s">
        <v>544</v>
      </c>
      <c r="B823" s="20">
        <v>907</v>
      </c>
      <c r="C823" s="25" t="s">
        <v>543</v>
      </c>
      <c r="D823" s="25" t="s">
        <v>169</v>
      </c>
      <c r="E823" s="21"/>
      <c r="F823" s="21"/>
      <c r="G823" s="22">
        <f>G824+G846+G841</f>
        <v>38020</v>
      </c>
      <c r="H823" s="22">
        <f>H824+H846+H841</f>
        <v>37905.5</v>
      </c>
      <c r="I823" s="22">
        <f t="shared" si="49"/>
        <v>99.69884271436086</v>
      </c>
    </row>
    <row r="824" spans="1:9" ht="47.25">
      <c r="A824" s="26" t="s">
        <v>533</v>
      </c>
      <c r="B824" s="17">
        <v>907</v>
      </c>
      <c r="C824" s="21" t="s">
        <v>543</v>
      </c>
      <c r="D824" s="21" t="s">
        <v>169</v>
      </c>
      <c r="E824" s="21" t="s">
        <v>534</v>
      </c>
      <c r="F824" s="21"/>
      <c r="G824" s="27">
        <f>G825</f>
        <v>36975</v>
      </c>
      <c r="H824" s="27">
        <f>H825</f>
        <v>36860.6</v>
      </c>
      <c r="I824" s="27">
        <f t="shared" si="49"/>
        <v>99.69060175794455</v>
      </c>
    </row>
    <row r="825" spans="1:9" ht="47.25">
      <c r="A825" s="26" t="s">
        <v>545</v>
      </c>
      <c r="B825" s="17">
        <v>907</v>
      </c>
      <c r="C825" s="21" t="s">
        <v>543</v>
      </c>
      <c r="D825" s="21" t="s">
        <v>169</v>
      </c>
      <c r="E825" s="21" t="s">
        <v>546</v>
      </c>
      <c r="F825" s="21"/>
      <c r="G825" s="27">
        <f>G826+G829+G832+G835+G838</f>
        <v>36975</v>
      </c>
      <c r="H825" s="27">
        <f>H826+H829+H832+H835+H838</f>
        <v>36860.6</v>
      </c>
      <c r="I825" s="27">
        <f t="shared" si="49"/>
        <v>99.69060175794455</v>
      </c>
    </row>
    <row r="826" spans="1:9" ht="47.25">
      <c r="A826" s="26" t="s">
        <v>547</v>
      </c>
      <c r="B826" s="17">
        <v>907</v>
      </c>
      <c r="C826" s="21" t="s">
        <v>543</v>
      </c>
      <c r="D826" s="21" t="s">
        <v>169</v>
      </c>
      <c r="E826" s="21" t="s">
        <v>548</v>
      </c>
      <c r="F826" s="21"/>
      <c r="G826" s="27">
        <f>G827</f>
        <v>35934.9</v>
      </c>
      <c r="H826" s="27">
        <f>H827</f>
        <v>35934.9</v>
      </c>
      <c r="I826" s="27">
        <f t="shared" si="49"/>
        <v>100</v>
      </c>
    </row>
    <row r="827" spans="1:9" ht="47.25">
      <c r="A827" s="26" t="s">
        <v>323</v>
      </c>
      <c r="B827" s="17">
        <v>907</v>
      </c>
      <c r="C827" s="21" t="s">
        <v>543</v>
      </c>
      <c r="D827" s="21" t="s">
        <v>169</v>
      </c>
      <c r="E827" s="21" t="s">
        <v>548</v>
      </c>
      <c r="F827" s="21" t="s">
        <v>324</v>
      </c>
      <c r="G827" s="27">
        <f>G828</f>
        <v>35934.9</v>
      </c>
      <c r="H827" s="27">
        <f>H828</f>
        <v>35934.9</v>
      </c>
      <c r="I827" s="27">
        <f t="shared" si="49"/>
        <v>100</v>
      </c>
    </row>
    <row r="828" spans="1:18" ht="15.75">
      <c r="A828" s="26" t="s">
        <v>325</v>
      </c>
      <c r="B828" s="17">
        <v>907</v>
      </c>
      <c r="C828" s="21" t="s">
        <v>543</v>
      </c>
      <c r="D828" s="21" t="s">
        <v>169</v>
      </c>
      <c r="E828" s="21" t="s">
        <v>548</v>
      </c>
      <c r="F828" s="21" t="s">
        <v>326</v>
      </c>
      <c r="G828" s="28">
        <f>12075+28906.3-42-2000-30.6-531-797.3-398.7+535.9-5570.9+974.1+2143.4-50-200+920.7</f>
        <v>35934.9</v>
      </c>
      <c r="H828" s="28">
        <v>35934.9</v>
      </c>
      <c r="I828" s="27">
        <f t="shared" si="49"/>
        <v>100</v>
      </c>
      <c r="J828" s="275"/>
      <c r="K828" s="276"/>
      <c r="L828" s="276"/>
      <c r="R828" s="310"/>
    </row>
    <row r="829" spans="1:18" ht="47.25">
      <c r="A829" s="26" t="s">
        <v>329</v>
      </c>
      <c r="B829" s="17">
        <v>907</v>
      </c>
      <c r="C829" s="21" t="s">
        <v>543</v>
      </c>
      <c r="D829" s="21" t="s">
        <v>169</v>
      </c>
      <c r="E829" s="21" t="s">
        <v>549</v>
      </c>
      <c r="F829" s="21"/>
      <c r="G829" s="27">
        <f>G830</f>
        <v>398.7</v>
      </c>
      <c r="H829" s="27">
        <f>H830</f>
        <v>398.7</v>
      </c>
      <c r="I829" s="27">
        <f t="shared" si="49"/>
        <v>100</v>
      </c>
      <c r="O829" s="401"/>
      <c r="P829" s="401"/>
      <c r="R829" s="311"/>
    </row>
    <row r="830" spans="1:18" ht="47.25">
      <c r="A830" s="26" t="s">
        <v>323</v>
      </c>
      <c r="B830" s="17">
        <v>907</v>
      </c>
      <c r="C830" s="21" t="s">
        <v>543</v>
      </c>
      <c r="D830" s="21" t="s">
        <v>169</v>
      </c>
      <c r="E830" s="21" t="s">
        <v>549</v>
      </c>
      <c r="F830" s="21" t="s">
        <v>324</v>
      </c>
      <c r="G830" s="27">
        <f>G831</f>
        <v>398.7</v>
      </c>
      <c r="H830" s="27">
        <f>H831</f>
        <v>398.7</v>
      </c>
      <c r="I830" s="27">
        <f t="shared" si="49"/>
        <v>100</v>
      </c>
      <c r="R830" s="280"/>
    </row>
    <row r="831" spans="1:18" ht="15.75">
      <c r="A831" s="26" t="s">
        <v>325</v>
      </c>
      <c r="B831" s="17">
        <v>907</v>
      </c>
      <c r="C831" s="21" t="s">
        <v>543</v>
      </c>
      <c r="D831" s="21" t="s">
        <v>169</v>
      </c>
      <c r="E831" s="21" t="s">
        <v>549</v>
      </c>
      <c r="F831" s="21" t="s">
        <v>326</v>
      </c>
      <c r="G831" s="27">
        <v>398.7</v>
      </c>
      <c r="H831" s="27">
        <v>398.7</v>
      </c>
      <c r="I831" s="27">
        <f t="shared" si="49"/>
        <v>100</v>
      </c>
      <c r="J831" s="247"/>
      <c r="R831" s="280"/>
    </row>
    <row r="832" spans="1:18" ht="31.5" customHeight="1" hidden="1">
      <c r="A832" s="26" t="s">
        <v>331</v>
      </c>
      <c r="B832" s="17">
        <v>907</v>
      </c>
      <c r="C832" s="21" t="s">
        <v>543</v>
      </c>
      <c r="D832" s="21" t="s">
        <v>169</v>
      </c>
      <c r="E832" s="21" t="s">
        <v>550</v>
      </c>
      <c r="F832" s="21"/>
      <c r="G832" s="27">
        <f>G833</f>
        <v>0</v>
      </c>
      <c r="H832" s="27">
        <f>H833</f>
        <v>0</v>
      </c>
      <c r="I832" s="27" t="e">
        <f t="shared" si="49"/>
        <v>#DIV/0!</v>
      </c>
      <c r="R832" s="280"/>
    </row>
    <row r="833" spans="1:18" ht="47.25" customHeight="1" hidden="1">
      <c r="A833" s="26" t="s">
        <v>323</v>
      </c>
      <c r="B833" s="17">
        <v>907</v>
      </c>
      <c r="C833" s="21" t="s">
        <v>543</v>
      </c>
      <c r="D833" s="21" t="s">
        <v>169</v>
      </c>
      <c r="E833" s="21" t="s">
        <v>550</v>
      </c>
      <c r="F833" s="21" t="s">
        <v>324</v>
      </c>
      <c r="G833" s="27">
        <f>G834</f>
        <v>0</v>
      </c>
      <c r="H833" s="27">
        <f>H834</f>
        <v>0</v>
      </c>
      <c r="I833" s="27" t="e">
        <f t="shared" si="49"/>
        <v>#DIV/0!</v>
      </c>
      <c r="R833" s="280"/>
    </row>
    <row r="834" spans="1:18" ht="15.75" customHeight="1" hidden="1">
      <c r="A834" s="26" t="s">
        <v>325</v>
      </c>
      <c r="B834" s="17">
        <v>907</v>
      </c>
      <c r="C834" s="21" t="s">
        <v>543</v>
      </c>
      <c r="D834" s="21" t="s">
        <v>169</v>
      </c>
      <c r="E834" s="21" t="s">
        <v>550</v>
      </c>
      <c r="F834" s="21" t="s">
        <v>326</v>
      </c>
      <c r="G834" s="27">
        <v>0</v>
      </c>
      <c r="H834" s="27">
        <v>0</v>
      </c>
      <c r="I834" s="27" t="e">
        <f t="shared" si="49"/>
        <v>#DIV/0!</v>
      </c>
      <c r="R834" s="280"/>
    </row>
    <row r="835" spans="1:18" ht="33.75" customHeight="1">
      <c r="A835" s="26" t="s">
        <v>988</v>
      </c>
      <c r="B835" s="17">
        <v>907</v>
      </c>
      <c r="C835" s="21" t="s">
        <v>543</v>
      </c>
      <c r="D835" s="21" t="s">
        <v>169</v>
      </c>
      <c r="E835" s="21" t="s">
        <v>551</v>
      </c>
      <c r="F835" s="21"/>
      <c r="G835" s="27">
        <f>G836</f>
        <v>100</v>
      </c>
      <c r="H835" s="27">
        <f>H836</f>
        <v>0</v>
      </c>
      <c r="I835" s="27">
        <f t="shared" si="49"/>
        <v>0</v>
      </c>
      <c r="R835" s="311"/>
    </row>
    <row r="836" spans="1:9" ht="47.25">
      <c r="A836" s="26" t="s">
        <v>323</v>
      </c>
      <c r="B836" s="17">
        <v>907</v>
      </c>
      <c r="C836" s="21" t="s">
        <v>543</v>
      </c>
      <c r="D836" s="21" t="s">
        <v>169</v>
      </c>
      <c r="E836" s="21" t="s">
        <v>551</v>
      </c>
      <c r="F836" s="21" t="s">
        <v>324</v>
      </c>
      <c r="G836" s="27">
        <f>G837</f>
        <v>100</v>
      </c>
      <c r="H836" s="27">
        <f>H837</f>
        <v>0</v>
      </c>
      <c r="I836" s="27">
        <f t="shared" si="49"/>
        <v>0</v>
      </c>
    </row>
    <row r="837" spans="1:9" ht="15.75" customHeight="1">
      <c r="A837" s="26" t="s">
        <v>325</v>
      </c>
      <c r="B837" s="17">
        <v>907</v>
      </c>
      <c r="C837" s="21" t="s">
        <v>543</v>
      </c>
      <c r="D837" s="21" t="s">
        <v>169</v>
      </c>
      <c r="E837" s="21" t="s">
        <v>551</v>
      </c>
      <c r="F837" s="21" t="s">
        <v>326</v>
      </c>
      <c r="G837" s="27">
        <v>100</v>
      </c>
      <c r="H837" s="27">
        <v>0</v>
      </c>
      <c r="I837" s="27">
        <f t="shared" si="49"/>
        <v>0</v>
      </c>
    </row>
    <row r="838" spans="1:9" ht="49.5" customHeight="1">
      <c r="A838" s="47" t="s">
        <v>857</v>
      </c>
      <c r="B838" s="17">
        <v>907</v>
      </c>
      <c r="C838" s="21" t="s">
        <v>543</v>
      </c>
      <c r="D838" s="21" t="s">
        <v>169</v>
      </c>
      <c r="E838" s="21" t="s">
        <v>865</v>
      </c>
      <c r="F838" s="21"/>
      <c r="G838" s="27">
        <f>G839</f>
        <v>541.4000000000001</v>
      </c>
      <c r="H838" s="27">
        <f>H839</f>
        <v>527</v>
      </c>
      <c r="I838" s="27">
        <f t="shared" si="49"/>
        <v>97.34022903583302</v>
      </c>
    </row>
    <row r="839" spans="1:9" ht="48" customHeight="1">
      <c r="A839" s="33" t="s">
        <v>323</v>
      </c>
      <c r="B839" s="17">
        <v>907</v>
      </c>
      <c r="C839" s="21" t="s">
        <v>543</v>
      </c>
      <c r="D839" s="21" t="s">
        <v>169</v>
      </c>
      <c r="E839" s="21" t="s">
        <v>865</v>
      </c>
      <c r="F839" s="21" t="s">
        <v>324</v>
      </c>
      <c r="G839" s="27">
        <f>G840</f>
        <v>541.4000000000001</v>
      </c>
      <c r="H839" s="27">
        <f>H840</f>
        <v>527</v>
      </c>
      <c r="I839" s="27">
        <f t="shared" si="49"/>
        <v>97.34022903583302</v>
      </c>
    </row>
    <row r="840" spans="1:9" ht="15.75" customHeight="1">
      <c r="A840" s="33" t="s">
        <v>325</v>
      </c>
      <c r="B840" s="17">
        <v>907</v>
      </c>
      <c r="C840" s="21" t="s">
        <v>543</v>
      </c>
      <c r="D840" s="21" t="s">
        <v>169</v>
      </c>
      <c r="E840" s="21" t="s">
        <v>865</v>
      </c>
      <c r="F840" s="21" t="s">
        <v>326</v>
      </c>
      <c r="G840" s="27">
        <f>821.2-100-213.5+33.7</f>
        <v>541.4000000000001</v>
      </c>
      <c r="H840" s="27">
        <v>527</v>
      </c>
      <c r="I840" s="27">
        <f t="shared" si="49"/>
        <v>97.34022903583302</v>
      </c>
    </row>
    <row r="841" spans="1:18" ht="61.5" customHeight="1">
      <c r="A841" s="33" t="s">
        <v>950</v>
      </c>
      <c r="B841" s="17">
        <v>907</v>
      </c>
      <c r="C841" s="21" t="s">
        <v>543</v>
      </c>
      <c r="D841" s="21" t="s">
        <v>169</v>
      </c>
      <c r="E841" s="21" t="s">
        <v>375</v>
      </c>
      <c r="F841" s="21"/>
      <c r="G841" s="27">
        <f aca="true" t="shared" si="52" ref="G841:H843">G842</f>
        <v>545</v>
      </c>
      <c r="H841" s="27">
        <f t="shared" si="52"/>
        <v>545</v>
      </c>
      <c r="I841" s="27">
        <f t="shared" si="49"/>
        <v>100</v>
      </c>
      <c r="K841" s="401"/>
      <c r="L841" s="401"/>
      <c r="M841" s="401"/>
      <c r="Q841" s="294"/>
      <c r="R841" s="307"/>
    </row>
    <row r="842" spans="1:9" ht="47.25">
      <c r="A842" s="33" t="s">
        <v>376</v>
      </c>
      <c r="B842" s="17">
        <v>907</v>
      </c>
      <c r="C842" s="21" t="s">
        <v>543</v>
      </c>
      <c r="D842" s="21" t="s">
        <v>169</v>
      </c>
      <c r="E842" s="21" t="s">
        <v>377</v>
      </c>
      <c r="F842" s="21"/>
      <c r="G842" s="27">
        <f t="shared" si="52"/>
        <v>545</v>
      </c>
      <c r="H842" s="27">
        <f t="shared" si="52"/>
        <v>545</v>
      </c>
      <c r="I842" s="27">
        <f t="shared" si="49"/>
        <v>100</v>
      </c>
    </row>
    <row r="843" spans="1:9" ht="47.25">
      <c r="A843" s="33" t="s">
        <v>323</v>
      </c>
      <c r="B843" s="17">
        <v>907</v>
      </c>
      <c r="C843" s="21" t="s">
        <v>543</v>
      </c>
      <c r="D843" s="21" t="s">
        <v>169</v>
      </c>
      <c r="E843" s="21" t="s">
        <v>377</v>
      </c>
      <c r="F843" s="21" t="s">
        <v>324</v>
      </c>
      <c r="G843" s="27">
        <f t="shared" si="52"/>
        <v>545</v>
      </c>
      <c r="H843" s="27">
        <f t="shared" si="52"/>
        <v>545</v>
      </c>
      <c r="I843" s="27">
        <f aca="true" t="shared" si="53" ref="I843:I906">H843/G843*100</f>
        <v>100</v>
      </c>
    </row>
    <row r="844" spans="1:9" ht="21" customHeight="1">
      <c r="A844" s="33" t="s">
        <v>325</v>
      </c>
      <c r="B844" s="17">
        <v>907</v>
      </c>
      <c r="C844" s="21" t="s">
        <v>543</v>
      </c>
      <c r="D844" s="21" t="s">
        <v>169</v>
      </c>
      <c r="E844" s="21" t="s">
        <v>377</v>
      </c>
      <c r="F844" s="21" t="s">
        <v>326</v>
      </c>
      <c r="G844" s="27">
        <v>545</v>
      </c>
      <c r="H844" s="27">
        <v>545</v>
      </c>
      <c r="I844" s="27">
        <f t="shared" si="53"/>
        <v>100</v>
      </c>
    </row>
    <row r="845" spans="1:9" ht="15.75">
      <c r="A845" s="26" t="s">
        <v>172</v>
      </c>
      <c r="B845" s="17">
        <v>907</v>
      </c>
      <c r="C845" s="21" t="s">
        <v>543</v>
      </c>
      <c r="D845" s="21" t="s">
        <v>169</v>
      </c>
      <c r="E845" s="21" t="s">
        <v>173</v>
      </c>
      <c r="F845" s="21"/>
      <c r="G845" s="27">
        <f>G846</f>
        <v>500</v>
      </c>
      <c r="H845" s="27">
        <f>H846</f>
        <v>499.9</v>
      </c>
      <c r="I845" s="27">
        <f t="shared" si="53"/>
        <v>99.97999999999999</v>
      </c>
    </row>
    <row r="846" spans="1:9" ht="31.5">
      <c r="A846" s="26" t="s">
        <v>236</v>
      </c>
      <c r="B846" s="17">
        <v>907</v>
      </c>
      <c r="C846" s="21" t="s">
        <v>543</v>
      </c>
      <c r="D846" s="21" t="s">
        <v>169</v>
      </c>
      <c r="E846" s="21" t="s">
        <v>237</v>
      </c>
      <c r="F846" s="21"/>
      <c r="G846" s="27">
        <f>G847</f>
        <v>500</v>
      </c>
      <c r="H846" s="27">
        <f>H847</f>
        <v>499.9</v>
      </c>
      <c r="I846" s="27">
        <f t="shared" si="53"/>
        <v>99.97999999999999</v>
      </c>
    </row>
    <row r="847" spans="1:9" ht="47.25">
      <c r="A847" s="26" t="s">
        <v>1003</v>
      </c>
      <c r="B847" s="17">
        <v>907</v>
      </c>
      <c r="C847" s="21" t="s">
        <v>543</v>
      </c>
      <c r="D847" s="21" t="s">
        <v>169</v>
      </c>
      <c r="E847" s="21" t="s">
        <v>1004</v>
      </c>
      <c r="F847" s="21"/>
      <c r="G847" s="27">
        <f>G849</f>
        <v>500</v>
      </c>
      <c r="H847" s="27">
        <f>H849</f>
        <v>499.9</v>
      </c>
      <c r="I847" s="27">
        <f t="shared" si="53"/>
        <v>99.97999999999999</v>
      </c>
    </row>
    <row r="848" spans="1:9" ht="47.25">
      <c r="A848" s="26" t="s">
        <v>323</v>
      </c>
      <c r="B848" s="17">
        <v>907</v>
      </c>
      <c r="C848" s="21" t="s">
        <v>543</v>
      </c>
      <c r="D848" s="21" t="s">
        <v>169</v>
      </c>
      <c r="E848" s="21" t="s">
        <v>1004</v>
      </c>
      <c r="F848" s="21" t="s">
        <v>324</v>
      </c>
      <c r="G848" s="27">
        <f>G849</f>
        <v>500</v>
      </c>
      <c r="H848" s="27">
        <f>H849</f>
        <v>499.9</v>
      </c>
      <c r="I848" s="27">
        <f t="shared" si="53"/>
        <v>99.97999999999999</v>
      </c>
    </row>
    <row r="849" spans="1:9" ht="15.75">
      <c r="A849" s="26" t="s">
        <v>325</v>
      </c>
      <c r="B849" s="17">
        <v>907</v>
      </c>
      <c r="C849" s="21" t="s">
        <v>543</v>
      </c>
      <c r="D849" s="21" t="s">
        <v>169</v>
      </c>
      <c r="E849" s="21" t="s">
        <v>1004</v>
      </c>
      <c r="F849" s="21" t="s">
        <v>326</v>
      </c>
      <c r="G849" s="27">
        <v>500</v>
      </c>
      <c r="H849" s="27">
        <v>499.9</v>
      </c>
      <c r="I849" s="27">
        <f t="shared" si="53"/>
        <v>99.97999999999999</v>
      </c>
    </row>
    <row r="850" spans="1:9" ht="31.5">
      <c r="A850" s="24" t="s">
        <v>552</v>
      </c>
      <c r="B850" s="20">
        <v>907</v>
      </c>
      <c r="C850" s="25" t="s">
        <v>543</v>
      </c>
      <c r="D850" s="25" t="s">
        <v>285</v>
      </c>
      <c r="E850" s="25"/>
      <c r="F850" s="25"/>
      <c r="G850" s="22">
        <f>G858+G851</f>
        <v>11769</v>
      </c>
      <c r="H850" s="22">
        <f>H858+H851</f>
        <v>11558.100000000002</v>
      </c>
      <c r="I850" s="22">
        <f t="shared" si="53"/>
        <v>98.20800407851135</v>
      </c>
    </row>
    <row r="851" spans="1:9" ht="47.25">
      <c r="A851" s="31" t="s">
        <v>533</v>
      </c>
      <c r="B851" s="17">
        <v>907</v>
      </c>
      <c r="C851" s="21" t="s">
        <v>543</v>
      </c>
      <c r="D851" s="21" t="s">
        <v>285</v>
      </c>
      <c r="E851" s="42" t="s">
        <v>534</v>
      </c>
      <c r="F851" s="21"/>
      <c r="G851" s="27">
        <f>G852</f>
        <v>2800</v>
      </c>
      <c r="H851" s="27">
        <f>H852</f>
        <v>2775.7</v>
      </c>
      <c r="I851" s="27">
        <f t="shared" si="53"/>
        <v>99.13214285714285</v>
      </c>
    </row>
    <row r="852" spans="1:9" ht="47.25">
      <c r="A852" s="47" t="s">
        <v>553</v>
      </c>
      <c r="B852" s="17">
        <v>907</v>
      </c>
      <c r="C852" s="21" t="s">
        <v>543</v>
      </c>
      <c r="D852" s="21" t="s">
        <v>285</v>
      </c>
      <c r="E852" s="42" t="s">
        <v>554</v>
      </c>
      <c r="F852" s="21"/>
      <c r="G852" s="27">
        <f>G853</f>
        <v>2800</v>
      </c>
      <c r="H852" s="27">
        <f>H853</f>
        <v>2775.7</v>
      </c>
      <c r="I852" s="27">
        <f t="shared" si="53"/>
        <v>99.13214285714285</v>
      </c>
    </row>
    <row r="853" spans="1:13" ht="31.5">
      <c r="A853" s="31" t="s">
        <v>208</v>
      </c>
      <c r="B853" s="17">
        <v>907</v>
      </c>
      <c r="C853" s="21" t="s">
        <v>543</v>
      </c>
      <c r="D853" s="21" t="s">
        <v>285</v>
      </c>
      <c r="E853" s="42" t="s">
        <v>555</v>
      </c>
      <c r="F853" s="21"/>
      <c r="G853" s="27">
        <f>2400+400</f>
        <v>2800</v>
      </c>
      <c r="H853" s="27">
        <f>H855+H857</f>
        <v>2775.7</v>
      </c>
      <c r="I853" s="27">
        <f t="shared" si="53"/>
        <v>99.13214285714285</v>
      </c>
      <c r="J853" s="209"/>
      <c r="K853" s="281"/>
      <c r="L853" s="281"/>
      <c r="M853" s="281"/>
    </row>
    <row r="854" spans="1:9" ht="94.5">
      <c r="A854" s="26" t="s">
        <v>178</v>
      </c>
      <c r="B854" s="17">
        <v>907</v>
      </c>
      <c r="C854" s="21" t="s">
        <v>543</v>
      </c>
      <c r="D854" s="21" t="s">
        <v>285</v>
      </c>
      <c r="E854" s="42" t="s">
        <v>555</v>
      </c>
      <c r="F854" s="21" t="s">
        <v>179</v>
      </c>
      <c r="G854" s="27">
        <f>G855</f>
        <v>1862</v>
      </c>
      <c r="H854" s="27">
        <f>H855</f>
        <v>1858.8</v>
      </c>
      <c r="I854" s="27">
        <f t="shared" si="53"/>
        <v>99.828141783029</v>
      </c>
    </row>
    <row r="855" spans="1:10" ht="31.5">
      <c r="A855" s="26" t="s">
        <v>180</v>
      </c>
      <c r="B855" s="17">
        <v>907</v>
      </c>
      <c r="C855" s="21" t="s">
        <v>543</v>
      </c>
      <c r="D855" s="21" t="s">
        <v>285</v>
      </c>
      <c r="E855" s="42" t="s">
        <v>555</v>
      </c>
      <c r="F855" s="21" t="s">
        <v>181</v>
      </c>
      <c r="G855" s="27">
        <f>2111-500-149+400</f>
        <v>1862</v>
      </c>
      <c r="H855" s="27">
        <v>1858.8</v>
      </c>
      <c r="I855" s="27">
        <f t="shared" si="53"/>
        <v>99.828141783029</v>
      </c>
      <c r="J855" s="277"/>
    </row>
    <row r="856" spans="1:9" ht="31.5">
      <c r="A856" s="31" t="s">
        <v>182</v>
      </c>
      <c r="B856" s="17">
        <v>907</v>
      </c>
      <c r="C856" s="21" t="s">
        <v>543</v>
      </c>
      <c r="D856" s="21" t="s">
        <v>285</v>
      </c>
      <c r="E856" s="42" t="s">
        <v>555</v>
      </c>
      <c r="F856" s="21" t="s">
        <v>183</v>
      </c>
      <c r="G856" s="27">
        <f>G857</f>
        <v>938</v>
      </c>
      <c r="H856" s="27">
        <f>H857</f>
        <v>916.9</v>
      </c>
      <c r="I856" s="27">
        <f t="shared" si="53"/>
        <v>97.75053304904051</v>
      </c>
    </row>
    <row r="857" spans="1:10" ht="47.25">
      <c r="A857" s="31" t="s">
        <v>184</v>
      </c>
      <c r="B857" s="17">
        <v>907</v>
      </c>
      <c r="C857" s="21" t="s">
        <v>543</v>
      </c>
      <c r="D857" s="21" t="s">
        <v>285</v>
      </c>
      <c r="E857" s="42" t="s">
        <v>555</v>
      </c>
      <c r="F857" s="21" t="s">
        <v>185</v>
      </c>
      <c r="G857" s="27">
        <f>G853-G854</f>
        <v>938</v>
      </c>
      <c r="H857" s="27">
        <v>916.9</v>
      </c>
      <c r="I857" s="27">
        <f t="shared" si="53"/>
        <v>97.75053304904051</v>
      </c>
      <c r="J857" s="277"/>
    </row>
    <row r="858" spans="1:9" ht="15.75">
      <c r="A858" s="26" t="s">
        <v>172</v>
      </c>
      <c r="B858" s="17">
        <v>907</v>
      </c>
      <c r="C858" s="21" t="s">
        <v>543</v>
      </c>
      <c r="D858" s="21" t="s">
        <v>285</v>
      </c>
      <c r="E858" s="21" t="s">
        <v>173</v>
      </c>
      <c r="F858" s="21"/>
      <c r="G858" s="27">
        <f>G859+G865</f>
        <v>8969</v>
      </c>
      <c r="H858" s="27">
        <f>H859+H865</f>
        <v>8782.400000000001</v>
      </c>
      <c r="I858" s="27">
        <f t="shared" si="53"/>
        <v>97.9195005017282</v>
      </c>
    </row>
    <row r="859" spans="1:9" ht="31.5">
      <c r="A859" s="26" t="s">
        <v>174</v>
      </c>
      <c r="B859" s="17">
        <v>907</v>
      </c>
      <c r="C859" s="21" t="s">
        <v>543</v>
      </c>
      <c r="D859" s="21" t="s">
        <v>285</v>
      </c>
      <c r="E859" s="21" t="s">
        <v>175</v>
      </c>
      <c r="F859" s="21"/>
      <c r="G859" s="27">
        <f>G860</f>
        <v>4314.3</v>
      </c>
      <c r="H859" s="27">
        <f>H860</f>
        <v>4202.3</v>
      </c>
      <c r="I859" s="27">
        <f t="shared" si="53"/>
        <v>97.40398210601951</v>
      </c>
    </row>
    <row r="860" spans="1:9" ht="47.25">
      <c r="A860" s="26" t="s">
        <v>176</v>
      </c>
      <c r="B860" s="17">
        <v>907</v>
      </c>
      <c r="C860" s="21" t="s">
        <v>543</v>
      </c>
      <c r="D860" s="21" t="s">
        <v>285</v>
      </c>
      <c r="E860" s="21" t="s">
        <v>177</v>
      </c>
      <c r="F860" s="21"/>
      <c r="G860" s="27">
        <f>G861+G863</f>
        <v>4314.3</v>
      </c>
      <c r="H860" s="27">
        <f>H861+H863</f>
        <v>4202.3</v>
      </c>
      <c r="I860" s="27">
        <f t="shared" si="53"/>
        <v>97.40398210601951</v>
      </c>
    </row>
    <row r="861" spans="1:9" ht="94.5">
      <c r="A861" s="26" t="s">
        <v>178</v>
      </c>
      <c r="B861" s="17">
        <v>907</v>
      </c>
      <c r="C861" s="21" t="s">
        <v>543</v>
      </c>
      <c r="D861" s="21" t="s">
        <v>285</v>
      </c>
      <c r="E861" s="21" t="s">
        <v>177</v>
      </c>
      <c r="F861" s="21" t="s">
        <v>179</v>
      </c>
      <c r="G861" s="27">
        <f>G862</f>
        <v>4314.3</v>
      </c>
      <c r="H861" s="27">
        <f>H862</f>
        <v>4202.3</v>
      </c>
      <c r="I861" s="27">
        <f t="shared" si="53"/>
        <v>97.40398210601951</v>
      </c>
    </row>
    <row r="862" spans="1:9" ht="31.5">
      <c r="A862" s="26" t="s">
        <v>180</v>
      </c>
      <c r="B862" s="17">
        <v>907</v>
      </c>
      <c r="C862" s="21" t="s">
        <v>543</v>
      </c>
      <c r="D862" s="21" t="s">
        <v>285</v>
      </c>
      <c r="E862" s="21" t="s">
        <v>177</v>
      </c>
      <c r="F862" s="21" t="s">
        <v>181</v>
      </c>
      <c r="G862" s="28">
        <f>3499.8+330+484.5</f>
        <v>4314.3</v>
      </c>
      <c r="H862" s="28">
        <v>4202.3</v>
      </c>
      <c r="I862" s="27">
        <f t="shared" si="53"/>
        <v>97.40398210601951</v>
      </c>
    </row>
    <row r="863" spans="1:9" ht="31.5" customHeight="1" hidden="1">
      <c r="A863" s="26" t="s">
        <v>182</v>
      </c>
      <c r="B863" s="17">
        <v>907</v>
      </c>
      <c r="C863" s="21" t="s">
        <v>543</v>
      </c>
      <c r="D863" s="21" t="s">
        <v>285</v>
      </c>
      <c r="E863" s="21" t="s">
        <v>177</v>
      </c>
      <c r="F863" s="21" t="s">
        <v>183</v>
      </c>
      <c r="G863" s="27">
        <f>G864</f>
        <v>0</v>
      </c>
      <c r="H863" s="27">
        <f>H864</f>
        <v>0</v>
      </c>
      <c r="I863" s="27" t="e">
        <f t="shared" si="53"/>
        <v>#DIV/0!</v>
      </c>
    </row>
    <row r="864" spans="1:9" ht="47.25" customHeight="1" hidden="1">
      <c r="A864" s="26" t="s">
        <v>184</v>
      </c>
      <c r="B864" s="17">
        <v>907</v>
      </c>
      <c r="C864" s="21" t="s">
        <v>543</v>
      </c>
      <c r="D864" s="21" t="s">
        <v>285</v>
      </c>
      <c r="E864" s="21" t="s">
        <v>177</v>
      </c>
      <c r="F864" s="21" t="s">
        <v>185</v>
      </c>
      <c r="G864" s="27">
        <v>0</v>
      </c>
      <c r="H864" s="27">
        <v>0</v>
      </c>
      <c r="I864" s="27" t="e">
        <f t="shared" si="53"/>
        <v>#DIV/0!</v>
      </c>
    </row>
    <row r="865" spans="1:9" ht="15.75">
      <c r="A865" s="26" t="s">
        <v>192</v>
      </c>
      <c r="B865" s="17">
        <v>907</v>
      </c>
      <c r="C865" s="21" t="s">
        <v>543</v>
      </c>
      <c r="D865" s="21" t="s">
        <v>285</v>
      </c>
      <c r="E865" s="21" t="s">
        <v>193</v>
      </c>
      <c r="F865" s="21"/>
      <c r="G865" s="27">
        <f>G866</f>
        <v>4654.699999999999</v>
      </c>
      <c r="H865" s="27">
        <f>H866</f>
        <v>4580.1</v>
      </c>
      <c r="I865" s="27">
        <f t="shared" si="53"/>
        <v>98.39731883902296</v>
      </c>
    </row>
    <row r="866" spans="1:9" ht="31.5">
      <c r="A866" s="26" t="s">
        <v>391</v>
      </c>
      <c r="B866" s="17">
        <v>907</v>
      </c>
      <c r="C866" s="21" t="s">
        <v>543</v>
      </c>
      <c r="D866" s="21" t="s">
        <v>285</v>
      </c>
      <c r="E866" s="21" t="s">
        <v>392</v>
      </c>
      <c r="F866" s="21"/>
      <c r="G866" s="27">
        <f>G867+G869+G871</f>
        <v>4654.699999999999</v>
      </c>
      <c r="H866" s="27">
        <f>H867+H869+H871</f>
        <v>4580.1</v>
      </c>
      <c r="I866" s="27">
        <f t="shared" si="53"/>
        <v>98.39731883902296</v>
      </c>
    </row>
    <row r="867" spans="1:9" ht="94.5">
      <c r="A867" s="26" t="s">
        <v>178</v>
      </c>
      <c r="B867" s="17">
        <v>907</v>
      </c>
      <c r="C867" s="21" t="s">
        <v>543</v>
      </c>
      <c r="D867" s="21" t="s">
        <v>285</v>
      </c>
      <c r="E867" s="21" t="s">
        <v>392</v>
      </c>
      <c r="F867" s="21" t="s">
        <v>179</v>
      </c>
      <c r="G867" s="27">
        <f>G868</f>
        <v>3950.4999999999995</v>
      </c>
      <c r="H867" s="27">
        <f>H868</f>
        <v>3940.9</v>
      </c>
      <c r="I867" s="27">
        <f t="shared" si="53"/>
        <v>99.75699278572334</v>
      </c>
    </row>
    <row r="868" spans="1:9" ht="31.5">
      <c r="A868" s="26" t="s">
        <v>393</v>
      </c>
      <c r="B868" s="17">
        <v>907</v>
      </c>
      <c r="C868" s="21" t="s">
        <v>543</v>
      </c>
      <c r="D868" s="21" t="s">
        <v>285</v>
      </c>
      <c r="E868" s="21" t="s">
        <v>392</v>
      </c>
      <c r="F868" s="21" t="s">
        <v>260</v>
      </c>
      <c r="G868" s="28">
        <f>3033+100+634.1+91.2+40+90+40-71-6.8</f>
        <v>3950.4999999999995</v>
      </c>
      <c r="H868" s="28">
        <v>3940.9</v>
      </c>
      <c r="I868" s="27">
        <f t="shared" si="53"/>
        <v>99.75699278572334</v>
      </c>
    </row>
    <row r="869" spans="1:13" ht="31.5">
      <c r="A869" s="26" t="s">
        <v>182</v>
      </c>
      <c r="B869" s="17">
        <v>907</v>
      </c>
      <c r="C869" s="21" t="s">
        <v>543</v>
      </c>
      <c r="D869" s="21" t="s">
        <v>285</v>
      </c>
      <c r="E869" s="21" t="s">
        <v>392</v>
      </c>
      <c r="F869" s="21" t="s">
        <v>183</v>
      </c>
      <c r="G869" s="27">
        <f>G870</f>
        <v>692.9999999999998</v>
      </c>
      <c r="H869" s="27">
        <f>H870</f>
        <v>633.1</v>
      </c>
      <c r="I869" s="27">
        <f t="shared" si="53"/>
        <v>91.3564213564214</v>
      </c>
      <c r="M869" s="294"/>
    </row>
    <row r="870" spans="1:17" ht="47.25">
      <c r="A870" s="26" t="s">
        <v>184</v>
      </c>
      <c r="B870" s="17">
        <v>907</v>
      </c>
      <c r="C870" s="21" t="s">
        <v>543</v>
      </c>
      <c r="D870" s="21" t="s">
        <v>285</v>
      </c>
      <c r="E870" s="21" t="s">
        <v>392</v>
      </c>
      <c r="F870" s="21" t="s">
        <v>185</v>
      </c>
      <c r="G870" s="28">
        <f>1339.6-145.4-430-60-131.2+50+70</f>
        <v>692.9999999999998</v>
      </c>
      <c r="H870" s="28">
        <v>633.1</v>
      </c>
      <c r="I870" s="27">
        <f t="shared" si="53"/>
        <v>91.3564213564214</v>
      </c>
      <c r="Q870" s="305"/>
    </row>
    <row r="871" spans="1:9" ht="15.75">
      <c r="A871" s="26" t="s">
        <v>186</v>
      </c>
      <c r="B871" s="17">
        <v>907</v>
      </c>
      <c r="C871" s="21" t="s">
        <v>543</v>
      </c>
      <c r="D871" s="21" t="s">
        <v>285</v>
      </c>
      <c r="E871" s="21" t="s">
        <v>392</v>
      </c>
      <c r="F871" s="21" t="s">
        <v>196</v>
      </c>
      <c r="G871" s="27">
        <f>G872</f>
        <v>11.200000000000003</v>
      </c>
      <c r="H871" s="27">
        <f>H872</f>
        <v>6.1</v>
      </c>
      <c r="I871" s="27">
        <f t="shared" si="53"/>
        <v>54.4642857142857</v>
      </c>
    </row>
    <row r="872" spans="1:9" ht="15.75">
      <c r="A872" s="26" t="s">
        <v>620</v>
      </c>
      <c r="B872" s="17">
        <v>907</v>
      </c>
      <c r="C872" s="21" t="s">
        <v>543</v>
      </c>
      <c r="D872" s="21" t="s">
        <v>285</v>
      </c>
      <c r="E872" s="21" t="s">
        <v>392</v>
      </c>
      <c r="F872" s="21" t="s">
        <v>189</v>
      </c>
      <c r="G872" s="27">
        <f>27.1+24.1-40</f>
        <v>11.200000000000003</v>
      </c>
      <c r="H872" s="27">
        <v>6.1</v>
      </c>
      <c r="I872" s="27">
        <f t="shared" si="53"/>
        <v>54.4642857142857</v>
      </c>
    </row>
    <row r="873" spans="1:9" ht="47.25">
      <c r="A873" s="20" t="s">
        <v>556</v>
      </c>
      <c r="B873" s="20">
        <v>908</v>
      </c>
      <c r="C873" s="21"/>
      <c r="D873" s="21"/>
      <c r="E873" s="21"/>
      <c r="F873" s="21"/>
      <c r="G873" s="22">
        <f>G888+G895+G909+G1080+G874</f>
        <v>201711.48</v>
      </c>
      <c r="H873" s="22">
        <f>H888+H895+H909+H1080+H874</f>
        <v>191981.2</v>
      </c>
      <c r="I873" s="22">
        <f t="shared" si="53"/>
        <v>95.17613970211313</v>
      </c>
    </row>
    <row r="874" spans="1:9" ht="15.75">
      <c r="A874" s="36" t="s">
        <v>168</v>
      </c>
      <c r="B874" s="20">
        <v>908</v>
      </c>
      <c r="C874" s="25" t="s">
        <v>169</v>
      </c>
      <c r="D874" s="21"/>
      <c r="E874" s="21"/>
      <c r="F874" s="21"/>
      <c r="G874" s="22">
        <f>G875</f>
        <v>41366.100000000006</v>
      </c>
      <c r="H874" s="22">
        <f>H875</f>
        <v>40467.8</v>
      </c>
      <c r="I874" s="22">
        <f t="shared" si="53"/>
        <v>97.82841505483958</v>
      </c>
    </row>
    <row r="875" spans="1:9" ht="15.75">
      <c r="A875" s="36" t="s">
        <v>190</v>
      </c>
      <c r="B875" s="20">
        <v>908</v>
      </c>
      <c r="C875" s="25" t="s">
        <v>169</v>
      </c>
      <c r="D875" s="25" t="s">
        <v>191</v>
      </c>
      <c r="E875" s="21"/>
      <c r="F875" s="21"/>
      <c r="G875" s="22">
        <f>G877+G880</f>
        <v>41366.100000000006</v>
      </c>
      <c r="H875" s="22">
        <f>H877+H880</f>
        <v>40467.8</v>
      </c>
      <c r="I875" s="22">
        <f t="shared" si="53"/>
        <v>97.82841505483958</v>
      </c>
    </row>
    <row r="876" spans="1:9" ht="15.75" hidden="1">
      <c r="A876" s="26" t="s">
        <v>192</v>
      </c>
      <c r="B876" s="17">
        <v>908</v>
      </c>
      <c r="C876" s="21" t="s">
        <v>169</v>
      </c>
      <c r="D876" s="21" t="s">
        <v>191</v>
      </c>
      <c r="E876" s="21" t="s">
        <v>193</v>
      </c>
      <c r="F876" s="21"/>
      <c r="G876" s="27">
        <f aca="true" t="shared" si="54" ref="G876:H878">G877</f>
        <v>0</v>
      </c>
      <c r="H876" s="27">
        <f t="shared" si="54"/>
        <v>0</v>
      </c>
      <c r="I876" s="22" t="e">
        <f t="shared" si="53"/>
        <v>#DIV/0!</v>
      </c>
    </row>
    <row r="877" spans="1:9" ht="15.75" hidden="1">
      <c r="A877" s="26" t="s">
        <v>194</v>
      </c>
      <c r="B877" s="17">
        <v>908</v>
      </c>
      <c r="C877" s="21" t="s">
        <v>169</v>
      </c>
      <c r="D877" s="21" t="s">
        <v>191</v>
      </c>
      <c r="E877" s="21" t="s">
        <v>195</v>
      </c>
      <c r="F877" s="21"/>
      <c r="G877" s="27">
        <f t="shared" si="54"/>
        <v>0</v>
      </c>
      <c r="H877" s="27">
        <f t="shared" si="54"/>
        <v>0</v>
      </c>
      <c r="I877" s="22" t="e">
        <f t="shared" si="53"/>
        <v>#DIV/0!</v>
      </c>
    </row>
    <row r="878" spans="1:9" ht="15.75" hidden="1">
      <c r="A878" s="26" t="s">
        <v>186</v>
      </c>
      <c r="B878" s="17">
        <v>908</v>
      </c>
      <c r="C878" s="21" t="s">
        <v>169</v>
      </c>
      <c r="D878" s="21" t="s">
        <v>191</v>
      </c>
      <c r="E878" s="21" t="s">
        <v>195</v>
      </c>
      <c r="F878" s="21" t="s">
        <v>196</v>
      </c>
      <c r="G878" s="27">
        <f t="shared" si="54"/>
        <v>0</v>
      </c>
      <c r="H878" s="27">
        <f t="shared" si="54"/>
        <v>0</v>
      </c>
      <c r="I878" s="22" t="e">
        <f t="shared" si="53"/>
        <v>#DIV/0!</v>
      </c>
    </row>
    <row r="879" spans="1:9" ht="15.75" hidden="1">
      <c r="A879" s="26" t="s">
        <v>620</v>
      </c>
      <c r="B879" s="17">
        <v>908</v>
      </c>
      <c r="C879" s="21" t="s">
        <v>169</v>
      </c>
      <c r="D879" s="21" t="s">
        <v>191</v>
      </c>
      <c r="E879" s="21" t="s">
        <v>195</v>
      </c>
      <c r="F879" s="21" t="s">
        <v>189</v>
      </c>
      <c r="G879" s="27">
        <v>0</v>
      </c>
      <c r="H879" s="27">
        <v>0</v>
      </c>
      <c r="I879" s="22" t="e">
        <f t="shared" si="53"/>
        <v>#DIV/0!</v>
      </c>
    </row>
    <row r="880" spans="1:9" ht="31.5">
      <c r="A880" s="26" t="s">
        <v>636</v>
      </c>
      <c r="B880" s="17">
        <v>908</v>
      </c>
      <c r="C880" s="21" t="s">
        <v>169</v>
      </c>
      <c r="D880" s="21" t="s">
        <v>191</v>
      </c>
      <c r="E880" s="21" t="s">
        <v>637</v>
      </c>
      <c r="F880" s="21"/>
      <c r="G880" s="28">
        <f>G881</f>
        <v>41366.100000000006</v>
      </c>
      <c r="H880" s="28">
        <f>H881</f>
        <v>40467.8</v>
      </c>
      <c r="I880" s="27">
        <f t="shared" si="53"/>
        <v>97.82841505483958</v>
      </c>
    </row>
    <row r="881" spans="1:9" ht="31.5">
      <c r="A881" s="26" t="s">
        <v>361</v>
      </c>
      <c r="B881" s="17">
        <v>908</v>
      </c>
      <c r="C881" s="21" t="s">
        <v>169</v>
      </c>
      <c r="D881" s="21" t="s">
        <v>191</v>
      </c>
      <c r="E881" s="21" t="s">
        <v>638</v>
      </c>
      <c r="F881" s="21"/>
      <c r="G881" s="28">
        <f>G882+G884+G886</f>
        <v>41366.100000000006</v>
      </c>
      <c r="H881" s="28">
        <f>H882+H884+H886</f>
        <v>40467.8</v>
      </c>
      <c r="I881" s="27">
        <f t="shared" si="53"/>
        <v>97.82841505483958</v>
      </c>
    </row>
    <row r="882" spans="1:9" ht="94.5">
      <c r="A882" s="26" t="s">
        <v>178</v>
      </c>
      <c r="B882" s="17">
        <v>908</v>
      </c>
      <c r="C882" s="21" t="s">
        <v>169</v>
      </c>
      <c r="D882" s="21" t="s">
        <v>191</v>
      </c>
      <c r="E882" s="21" t="s">
        <v>638</v>
      </c>
      <c r="F882" s="21" t="s">
        <v>179</v>
      </c>
      <c r="G882" s="28">
        <f>G883</f>
        <v>31889.4</v>
      </c>
      <c r="H882" s="28">
        <f>H883</f>
        <v>31636.7</v>
      </c>
      <c r="I882" s="27">
        <f t="shared" si="53"/>
        <v>99.20757367651947</v>
      </c>
    </row>
    <row r="883" spans="1:14" ht="31.5">
      <c r="A883" s="48" t="s">
        <v>393</v>
      </c>
      <c r="B883" s="17">
        <v>908</v>
      </c>
      <c r="C883" s="21" t="s">
        <v>169</v>
      </c>
      <c r="D883" s="21" t="s">
        <v>191</v>
      </c>
      <c r="E883" s="21" t="s">
        <v>638</v>
      </c>
      <c r="F883" s="21" t="s">
        <v>260</v>
      </c>
      <c r="G883" s="28">
        <f>24666+500-1100-300+107.4-300-1+2000+1000+782+2888.4-100-270+2016.6</f>
        <v>31889.4</v>
      </c>
      <c r="H883" s="28">
        <v>31636.7</v>
      </c>
      <c r="I883" s="27">
        <f t="shared" si="53"/>
        <v>99.20757367651947</v>
      </c>
      <c r="N883" s="304"/>
    </row>
    <row r="884" spans="1:14" ht="31.5">
      <c r="A884" s="26" t="s">
        <v>182</v>
      </c>
      <c r="B884" s="17">
        <v>908</v>
      </c>
      <c r="C884" s="21" t="s">
        <v>169</v>
      </c>
      <c r="D884" s="21" t="s">
        <v>191</v>
      </c>
      <c r="E884" s="21" t="s">
        <v>638</v>
      </c>
      <c r="F884" s="21" t="s">
        <v>183</v>
      </c>
      <c r="G884" s="28">
        <f>G885</f>
        <v>9317.9</v>
      </c>
      <c r="H884" s="28">
        <f>H885</f>
        <v>8673.8</v>
      </c>
      <c r="I884" s="27">
        <f t="shared" si="53"/>
        <v>93.08749825604481</v>
      </c>
      <c r="N884" s="294"/>
    </row>
    <row r="885" spans="1:14" ht="47.25">
      <c r="A885" s="26" t="s">
        <v>184</v>
      </c>
      <c r="B885" s="17">
        <v>908</v>
      </c>
      <c r="C885" s="21" t="s">
        <v>169</v>
      </c>
      <c r="D885" s="21" t="s">
        <v>191</v>
      </c>
      <c r="E885" s="21" t="s">
        <v>638</v>
      </c>
      <c r="F885" s="21" t="s">
        <v>185</v>
      </c>
      <c r="G885" s="28">
        <f>5529.6+1100+300+300+2000+140+1380.4-1800+100+270-0.7-1.4</f>
        <v>9317.9</v>
      </c>
      <c r="H885" s="28">
        <v>8673.8</v>
      </c>
      <c r="I885" s="27">
        <f t="shared" si="53"/>
        <v>93.08749825604481</v>
      </c>
      <c r="J885" s="209"/>
      <c r="K885" s="278"/>
      <c r="L885" s="278"/>
      <c r="M885" s="278"/>
      <c r="N885" s="278"/>
    </row>
    <row r="886" spans="1:9" ht="15.75">
      <c r="A886" s="26" t="s">
        <v>186</v>
      </c>
      <c r="B886" s="17">
        <v>908</v>
      </c>
      <c r="C886" s="21" t="s">
        <v>169</v>
      </c>
      <c r="D886" s="21" t="s">
        <v>191</v>
      </c>
      <c r="E886" s="21" t="s">
        <v>638</v>
      </c>
      <c r="F886" s="21" t="s">
        <v>196</v>
      </c>
      <c r="G886" s="28">
        <f>G887</f>
        <v>158.79999999999998</v>
      </c>
      <c r="H886" s="28">
        <f>H887</f>
        <v>157.3</v>
      </c>
      <c r="I886" s="27">
        <f t="shared" si="53"/>
        <v>99.05541561712849</v>
      </c>
    </row>
    <row r="887" spans="1:9" ht="15.75">
      <c r="A887" s="26" t="s">
        <v>793</v>
      </c>
      <c r="B887" s="17">
        <v>908</v>
      </c>
      <c r="C887" s="21" t="s">
        <v>169</v>
      </c>
      <c r="D887" s="21" t="s">
        <v>191</v>
      </c>
      <c r="E887" s="21" t="s">
        <v>638</v>
      </c>
      <c r="F887" s="21" t="s">
        <v>189</v>
      </c>
      <c r="G887" s="28">
        <f>50.5+47.2+40+1+18+0.7+1.4</f>
        <v>158.79999999999998</v>
      </c>
      <c r="H887" s="28">
        <v>157.3</v>
      </c>
      <c r="I887" s="27">
        <f t="shared" si="53"/>
        <v>99.05541561712849</v>
      </c>
    </row>
    <row r="888" spans="1:9" ht="31.5" hidden="1">
      <c r="A888" s="24" t="s">
        <v>273</v>
      </c>
      <c r="B888" s="20">
        <v>908</v>
      </c>
      <c r="C888" s="25" t="s">
        <v>266</v>
      </c>
      <c r="D888" s="25"/>
      <c r="E888" s="25"/>
      <c r="F888" s="25"/>
      <c r="G888" s="22">
        <f aca="true" t="shared" si="55" ref="G888:H893">G889</f>
        <v>0</v>
      </c>
      <c r="H888" s="22">
        <f t="shared" si="55"/>
        <v>0</v>
      </c>
      <c r="I888" s="22" t="e">
        <f t="shared" si="53"/>
        <v>#DIV/0!</v>
      </c>
    </row>
    <row r="889" spans="1:9" ht="63" hidden="1">
      <c r="A889" s="24" t="s">
        <v>274</v>
      </c>
      <c r="B889" s="20">
        <v>908</v>
      </c>
      <c r="C889" s="25" t="s">
        <v>266</v>
      </c>
      <c r="D889" s="25" t="s">
        <v>270</v>
      </c>
      <c r="E889" s="25"/>
      <c r="F889" s="25"/>
      <c r="G889" s="22">
        <f t="shared" si="55"/>
        <v>0</v>
      </c>
      <c r="H889" s="22">
        <f t="shared" si="55"/>
        <v>0</v>
      </c>
      <c r="I889" s="22" t="e">
        <f t="shared" si="53"/>
        <v>#DIV/0!</v>
      </c>
    </row>
    <row r="890" spans="1:9" ht="21.75" customHeight="1" hidden="1">
      <c r="A890" s="26" t="s">
        <v>172</v>
      </c>
      <c r="B890" s="17">
        <v>908</v>
      </c>
      <c r="C890" s="21" t="s">
        <v>266</v>
      </c>
      <c r="D890" s="21" t="s">
        <v>270</v>
      </c>
      <c r="E890" s="21" t="s">
        <v>173</v>
      </c>
      <c r="F890" s="21"/>
      <c r="G890" s="27">
        <f t="shared" si="55"/>
        <v>0</v>
      </c>
      <c r="H890" s="27">
        <f t="shared" si="55"/>
        <v>0</v>
      </c>
      <c r="I890" s="22" t="e">
        <f t="shared" si="53"/>
        <v>#DIV/0!</v>
      </c>
    </row>
    <row r="891" spans="1:9" ht="15.75" hidden="1">
      <c r="A891" s="26" t="s">
        <v>192</v>
      </c>
      <c r="B891" s="17">
        <v>908</v>
      </c>
      <c r="C891" s="21" t="s">
        <v>266</v>
      </c>
      <c r="D891" s="21" t="s">
        <v>270</v>
      </c>
      <c r="E891" s="21" t="s">
        <v>193</v>
      </c>
      <c r="F891" s="21"/>
      <c r="G891" s="27">
        <f t="shared" si="55"/>
        <v>0</v>
      </c>
      <c r="H891" s="27">
        <f t="shared" si="55"/>
        <v>0</v>
      </c>
      <c r="I891" s="22" t="e">
        <f t="shared" si="53"/>
        <v>#DIV/0!</v>
      </c>
    </row>
    <row r="892" spans="1:9" ht="15.75" hidden="1">
      <c r="A892" s="26" t="s">
        <v>281</v>
      </c>
      <c r="B892" s="17">
        <v>908</v>
      </c>
      <c r="C892" s="21" t="s">
        <v>266</v>
      </c>
      <c r="D892" s="21" t="s">
        <v>270</v>
      </c>
      <c r="E892" s="21" t="s">
        <v>282</v>
      </c>
      <c r="F892" s="21"/>
      <c r="G892" s="27">
        <f t="shared" si="55"/>
        <v>0</v>
      </c>
      <c r="H892" s="27">
        <f t="shared" si="55"/>
        <v>0</v>
      </c>
      <c r="I892" s="22" t="e">
        <f t="shared" si="53"/>
        <v>#DIV/0!</v>
      </c>
    </row>
    <row r="893" spans="1:9" ht="31.5" hidden="1">
      <c r="A893" s="26" t="s">
        <v>182</v>
      </c>
      <c r="B893" s="17">
        <v>908</v>
      </c>
      <c r="C893" s="21" t="s">
        <v>266</v>
      </c>
      <c r="D893" s="21" t="s">
        <v>270</v>
      </c>
      <c r="E893" s="21" t="s">
        <v>282</v>
      </c>
      <c r="F893" s="21" t="s">
        <v>183</v>
      </c>
      <c r="G893" s="27">
        <f t="shared" si="55"/>
        <v>0</v>
      </c>
      <c r="H893" s="27">
        <f t="shared" si="55"/>
        <v>0</v>
      </c>
      <c r="I893" s="22" t="e">
        <f t="shared" si="53"/>
        <v>#DIV/0!</v>
      </c>
    </row>
    <row r="894" spans="1:9" ht="47.25" hidden="1">
      <c r="A894" s="26" t="s">
        <v>184</v>
      </c>
      <c r="B894" s="17">
        <v>908</v>
      </c>
      <c r="C894" s="21" t="s">
        <v>266</v>
      </c>
      <c r="D894" s="21" t="s">
        <v>270</v>
      </c>
      <c r="E894" s="21" t="s">
        <v>282</v>
      </c>
      <c r="F894" s="21" t="s">
        <v>185</v>
      </c>
      <c r="G894" s="27">
        <v>0</v>
      </c>
      <c r="H894" s="27">
        <v>0</v>
      </c>
      <c r="I894" s="22" t="e">
        <f t="shared" si="53"/>
        <v>#DIV/0!</v>
      </c>
    </row>
    <row r="895" spans="1:9" ht="15.75">
      <c r="A895" s="24" t="s">
        <v>283</v>
      </c>
      <c r="B895" s="20">
        <v>908</v>
      </c>
      <c r="C895" s="25" t="s">
        <v>201</v>
      </c>
      <c r="D895" s="25"/>
      <c r="E895" s="25"/>
      <c r="F895" s="25"/>
      <c r="G895" s="22">
        <f>G896+G902</f>
        <v>8605.6</v>
      </c>
      <c r="H895" s="22">
        <f>H896+H902</f>
        <v>7570.9</v>
      </c>
      <c r="I895" s="22">
        <f t="shared" si="53"/>
        <v>87.97643394998605</v>
      </c>
    </row>
    <row r="896" spans="1:9" ht="15.75">
      <c r="A896" s="24" t="s">
        <v>557</v>
      </c>
      <c r="B896" s="20">
        <v>908</v>
      </c>
      <c r="C896" s="25" t="s">
        <v>201</v>
      </c>
      <c r="D896" s="25" t="s">
        <v>350</v>
      </c>
      <c r="E896" s="25"/>
      <c r="F896" s="25"/>
      <c r="G896" s="22">
        <f aca="true" t="shared" si="56" ref="G896:H900">G897</f>
        <v>3258.3</v>
      </c>
      <c r="H896" s="22">
        <f t="shared" si="56"/>
        <v>3232.9</v>
      </c>
      <c r="I896" s="22">
        <f t="shared" si="53"/>
        <v>99.22045238314459</v>
      </c>
    </row>
    <row r="897" spans="1:9" ht="15.75">
      <c r="A897" s="26" t="s">
        <v>172</v>
      </c>
      <c r="B897" s="17">
        <v>908</v>
      </c>
      <c r="C897" s="21" t="s">
        <v>201</v>
      </c>
      <c r="D897" s="21" t="s">
        <v>350</v>
      </c>
      <c r="E897" s="21" t="s">
        <v>173</v>
      </c>
      <c r="F897" s="25"/>
      <c r="G897" s="27">
        <f t="shared" si="56"/>
        <v>3258.3</v>
      </c>
      <c r="H897" s="27">
        <f t="shared" si="56"/>
        <v>3232.9</v>
      </c>
      <c r="I897" s="27">
        <f t="shared" si="53"/>
        <v>99.22045238314459</v>
      </c>
    </row>
    <row r="898" spans="1:9" ht="15.75">
      <c r="A898" s="26" t="s">
        <v>192</v>
      </c>
      <c r="B898" s="17">
        <v>908</v>
      </c>
      <c r="C898" s="21" t="s">
        <v>201</v>
      </c>
      <c r="D898" s="21" t="s">
        <v>350</v>
      </c>
      <c r="E898" s="21" t="s">
        <v>193</v>
      </c>
      <c r="F898" s="25"/>
      <c r="G898" s="27">
        <f t="shared" si="56"/>
        <v>3258.3</v>
      </c>
      <c r="H898" s="27">
        <f t="shared" si="56"/>
        <v>3232.9</v>
      </c>
      <c r="I898" s="27">
        <f t="shared" si="53"/>
        <v>99.22045238314459</v>
      </c>
    </row>
    <row r="899" spans="1:9" ht="39" customHeight="1">
      <c r="A899" s="26" t="s">
        <v>558</v>
      </c>
      <c r="B899" s="17">
        <v>908</v>
      </c>
      <c r="C899" s="21" t="s">
        <v>201</v>
      </c>
      <c r="D899" s="21" t="s">
        <v>350</v>
      </c>
      <c r="E899" s="21" t="s">
        <v>559</v>
      </c>
      <c r="F899" s="21"/>
      <c r="G899" s="27">
        <f t="shared" si="56"/>
        <v>3258.3</v>
      </c>
      <c r="H899" s="27">
        <f t="shared" si="56"/>
        <v>3232.9</v>
      </c>
      <c r="I899" s="27">
        <f t="shared" si="53"/>
        <v>99.22045238314459</v>
      </c>
    </row>
    <row r="900" spans="1:9" ht="31.5">
      <c r="A900" s="26" t="s">
        <v>182</v>
      </c>
      <c r="B900" s="17">
        <v>908</v>
      </c>
      <c r="C900" s="21" t="s">
        <v>201</v>
      </c>
      <c r="D900" s="21" t="s">
        <v>350</v>
      </c>
      <c r="E900" s="21" t="s">
        <v>559</v>
      </c>
      <c r="F900" s="21" t="s">
        <v>183</v>
      </c>
      <c r="G900" s="27">
        <f t="shared" si="56"/>
        <v>3258.3</v>
      </c>
      <c r="H900" s="27">
        <f t="shared" si="56"/>
        <v>3232.9</v>
      </c>
      <c r="I900" s="27">
        <f t="shared" si="53"/>
        <v>99.22045238314459</v>
      </c>
    </row>
    <row r="901" spans="1:9" ht="47.25">
      <c r="A901" s="26" t="s">
        <v>184</v>
      </c>
      <c r="B901" s="17">
        <v>908</v>
      </c>
      <c r="C901" s="21" t="s">
        <v>201</v>
      </c>
      <c r="D901" s="21" t="s">
        <v>350</v>
      </c>
      <c r="E901" s="21" t="s">
        <v>559</v>
      </c>
      <c r="F901" s="21" t="s">
        <v>185</v>
      </c>
      <c r="G901" s="27">
        <f>3207.7+25.3+25.3</f>
        <v>3258.3</v>
      </c>
      <c r="H901" s="27">
        <v>3232.9</v>
      </c>
      <c r="I901" s="27">
        <f t="shared" si="53"/>
        <v>99.22045238314459</v>
      </c>
    </row>
    <row r="902" spans="1:9" ht="15.75">
      <c r="A902" s="24" t="s">
        <v>560</v>
      </c>
      <c r="B902" s="20">
        <v>908</v>
      </c>
      <c r="C902" s="25" t="s">
        <v>201</v>
      </c>
      <c r="D902" s="25" t="s">
        <v>270</v>
      </c>
      <c r="E902" s="21"/>
      <c r="F902" s="25"/>
      <c r="G902" s="22">
        <f>G903</f>
        <v>5347.3</v>
      </c>
      <c r="H902" s="22">
        <f>H903</f>
        <v>4338</v>
      </c>
      <c r="I902" s="22">
        <f t="shared" si="53"/>
        <v>81.12505376545171</v>
      </c>
    </row>
    <row r="903" spans="1:9" ht="47.25">
      <c r="A903" s="33" t="s">
        <v>987</v>
      </c>
      <c r="B903" s="17">
        <v>908</v>
      </c>
      <c r="C903" s="21" t="s">
        <v>201</v>
      </c>
      <c r="D903" s="21" t="s">
        <v>270</v>
      </c>
      <c r="E903" s="21" t="s">
        <v>562</v>
      </c>
      <c r="F903" s="21"/>
      <c r="G903" s="27">
        <f>G904</f>
        <v>5347.3</v>
      </c>
      <c r="H903" s="27">
        <f>H904</f>
        <v>4338</v>
      </c>
      <c r="I903" s="27">
        <f t="shared" si="53"/>
        <v>81.12505376545171</v>
      </c>
    </row>
    <row r="904" spans="1:9" ht="15.75">
      <c r="A904" s="31" t="s">
        <v>563</v>
      </c>
      <c r="B904" s="17">
        <v>908</v>
      </c>
      <c r="C904" s="21" t="s">
        <v>201</v>
      </c>
      <c r="D904" s="21" t="s">
        <v>270</v>
      </c>
      <c r="E904" s="42" t="s">
        <v>564</v>
      </c>
      <c r="F904" s="21"/>
      <c r="G904" s="27">
        <f>G905+G907</f>
        <v>5347.3</v>
      </c>
      <c r="H904" s="27">
        <f>H905+H907</f>
        <v>4338</v>
      </c>
      <c r="I904" s="27">
        <f t="shared" si="53"/>
        <v>81.12505376545171</v>
      </c>
    </row>
    <row r="905" spans="1:9" ht="31.5">
      <c r="A905" s="26" t="s">
        <v>182</v>
      </c>
      <c r="B905" s="17">
        <v>908</v>
      </c>
      <c r="C905" s="21" t="s">
        <v>201</v>
      </c>
      <c r="D905" s="21" t="s">
        <v>270</v>
      </c>
      <c r="E905" s="42" t="s">
        <v>564</v>
      </c>
      <c r="F905" s="21" t="s">
        <v>183</v>
      </c>
      <c r="G905" s="27">
        <f>G906</f>
        <v>5331.3</v>
      </c>
      <c r="H905" s="27">
        <f>H906</f>
        <v>4338</v>
      </c>
      <c r="I905" s="27">
        <f t="shared" si="53"/>
        <v>81.36852174891676</v>
      </c>
    </row>
    <row r="906" spans="1:10" ht="47.25">
      <c r="A906" s="26" t="s">
        <v>184</v>
      </c>
      <c r="B906" s="17">
        <v>908</v>
      </c>
      <c r="C906" s="21" t="s">
        <v>201</v>
      </c>
      <c r="D906" s="21" t="s">
        <v>270</v>
      </c>
      <c r="E906" s="42" t="s">
        <v>564</v>
      </c>
      <c r="F906" s="21" t="s">
        <v>185</v>
      </c>
      <c r="G906" s="27">
        <f>6904.6-25.3-1548</f>
        <v>5331.3</v>
      </c>
      <c r="H906" s="27">
        <v>4338</v>
      </c>
      <c r="I906" s="27">
        <f t="shared" si="53"/>
        <v>81.36852174891676</v>
      </c>
      <c r="J906" s="277"/>
    </row>
    <row r="907" spans="1:9" ht="15.75">
      <c r="A907" s="26" t="s">
        <v>186</v>
      </c>
      <c r="B907" s="17">
        <v>908</v>
      </c>
      <c r="C907" s="21" t="s">
        <v>201</v>
      </c>
      <c r="D907" s="21" t="s">
        <v>270</v>
      </c>
      <c r="E907" s="42" t="s">
        <v>564</v>
      </c>
      <c r="F907" s="21" t="s">
        <v>196</v>
      </c>
      <c r="G907" s="27">
        <f>G908</f>
        <v>16</v>
      </c>
      <c r="H907" s="27">
        <f>H908</f>
        <v>0</v>
      </c>
      <c r="I907" s="27">
        <f aca="true" t="shared" si="57" ref="I907:I970">H907/G907*100</f>
        <v>0</v>
      </c>
    </row>
    <row r="908" spans="1:9" ht="15.75">
      <c r="A908" s="26" t="s">
        <v>620</v>
      </c>
      <c r="B908" s="17">
        <v>908</v>
      </c>
      <c r="C908" s="21" t="s">
        <v>201</v>
      </c>
      <c r="D908" s="21" t="s">
        <v>270</v>
      </c>
      <c r="E908" s="42" t="s">
        <v>564</v>
      </c>
      <c r="F908" s="21" t="s">
        <v>189</v>
      </c>
      <c r="G908" s="27">
        <f>10+6</f>
        <v>16</v>
      </c>
      <c r="H908" s="27">
        <v>0</v>
      </c>
      <c r="I908" s="27">
        <f t="shared" si="57"/>
        <v>0</v>
      </c>
    </row>
    <row r="909" spans="1:9" ht="15.75">
      <c r="A909" s="24" t="s">
        <v>442</v>
      </c>
      <c r="B909" s="20">
        <v>908</v>
      </c>
      <c r="C909" s="25" t="s">
        <v>285</v>
      </c>
      <c r="D909" s="25"/>
      <c r="E909" s="25"/>
      <c r="F909" s="25"/>
      <c r="G909" s="22">
        <f>G910+G926+G1001+G1061</f>
        <v>151652.68</v>
      </c>
      <c r="H909" s="22">
        <f>H910+H926+H1001+H1061</f>
        <v>143864.3</v>
      </c>
      <c r="I909" s="22">
        <f t="shared" si="57"/>
        <v>94.86433078531813</v>
      </c>
    </row>
    <row r="910" spans="1:9" ht="15.75">
      <c r="A910" s="24" t="s">
        <v>443</v>
      </c>
      <c r="B910" s="20">
        <v>908</v>
      </c>
      <c r="C910" s="25" t="s">
        <v>285</v>
      </c>
      <c r="D910" s="25" t="s">
        <v>169</v>
      </c>
      <c r="E910" s="25"/>
      <c r="F910" s="25"/>
      <c r="G910" s="22">
        <f>G911</f>
        <v>7340.9</v>
      </c>
      <c r="H910" s="22">
        <f>H911</f>
        <v>7123.700000000001</v>
      </c>
      <c r="I910" s="22">
        <f t="shared" si="57"/>
        <v>97.0412347259873</v>
      </c>
    </row>
    <row r="911" spans="1:9" ht="15.75">
      <c r="A911" s="26" t="s">
        <v>172</v>
      </c>
      <c r="B911" s="17">
        <v>908</v>
      </c>
      <c r="C911" s="21" t="s">
        <v>285</v>
      </c>
      <c r="D911" s="21" t="s">
        <v>169</v>
      </c>
      <c r="E911" s="21" t="s">
        <v>173</v>
      </c>
      <c r="F911" s="21"/>
      <c r="G911" s="27">
        <f>G916</f>
        <v>7340.9</v>
      </c>
      <c r="H911" s="27">
        <f>H916</f>
        <v>7123.700000000001</v>
      </c>
      <c r="I911" s="27">
        <f t="shared" si="57"/>
        <v>97.0412347259873</v>
      </c>
    </row>
    <row r="912" spans="1:9" ht="31.5" customHeight="1" hidden="1">
      <c r="A912" s="26" t="s">
        <v>236</v>
      </c>
      <c r="B912" s="17">
        <v>908</v>
      </c>
      <c r="C912" s="21" t="s">
        <v>285</v>
      </c>
      <c r="D912" s="21" t="s">
        <v>169</v>
      </c>
      <c r="E912" s="21" t="s">
        <v>237</v>
      </c>
      <c r="F912" s="21"/>
      <c r="G912" s="27">
        <f aca="true" t="shared" si="58" ref="G912:H914">G913</f>
        <v>0</v>
      </c>
      <c r="H912" s="27">
        <f t="shared" si="58"/>
        <v>0</v>
      </c>
      <c r="I912" s="27" t="e">
        <f t="shared" si="57"/>
        <v>#DIV/0!</v>
      </c>
    </row>
    <row r="913" spans="1:9" ht="15.75" customHeight="1" hidden="1">
      <c r="A913" s="26" t="s">
        <v>565</v>
      </c>
      <c r="B913" s="17">
        <v>908</v>
      </c>
      <c r="C913" s="21" t="s">
        <v>285</v>
      </c>
      <c r="D913" s="21" t="s">
        <v>169</v>
      </c>
      <c r="E913" s="21" t="s">
        <v>566</v>
      </c>
      <c r="F913" s="21"/>
      <c r="G913" s="27">
        <f t="shared" si="58"/>
        <v>0</v>
      </c>
      <c r="H913" s="27">
        <f t="shared" si="58"/>
        <v>0</v>
      </c>
      <c r="I913" s="27" t="e">
        <f t="shared" si="57"/>
        <v>#DIV/0!</v>
      </c>
    </row>
    <row r="914" spans="1:9" ht="15.75" customHeight="1" hidden="1">
      <c r="A914" s="26" t="s">
        <v>186</v>
      </c>
      <c r="B914" s="17">
        <v>908</v>
      </c>
      <c r="C914" s="21" t="s">
        <v>285</v>
      </c>
      <c r="D914" s="21" t="s">
        <v>169</v>
      </c>
      <c r="E914" s="21" t="s">
        <v>566</v>
      </c>
      <c r="F914" s="21" t="s">
        <v>196</v>
      </c>
      <c r="G914" s="27">
        <f t="shared" si="58"/>
        <v>0</v>
      </c>
      <c r="H914" s="27">
        <f t="shared" si="58"/>
        <v>0</v>
      </c>
      <c r="I914" s="27" t="e">
        <f t="shared" si="57"/>
        <v>#DIV/0!</v>
      </c>
    </row>
    <row r="915" spans="1:9" ht="63" customHeight="1" hidden="1">
      <c r="A915" s="26" t="s">
        <v>235</v>
      </c>
      <c r="B915" s="17">
        <v>908</v>
      </c>
      <c r="C915" s="21" t="s">
        <v>285</v>
      </c>
      <c r="D915" s="21" t="s">
        <v>169</v>
      </c>
      <c r="E915" s="21" t="s">
        <v>566</v>
      </c>
      <c r="F915" s="21" t="s">
        <v>211</v>
      </c>
      <c r="G915" s="27">
        <v>0</v>
      </c>
      <c r="H915" s="27">
        <v>0</v>
      </c>
      <c r="I915" s="27" t="e">
        <f t="shared" si="57"/>
        <v>#DIV/0!</v>
      </c>
    </row>
    <row r="916" spans="1:9" ht="15.75">
      <c r="A916" s="26" t="s">
        <v>192</v>
      </c>
      <c r="B916" s="17">
        <v>908</v>
      </c>
      <c r="C916" s="21" t="s">
        <v>285</v>
      </c>
      <c r="D916" s="21" t="s">
        <v>169</v>
      </c>
      <c r="E916" s="21" t="s">
        <v>193</v>
      </c>
      <c r="F916" s="25"/>
      <c r="G916" s="27">
        <f>G923+G920+G917</f>
        <v>7340.9</v>
      </c>
      <c r="H916" s="27">
        <f>H923+H920+H917</f>
        <v>7123.700000000001</v>
      </c>
      <c r="I916" s="27">
        <f t="shared" si="57"/>
        <v>97.0412347259873</v>
      </c>
    </row>
    <row r="917" spans="1:9" ht="15.75">
      <c r="A917" s="26" t="s">
        <v>567</v>
      </c>
      <c r="B917" s="17">
        <v>908</v>
      </c>
      <c r="C917" s="21" t="s">
        <v>923</v>
      </c>
      <c r="D917" s="21" t="s">
        <v>169</v>
      </c>
      <c r="E917" s="21" t="s">
        <v>568</v>
      </c>
      <c r="F917" s="25"/>
      <c r="G917" s="27">
        <f>G918</f>
        <v>2040.8999999999999</v>
      </c>
      <c r="H917" s="27">
        <f>H918</f>
        <v>1924.4</v>
      </c>
      <c r="I917" s="27">
        <f t="shared" si="57"/>
        <v>94.29173403890442</v>
      </c>
    </row>
    <row r="918" spans="1:9" ht="15.75">
      <c r="A918" s="26" t="s">
        <v>186</v>
      </c>
      <c r="B918" s="17">
        <v>908</v>
      </c>
      <c r="C918" s="21" t="s">
        <v>285</v>
      </c>
      <c r="D918" s="21" t="s">
        <v>169</v>
      </c>
      <c r="E918" s="21" t="s">
        <v>568</v>
      </c>
      <c r="F918" s="21" t="s">
        <v>196</v>
      </c>
      <c r="G918" s="27">
        <f>G919</f>
        <v>2040.8999999999999</v>
      </c>
      <c r="H918" s="27">
        <f>H919</f>
        <v>1924.4</v>
      </c>
      <c r="I918" s="27">
        <f t="shared" si="57"/>
        <v>94.29173403890442</v>
      </c>
    </row>
    <row r="919" spans="1:9" ht="48.75" customHeight="1">
      <c r="A919" s="26" t="s">
        <v>235</v>
      </c>
      <c r="B919" s="17">
        <v>908</v>
      </c>
      <c r="C919" s="21" t="s">
        <v>285</v>
      </c>
      <c r="D919" s="21" t="s">
        <v>169</v>
      </c>
      <c r="E919" s="21" t="s">
        <v>568</v>
      </c>
      <c r="F919" s="21" t="s">
        <v>211</v>
      </c>
      <c r="G919" s="27">
        <f>515.3+1525.6</f>
        <v>2040.8999999999999</v>
      </c>
      <c r="H919" s="27">
        <v>1924.4</v>
      </c>
      <c r="I919" s="27">
        <f t="shared" si="57"/>
        <v>94.29173403890442</v>
      </c>
    </row>
    <row r="920" spans="1:9" ht="31.5">
      <c r="A920" s="31" t="s">
        <v>450</v>
      </c>
      <c r="B920" s="17">
        <v>908</v>
      </c>
      <c r="C920" s="21" t="s">
        <v>285</v>
      </c>
      <c r="D920" s="21" t="s">
        <v>169</v>
      </c>
      <c r="E920" s="21" t="s">
        <v>451</v>
      </c>
      <c r="F920" s="25"/>
      <c r="G920" s="27">
        <f>G921</f>
        <v>4017.6000000000004</v>
      </c>
      <c r="H920" s="27">
        <f>H921</f>
        <v>3935</v>
      </c>
      <c r="I920" s="27">
        <f t="shared" si="57"/>
        <v>97.94404619673436</v>
      </c>
    </row>
    <row r="921" spans="1:9" ht="31.5">
      <c r="A921" s="26" t="s">
        <v>182</v>
      </c>
      <c r="B921" s="17">
        <v>908</v>
      </c>
      <c r="C921" s="21" t="s">
        <v>285</v>
      </c>
      <c r="D921" s="21" t="s">
        <v>169</v>
      </c>
      <c r="E921" s="21" t="s">
        <v>451</v>
      </c>
      <c r="F921" s="21" t="s">
        <v>183</v>
      </c>
      <c r="G921" s="27">
        <f>G922</f>
        <v>4017.6000000000004</v>
      </c>
      <c r="H921" s="27">
        <f>H922</f>
        <v>3935</v>
      </c>
      <c r="I921" s="27">
        <f t="shared" si="57"/>
        <v>97.94404619673436</v>
      </c>
    </row>
    <row r="922" spans="1:15" ht="47.25">
      <c r="A922" s="26" t="s">
        <v>184</v>
      </c>
      <c r="B922" s="17">
        <v>908</v>
      </c>
      <c r="C922" s="21" t="s">
        <v>285</v>
      </c>
      <c r="D922" s="21" t="s">
        <v>169</v>
      </c>
      <c r="E922" s="21" t="s">
        <v>451</v>
      </c>
      <c r="F922" s="21" t="s">
        <v>185</v>
      </c>
      <c r="G922" s="28">
        <f>4117.6-100</f>
        <v>4017.6000000000004</v>
      </c>
      <c r="H922" s="28">
        <v>3935</v>
      </c>
      <c r="I922" s="27">
        <f t="shared" si="57"/>
        <v>97.94404619673436</v>
      </c>
      <c r="N922" s="281"/>
      <c r="O922" s="281"/>
    </row>
    <row r="923" spans="1:9" ht="15.75">
      <c r="A923" s="26" t="s">
        <v>591</v>
      </c>
      <c r="B923" s="17">
        <v>908</v>
      </c>
      <c r="C923" s="21" t="s">
        <v>285</v>
      </c>
      <c r="D923" s="21" t="s">
        <v>169</v>
      </c>
      <c r="E923" s="21" t="s">
        <v>592</v>
      </c>
      <c r="F923" s="25"/>
      <c r="G923" s="27">
        <f>G924</f>
        <v>1282.4</v>
      </c>
      <c r="H923" s="27">
        <f>H924</f>
        <v>1264.3</v>
      </c>
      <c r="I923" s="27">
        <f t="shared" si="57"/>
        <v>98.58858390517779</v>
      </c>
    </row>
    <row r="924" spans="1:9" ht="31.5">
      <c r="A924" s="26" t="s">
        <v>182</v>
      </c>
      <c r="B924" s="17">
        <v>908</v>
      </c>
      <c r="C924" s="21" t="s">
        <v>285</v>
      </c>
      <c r="D924" s="21" t="s">
        <v>169</v>
      </c>
      <c r="E924" s="21" t="s">
        <v>592</v>
      </c>
      <c r="F924" s="21" t="s">
        <v>183</v>
      </c>
      <c r="G924" s="27">
        <f>G925</f>
        <v>1282.4</v>
      </c>
      <c r="H924" s="27">
        <f>H925</f>
        <v>1264.3</v>
      </c>
      <c r="I924" s="27">
        <f t="shared" si="57"/>
        <v>98.58858390517779</v>
      </c>
    </row>
    <row r="925" spans="1:9" ht="47.25">
      <c r="A925" s="26" t="s">
        <v>184</v>
      </c>
      <c r="B925" s="17">
        <v>908</v>
      </c>
      <c r="C925" s="21" t="s">
        <v>285</v>
      </c>
      <c r="D925" s="21" t="s">
        <v>169</v>
      </c>
      <c r="E925" s="21" t="s">
        <v>592</v>
      </c>
      <c r="F925" s="21" t="s">
        <v>185</v>
      </c>
      <c r="G925" s="27">
        <f>100+1400-217.6</f>
        <v>1282.4</v>
      </c>
      <c r="H925" s="27">
        <v>1264.3</v>
      </c>
      <c r="I925" s="27">
        <f t="shared" si="57"/>
        <v>98.58858390517779</v>
      </c>
    </row>
    <row r="926" spans="1:9" ht="15.75">
      <c r="A926" s="24" t="s">
        <v>569</v>
      </c>
      <c r="B926" s="20">
        <v>908</v>
      </c>
      <c r="C926" s="25" t="s">
        <v>285</v>
      </c>
      <c r="D926" s="25" t="s">
        <v>264</v>
      </c>
      <c r="E926" s="25"/>
      <c r="F926" s="25"/>
      <c r="G926" s="22">
        <f>G927+G956</f>
        <v>103836.4</v>
      </c>
      <c r="H926" s="22">
        <f>H927+H956</f>
        <v>99820.6</v>
      </c>
      <c r="I926" s="22">
        <f t="shared" si="57"/>
        <v>96.13257008139729</v>
      </c>
    </row>
    <row r="927" spans="1:13" ht="82.5" customHeight="1">
      <c r="A927" s="26" t="s">
        <v>654</v>
      </c>
      <c r="B927" s="17">
        <v>908</v>
      </c>
      <c r="C927" s="21" t="s">
        <v>285</v>
      </c>
      <c r="D927" s="21" t="s">
        <v>264</v>
      </c>
      <c r="E927" s="21" t="s">
        <v>570</v>
      </c>
      <c r="F927" s="25"/>
      <c r="G927" s="27">
        <f>G931+G934+G939+G944+G947+G953+G950</f>
        <v>6712</v>
      </c>
      <c r="H927" s="27">
        <f>H931+H934+H939+H944+H947+H953+H950</f>
        <v>6168.099999999999</v>
      </c>
      <c r="I927" s="27">
        <f t="shared" si="57"/>
        <v>91.89660309892729</v>
      </c>
      <c r="M927" s="281"/>
    </row>
    <row r="928" spans="1:9" ht="47.25" customHeight="1" hidden="1">
      <c r="A928" s="37" t="s">
        <v>571</v>
      </c>
      <c r="B928" s="17">
        <v>908</v>
      </c>
      <c r="C928" s="21" t="s">
        <v>285</v>
      </c>
      <c r="D928" s="21" t="s">
        <v>264</v>
      </c>
      <c r="E928" s="21" t="s">
        <v>572</v>
      </c>
      <c r="F928" s="21"/>
      <c r="G928" s="27">
        <f>G929</f>
        <v>0</v>
      </c>
      <c r="H928" s="27">
        <f>H929</f>
        <v>0</v>
      </c>
      <c r="I928" s="27" t="e">
        <f t="shared" si="57"/>
        <v>#DIV/0!</v>
      </c>
    </row>
    <row r="929" spans="1:9" ht="31.5" customHeight="1" hidden="1">
      <c r="A929" s="26" t="s">
        <v>182</v>
      </c>
      <c r="B929" s="17">
        <v>908</v>
      </c>
      <c r="C929" s="21" t="s">
        <v>285</v>
      </c>
      <c r="D929" s="21" t="s">
        <v>264</v>
      </c>
      <c r="E929" s="21" t="s">
        <v>572</v>
      </c>
      <c r="F929" s="21" t="s">
        <v>183</v>
      </c>
      <c r="G929" s="27">
        <f>G930</f>
        <v>0</v>
      </c>
      <c r="H929" s="27">
        <f>H930</f>
        <v>0</v>
      </c>
      <c r="I929" s="27" t="e">
        <f t="shared" si="57"/>
        <v>#DIV/0!</v>
      </c>
    </row>
    <row r="930" spans="1:9" ht="47.25" customHeight="1" hidden="1">
      <c r="A930" s="26" t="s">
        <v>184</v>
      </c>
      <c r="B930" s="17">
        <v>908</v>
      </c>
      <c r="C930" s="21" t="s">
        <v>285</v>
      </c>
      <c r="D930" s="21" t="s">
        <v>264</v>
      </c>
      <c r="E930" s="21" t="s">
        <v>572</v>
      </c>
      <c r="F930" s="21" t="s">
        <v>185</v>
      </c>
      <c r="G930" s="27">
        <v>0</v>
      </c>
      <c r="H930" s="27">
        <v>0</v>
      </c>
      <c r="I930" s="27" t="e">
        <f t="shared" si="57"/>
        <v>#DIV/0!</v>
      </c>
    </row>
    <row r="931" spans="1:9" ht="15.75">
      <c r="A931" s="47" t="s">
        <v>573</v>
      </c>
      <c r="B931" s="17">
        <v>908</v>
      </c>
      <c r="C931" s="42" t="s">
        <v>285</v>
      </c>
      <c r="D931" s="42" t="s">
        <v>264</v>
      </c>
      <c r="E931" s="21" t="s">
        <v>574</v>
      </c>
      <c r="F931" s="42"/>
      <c r="G931" s="27">
        <f>G932</f>
        <v>2407.7</v>
      </c>
      <c r="H931" s="27">
        <f>H932</f>
        <v>2375.3</v>
      </c>
      <c r="I931" s="27">
        <f t="shared" si="57"/>
        <v>98.65431739834698</v>
      </c>
    </row>
    <row r="932" spans="1:9" ht="31.5">
      <c r="A932" s="33" t="s">
        <v>182</v>
      </c>
      <c r="B932" s="17">
        <v>908</v>
      </c>
      <c r="C932" s="42" t="s">
        <v>285</v>
      </c>
      <c r="D932" s="42" t="s">
        <v>264</v>
      </c>
      <c r="E932" s="21" t="s">
        <v>574</v>
      </c>
      <c r="F932" s="42" t="s">
        <v>183</v>
      </c>
      <c r="G932" s="27">
        <f>G933</f>
        <v>2407.7</v>
      </c>
      <c r="H932" s="27">
        <f>H933</f>
        <v>2375.3</v>
      </c>
      <c r="I932" s="27">
        <f t="shared" si="57"/>
        <v>98.65431739834698</v>
      </c>
    </row>
    <row r="933" spans="1:10" ht="47.25">
      <c r="A933" s="33" t="s">
        <v>184</v>
      </c>
      <c r="B933" s="17">
        <v>908</v>
      </c>
      <c r="C933" s="42" t="s">
        <v>285</v>
      </c>
      <c r="D933" s="42" t="s">
        <v>264</v>
      </c>
      <c r="E933" s="21" t="s">
        <v>574</v>
      </c>
      <c r="F933" s="42" t="s">
        <v>185</v>
      </c>
      <c r="G933" s="27">
        <f>450+1200+78.5+169+81-390+490+3232-2902.8</f>
        <v>2407.7</v>
      </c>
      <c r="H933" s="27">
        <v>2375.3</v>
      </c>
      <c r="I933" s="27">
        <f t="shared" si="57"/>
        <v>98.65431739834698</v>
      </c>
      <c r="J933" s="301"/>
    </row>
    <row r="934" spans="1:9" ht="15.75">
      <c r="A934" s="47" t="s">
        <v>575</v>
      </c>
      <c r="B934" s="17">
        <v>908</v>
      </c>
      <c r="C934" s="42" t="s">
        <v>285</v>
      </c>
      <c r="D934" s="42" t="s">
        <v>264</v>
      </c>
      <c r="E934" s="21" t="s">
        <v>576</v>
      </c>
      <c r="F934" s="42"/>
      <c r="G934" s="27">
        <f>G935+G937</f>
        <v>83.1</v>
      </c>
      <c r="H934" s="27">
        <f>H935+H937</f>
        <v>83</v>
      </c>
      <c r="I934" s="27">
        <f t="shared" si="57"/>
        <v>99.87966305655837</v>
      </c>
    </row>
    <row r="935" spans="1:9" ht="31.5">
      <c r="A935" s="33" t="s">
        <v>182</v>
      </c>
      <c r="B935" s="17">
        <v>908</v>
      </c>
      <c r="C935" s="42" t="s">
        <v>285</v>
      </c>
      <c r="D935" s="42" t="s">
        <v>264</v>
      </c>
      <c r="E935" s="21" t="s">
        <v>576</v>
      </c>
      <c r="F935" s="42" t="s">
        <v>183</v>
      </c>
      <c r="G935" s="27">
        <f>G936</f>
        <v>42.5</v>
      </c>
      <c r="H935" s="27">
        <f>H936</f>
        <v>42.5</v>
      </c>
      <c r="I935" s="27">
        <f t="shared" si="57"/>
        <v>100</v>
      </c>
    </row>
    <row r="936" spans="1:9" ht="47.25">
      <c r="A936" s="33" t="s">
        <v>184</v>
      </c>
      <c r="B936" s="17">
        <v>908</v>
      </c>
      <c r="C936" s="42" t="s">
        <v>285</v>
      </c>
      <c r="D936" s="42" t="s">
        <v>264</v>
      </c>
      <c r="E936" s="21" t="s">
        <v>576</v>
      </c>
      <c r="F936" s="42" t="s">
        <v>185</v>
      </c>
      <c r="G936" s="7">
        <f>160+440+200-800+42.5</f>
        <v>42.5</v>
      </c>
      <c r="H936" s="7">
        <v>42.5</v>
      </c>
      <c r="I936" s="27">
        <f t="shared" si="57"/>
        <v>100</v>
      </c>
    </row>
    <row r="937" spans="1:9" ht="15.75">
      <c r="A937" s="26" t="s">
        <v>186</v>
      </c>
      <c r="B937" s="17">
        <v>908</v>
      </c>
      <c r="C937" s="42" t="s">
        <v>285</v>
      </c>
      <c r="D937" s="42" t="s">
        <v>264</v>
      </c>
      <c r="E937" s="21" t="s">
        <v>576</v>
      </c>
      <c r="F937" s="42" t="s">
        <v>196</v>
      </c>
      <c r="G937" s="7">
        <f>G938</f>
        <v>40.6</v>
      </c>
      <c r="H937" s="7">
        <f>H938</f>
        <v>40.5</v>
      </c>
      <c r="I937" s="27">
        <f t="shared" si="57"/>
        <v>99.75369458128078</v>
      </c>
    </row>
    <row r="938" spans="1:9" ht="15.75">
      <c r="A938" s="26" t="s">
        <v>197</v>
      </c>
      <c r="B938" s="17">
        <v>908</v>
      </c>
      <c r="C938" s="42" t="s">
        <v>285</v>
      </c>
      <c r="D938" s="42" t="s">
        <v>264</v>
      </c>
      <c r="E938" s="21" t="s">
        <v>576</v>
      </c>
      <c r="F938" s="42" t="s">
        <v>198</v>
      </c>
      <c r="G938" s="7">
        <v>40.6</v>
      </c>
      <c r="H938" s="7">
        <v>40.5</v>
      </c>
      <c r="I938" s="27">
        <f t="shared" si="57"/>
        <v>99.75369458128078</v>
      </c>
    </row>
    <row r="939" spans="1:9" ht="15.75">
      <c r="A939" s="47" t="s">
        <v>577</v>
      </c>
      <c r="B939" s="17">
        <v>908</v>
      </c>
      <c r="C939" s="42" t="s">
        <v>285</v>
      </c>
      <c r="D939" s="42" t="s">
        <v>264</v>
      </c>
      <c r="E939" s="21" t="s">
        <v>578</v>
      </c>
      <c r="F939" s="42"/>
      <c r="G939" s="27">
        <f>G940+G942</f>
        <v>1093.8</v>
      </c>
      <c r="H939" s="27">
        <f>H940+H942</f>
        <v>1093.7</v>
      </c>
      <c r="I939" s="27">
        <f t="shared" si="57"/>
        <v>99.99085756079722</v>
      </c>
    </row>
    <row r="940" spans="1:9" ht="31.5">
      <c r="A940" s="33" t="s">
        <v>182</v>
      </c>
      <c r="B940" s="17">
        <v>908</v>
      </c>
      <c r="C940" s="42" t="s">
        <v>285</v>
      </c>
      <c r="D940" s="42" t="s">
        <v>264</v>
      </c>
      <c r="E940" s="21" t="s">
        <v>578</v>
      </c>
      <c r="F940" s="42" t="s">
        <v>183</v>
      </c>
      <c r="G940" s="27">
        <f>G941</f>
        <v>1093</v>
      </c>
      <c r="H940" s="27">
        <f>H941</f>
        <v>1093</v>
      </c>
      <c r="I940" s="27">
        <f t="shared" si="57"/>
        <v>100</v>
      </c>
    </row>
    <row r="941" spans="1:9" ht="47.25">
      <c r="A941" s="33" t="s">
        <v>184</v>
      </c>
      <c r="B941" s="17">
        <v>908</v>
      </c>
      <c r="C941" s="42" t="s">
        <v>285</v>
      </c>
      <c r="D941" s="42" t="s">
        <v>264</v>
      </c>
      <c r="E941" s="21" t="s">
        <v>578</v>
      </c>
      <c r="F941" s="42" t="s">
        <v>185</v>
      </c>
      <c r="G941" s="7">
        <f>40+627+1150-637-0.8-630+390+300+194.7+200-540.9</f>
        <v>1093</v>
      </c>
      <c r="H941" s="7">
        <v>1093</v>
      </c>
      <c r="I941" s="27">
        <f t="shared" si="57"/>
        <v>100</v>
      </c>
    </row>
    <row r="942" spans="1:9" ht="15.75">
      <c r="A942" s="26" t="s">
        <v>186</v>
      </c>
      <c r="B942" s="17">
        <v>908</v>
      </c>
      <c r="C942" s="42" t="s">
        <v>285</v>
      </c>
      <c r="D942" s="42" t="s">
        <v>264</v>
      </c>
      <c r="E942" s="21" t="s">
        <v>578</v>
      </c>
      <c r="F942" s="42" t="s">
        <v>196</v>
      </c>
      <c r="G942" s="7">
        <f>G943</f>
        <v>0.8</v>
      </c>
      <c r="H942" s="7">
        <f>H943</f>
        <v>0.7</v>
      </c>
      <c r="I942" s="27">
        <f t="shared" si="57"/>
        <v>87.49999999999999</v>
      </c>
    </row>
    <row r="943" spans="1:9" ht="15.75">
      <c r="A943" s="26" t="s">
        <v>793</v>
      </c>
      <c r="B943" s="17">
        <v>908</v>
      </c>
      <c r="C943" s="42" t="s">
        <v>285</v>
      </c>
      <c r="D943" s="42" t="s">
        <v>264</v>
      </c>
      <c r="E943" s="21" t="s">
        <v>578</v>
      </c>
      <c r="F943" s="42" t="s">
        <v>189</v>
      </c>
      <c r="G943" s="7">
        <v>0.8</v>
      </c>
      <c r="H943" s="7">
        <v>0.7</v>
      </c>
      <c r="I943" s="27">
        <f t="shared" si="57"/>
        <v>87.49999999999999</v>
      </c>
    </row>
    <row r="944" spans="1:9" ht="15.75">
      <c r="A944" s="47" t="s">
        <v>579</v>
      </c>
      <c r="B944" s="17">
        <v>908</v>
      </c>
      <c r="C944" s="42" t="s">
        <v>285</v>
      </c>
      <c r="D944" s="42" t="s">
        <v>264</v>
      </c>
      <c r="E944" s="21" t="s">
        <v>580</v>
      </c>
      <c r="F944" s="42"/>
      <c r="G944" s="27">
        <f>G945</f>
        <v>1452.4</v>
      </c>
      <c r="H944" s="27">
        <f>H945</f>
        <v>941.7</v>
      </c>
      <c r="I944" s="27">
        <f t="shared" si="57"/>
        <v>64.83751032773341</v>
      </c>
    </row>
    <row r="945" spans="1:9" ht="31.5">
      <c r="A945" s="33" t="s">
        <v>182</v>
      </c>
      <c r="B945" s="17">
        <v>908</v>
      </c>
      <c r="C945" s="42" t="s">
        <v>285</v>
      </c>
      <c r="D945" s="42" t="s">
        <v>264</v>
      </c>
      <c r="E945" s="21" t="s">
        <v>580</v>
      </c>
      <c r="F945" s="42" t="s">
        <v>183</v>
      </c>
      <c r="G945" s="27">
        <f>G946</f>
        <v>1452.4</v>
      </c>
      <c r="H945" s="27">
        <f>H946</f>
        <v>941.7</v>
      </c>
      <c r="I945" s="27">
        <f t="shared" si="57"/>
        <v>64.83751032773341</v>
      </c>
    </row>
    <row r="946" spans="1:13" ht="47.25">
      <c r="A946" s="33" t="s">
        <v>184</v>
      </c>
      <c r="B946" s="17">
        <v>908</v>
      </c>
      <c r="C946" s="42" t="s">
        <v>285</v>
      </c>
      <c r="D946" s="42" t="s">
        <v>264</v>
      </c>
      <c r="E946" s="21" t="s">
        <v>580</v>
      </c>
      <c r="F946" s="42" t="s">
        <v>185</v>
      </c>
      <c r="G946" s="7">
        <f>305+122+300+468+1361-131-300-194.7-200-490-566-192+461+759.7+27.5-278.1</f>
        <v>1452.4</v>
      </c>
      <c r="H946" s="7">
        <v>941.7</v>
      </c>
      <c r="I946" s="27">
        <f t="shared" si="57"/>
        <v>64.83751032773341</v>
      </c>
      <c r="J946" s="301"/>
      <c r="K946" s="400"/>
      <c r="L946" s="400"/>
      <c r="M946" s="302"/>
    </row>
    <row r="947" spans="1:9" ht="15.75">
      <c r="A947" s="47" t="s">
        <v>581</v>
      </c>
      <c r="B947" s="17">
        <v>908</v>
      </c>
      <c r="C947" s="42" t="s">
        <v>285</v>
      </c>
      <c r="D947" s="42" t="s">
        <v>264</v>
      </c>
      <c r="E947" s="21" t="s">
        <v>582</v>
      </c>
      <c r="F947" s="42"/>
      <c r="G947" s="27">
        <f>G948</f>
        <v>131</v>
      </c>
      <c r="H947" s="27">
        <f>H948</f>
        <v>130.4</v>
      </c>
      <c r="I947" s="27">
        <f t="shared" si="57"/>
        <v>99.54198473282443</v>
      </c>
    </row>
    <row r="948" spans="1:9" ht="31.5">
      <c r="A948" s="33" t="s">
        <v>182</v>
      </c>
      <c r="B948" s="17">
        <v>908</v>
      </c>
      <c r="C948" s="42" t="s">
        <v>285</v>
      </c>
      <c r="D948" s="42" t="s">
        <v>264</v>
      </c>
      <c r="E948" s="21" t="s">
        <v>582</v>
      </c>
      <c r="F948" s="42" t="s">
        <v>183</v>
      </c>
      <c r="G948" s="27">
        <f>G949</f>
        <v>131</v>
      </c>
      <c r="H948" s="27">
        <f>H949</f>
        <v>130.4</v>
      </c>
      <c r="I948" s="27">
        <f t="shared" si="57"/>
        <v>99.54198473282443</v>
      </c>
    </row>
    <row r="949" spans="1:10" ht="47.25">
      <c r="A949" s="33" t="s">
        <v>184</v>
      </c>
      <c r="B949" s="17">
        <v>908</v>
      </c>
      <c r="C949" s="42" t="s">
        <v>285</v>
      </c>
      <c r="D949" s="42" t="s">
        <v>264</v>
      </c>
      <c r="E949" s="21" t="s">
        <v>582</v>
      </c>
      <c r="F949" s="42" t="s">
        <v>185</v>
      </c>
      <c r="G949" s="27">
        <f>2-2+131+450+1050-1500</f>
        <v>131</v>
      </c>
      <c r="H949" s="27">
        <v>130.4</v>
      </c>
      <c r="I949" s="27">
        <f t="shared" si="57"/>
        <v>99.54198473282443</v>
      </c>
      <c r="J949" s="303"/>
    </row>
    <row r="950" spans="1:9" ht="31.5" customHeight="1" hidden="1">
      <c r="A950" s="208" t="s">
        <v>583</v>
      </c>
      <c r="B950" s="17">
        <v>908</v>
      </c>
      <c r="C950" s="42" t="s">
        <v>285</v>
      </c>
      <c r="D950" s="42" t="s">
        <v>264</v>
      </c>
      <c r="E950" s="21" t="s">
        <v>584</v>
      </c>
      <c r="F950" s="42"/>
      <c r="G950" s="27">
        <f>G951</f>
        <v>0</v>
      </c>
      <c r="H950" s="27">
        <f>H951</f>
        <v>0</v>
      </c>
      <c r="I950" s="27" t="e">
        <f t="shared" si="57"/>
        <v>#DIV/0!</v>
      </c>
    </row>
    <row r="951" spans="1:9" ht="31.5" customHeight="1" hidden="1">
      <c r="A951" s="33" t="s">
        <v>182</v>
      </c>
      <c r="B951" s="17">
        <v>908</v>
      </c>
      <c r="C951" s="42" t="s">
        <v>285</v>
      </c>
      <c r="D951" s="42" t="s">
        <v>264</v>
      </c>
      <c r="E951" s="21" t="s">
        <v>584</v>
      </c>
      <c r="F951" s="42" t="s">
        <v>183</v>
      </c>
      <c r="G951" s="27">
        <f>G952</f>
        <v>0</v>
      </c>
      <c r="H951" s="27">
        <f>H952</f>
        <v>0</v>
      </c>
      <c r="I951" s="27" t="e">
        <f t="shared" si="57"/>
        <v>#DIV/0!</v>
      </c>
    </row>
    <row r="952" spans="1:9" ht="47.25" customHeight="1" hidden="1">
      <c r="A952" s="33" t="s">
        <v>184</v>
      </c>
      <c r="B952" s="17">
        <v>908</v>
      </c>
      <c r="C952" s="42" t="s">
        <v>285</v>
      </c>
      <c r="D952" s="42" t="s">
        <v>264</v>
      </c>
      <c r="E952" s="21" t="s">
        <v>584</v>
      </c>
      <c r="F952" s="42" t="s">
        <v>185</v>
      </c>
      <c r="G952" s="27">
        <v>0</v>
      </c>
      <c r="H952" s="27">
        <v>0</v>
      </c>
      <c r="I952" s="27" t="e">
        <f t="shared" si="57"/>
        <v>#DIV/0!</v>
      </c>
    </row>
    <row r="953" spans="1:9" ht="15.75">
      <c r="A953" s="208" t="s">
        <v>585</v>
      </c>
      <c r="B953" s="17">
        <v>908</v>
      </c>
      <c r="C953" s="42" t="s">
        <v>285</v>
      </c>
      <c r="D953" s="42" t="s">
        <v>264</v>
      </c>
      <c r="E953" s="21" t="s">
        <v>586</v>
      </c>
      <c r="F953" s="42"/>
      <c r="G953" s="27">
        <f>G954</f>
        <v>1544</v>
      </c>
      <c r="H953" s="27">
        <f>H954</f>
        <v>1544</v>
      </c>
      <c r="I953" s="27">
        <f t="shared" si="57"/>
        <v>100</v>
      </c>
    </row>
    <row r="954" spans="1:18" ht="31.5">
      <c r="A954" s="26" t="s">
        <v>182</v>
      </c>
      <c r="B954" s="17">
        <v>908</v>
      </c>
      <c r="C954" s="42" t="s">
        <v>285</v>
      </c>
      <c r="D954" s="42" t="s">
        <v>264</v>
      </c>
      <c r="E954" s="21" t="s">
        <v>586</v>
      </c>
      <c r="F954" s="42" t="s">
        <v>183</v>
      </c>
      <c r="G954" s="27">
        <f>G955</f>
        <v>1544</v>
      </c>
      <c r="H954" s="27">
        <f>H955</f>
        <v>1544</v>
      </c>
      <c r="I954" s="27">
        <f t="shared" si="57"/>
        <v>100</v>
      </c>
      <c r="R954" s="280"/>
    </row>
    <row r="955" spans="1:9" ht="47.25">
      <c r="A955" s="26" t="s">
        <v>184</v>
      </c>
      <c r="B955" s="17">
        <v>908</v>
      </c>
      <c r="C955" s="42" t="s">
        <v>285</v>
      </c>
      <c r="D955" s="42" t="s">
        <v>264</v>
      </c>
      <c r="E955" s="21" t="s">
        <v>586</v>
      </c>
      <c r="F955" s="42" t="s">
        <v>185</v>
      </c>
      <c r="G955" s="27">
        <f>10-10+1544</f>
        <v>1544</v>
      </c>
      <c r="H955" s="27">
        <v>1544</v>
      </c>
      <c r="I955" s="27">
        <f t="shared" si="57"/>
        <v>100</v>
      </c>
    </row>
    <row r="956" spans="1:9" ht="15.75">
      <c r="A956" s="26" t="s">
        <v>172</v>
      </c>
      <c r="B956" s="17">
        <v>908</v>
      </c>
      <c r="C956" s="21" t="s">
        <v>285</v>
      </c>
      <c r="D956" s="21" t="s">
        <v>264</v>
      </c>
      <c r="E956" s="21" t="s">
        <v>173</v>
      </c>
      <c r="F956" s="21"/>
      <c r="G956" s="27">
        <f>G957+G972</f>
        <v>97124.4</v>
      </c>
      <c r="H956" s="27">
        <f>H957+H972</f>
        <v>93652.5</v>
      </c>
      <c r="I956" s="27">
        <f t="shared" si="57"/>
        <v>96.42530610227709</v>
      </c>
    </row>
    <row r="957" spans="1:9" ht="31.5">
      <c r="A957" s="26" t="s">
        <v>236</v>
      </c>
      <c r="B957" s="17">
        <v>908</v>
      </c>
      <c r="C957" s="21" t="s">
        <v>285</v>
      </c>
      <c r="D957" s="21" t="s">
        <v>264</v>
      </c>
      <c r="E957" s="21" t="s">
        <v>237</v>
      </c>
      <c r="F957" s="21"/>
      <c r="G957" s="27">
        <f>G958+G964+G969+G961</f>
        <v>47412</v>
      </c>
      <c r="H957" s="27">
        <f>H958+H964+H969+H961</f>
        <v>47412</v>
      </c>
      <c r="I957" s="27">
        <f t="shared" si="57"/>
        <v>100</v>
      </c>
    </row>
    <row r="958" spans="1:9" ht="47.25" hidden="1">
      <c r="A958" s="124" t="s">
        <v>759</v>
      </c>
      <c r="B958" s="17">
        <v>908</v>
      </c>
      <c r="C958" s="21" t="s">
        <v>285</v>
      </c>
      <c r="D958" s="21" t="s">
        <v>264</v>
      </c>
      <c r="E958" s="21" t="s">
        <v>587</v>
      </c>
      <c r="F958" s="21"/>
      <c r="G958" s="27">
        <f>G959</f>
        <v>0</v>
      </c>
      <c r="H958" s="27">
        <f>H959</f>
        <v>0</v>
      </c>
      <c r="I958" s="27" t="e">
        <f t="shared" si="57"/>
        <v>#DIV/0!</v>
      </c>
    </row>
    <row r="959" spans="1:9" ht="31.5" hidden="1">
      <c r="A959" s="26" t="s">
        <v>182</v>
      </c>
      <c r="B959" s="17">
        <v>908</v>
      </c>
      <c r="C959" s="21" t="s">
        <v>285</v>
      </c>
      <c r="D959" s="21" t="s">
        <v>264</v>
      </c>
      <c r="E959" s="21" t="s">
        <v>587</v>
      </c>
      <c r="F959" s="21" t="s">
        <v>183</v>
      </c>
      <c r="G959" s="27">
        <f>G960</f>
        <v>0</v>
      </c>
      <c r="H959" s="27">
        <f>H960</f>
        <v>0</v>
      </c>
      <c r="I959" s="27" t="e">
        <f t="shared" si="57"/>
        <v>#DIV/0!</v>
      </c>
    </row>
    <row r="960" spans="1:9" ht="47.25" hidden="1">
      <c r="A960" s="26" t="s">
        <v>184</v>
      </c>
      <c r="B960" s="17">
        <v>908</v>
      </c>
      <c r="C960" s="21" t="s">
        <v>285</v>
      </c>
      <c r="D960" s="21" t="s">
        <v>264</v>
      </c>
      <c r="E960" s="21" t="s">
        <v>587</v>
      </c>
      <c r="F960" s="21" t="s">
        <v>185</v>
      </c>
      <c r="G960" s="27">
        <v>0</v>
      </c>
      <c r="H960" s="27">
        <v>0</v>
      </c>
      <c r="I960" s="27" t="e">
        <f t="shared" si="57"/>
        <v>#DIV/0!</v>
      </c>
    </row>
    <row r="961" spans="1:9" ht="78.75">
      <c r="A961" s="124" t="s">
        <v>1031</v>
      </c>
      <c r="B961" s="17">
        <v>908</v>
      </c>
      <c r="C961" s="21" t="s">
        <v>285</v>
      </c>
      <c r="D961" s="21" t="s">
        <v>264</v>
      </c>
      <c r="E961" s="21" t="s">
        <v>1032</v>
      </c>
      <c r="F961" s="21"/>
      <c r="G961" s="27">
        <f>G962</f>
        <v>31370</v>
      </c>
      <c r="H961" s="27">
        <f>H962</f>
        <v>31370</v>
      </c>
      <c r="I961" s="27">
        <f t="shared" si="57"/>
        <v>100</v>
      </c>
    </row>
    <row r="962" spans="1:9" ht="15.75">
      <c r="A962" s="26" t="s">
        <v>186</v>
      </c>
      <c r="B962" s="17">
        <v>908</v>
      </c>
      <c r="C962" s="21" t="s">
        <v>285</v>
      </c>
      <c r="D962" s="21" t="s">
        <v>264</v>
      </c>
      <c r="E962" s="21" t="s">
        <v>1032</v>
      </c>
      <c r="F962" s="21" t="s">
        <v>196</v>
      </c>
      <c r="G962" s="27">
        <f>G963</f>
        <v>31370</v>
      </c>
      <c r="H962" s="27">
        <f>H963</f>
        <v>31370</v>
      </c>
      <c r="I962" s="27">
        <f t="shared" si="57"/>
        <v>100</v>
      </c>
    </row>
    <row r="963" spans="1:9" ht="55.5" customHeight="1">
      <c r="A963" s="26" t="s">
        <v>235</v>
      </c>
      <c r="B963" s="17">
        <v>908</v>
      </c>
      <c r="C963" s="21" t="s">
        <v>285</v>
      </c>
      <c r="D963" s="21" t="s">
        <v>264</v>
      </c>
      <c r="E963" s="21" t="s">
        <v>1032</v>
      </c>
      <c r="F963" s="21" t="s">
        <v>211</v>
      </c>
      <c r="G963" s="27">
        <f>31370</f>
        <v>31370</v>
      </c>
      <c r="H963" s="27">
        <v>31370</v>
      </c>
      <c r="I963" s="27">
        <f t="shared" si="57"/>
        <v>100</v>
      </c>
    </row>
    <row r="964" spans="1:9" ht="31.5">
      <c r="A964" s="37" t="s">
        <v>765</v>
      </c>
      <c r="B964" s="17">
        <v>908</v>
      </c>
      <c r="C964" s="21" t="s">
        <v>285</v>
      </c>
      <c r="D964" s="21" t="s">
        <v>264</v>
      </c>
      <c r="E964" s="21" t="s">
        <v>588</v>
      </c>
      <c r="F964" s="21"/>
      <c r="G964" s="27">
        <f>G965+G967</f>
        <v>16042</v>
      </c>
      <c r="H964" s="27">
        <f>H965+H967</f>
        <v>16042</v>
      </c>
      <c r="I964" s="27">
        <f t="shared" si="57"/>
        <v>100</v>
      </c>
    </row>
    <row r="965" spans="1:9" ht="31.5">
      <c r="A965" s="26" t="s">
        <v>182</v>
      </c>
      <c r="B965" s="17">
        <v>908</v>
      </c>
      <c r="C965" s="21" t="s">
        <v>285</v>
      </c>
      <c r="D965" s="21" t="s">
        <v>264</v>
      </c>
      <c r="E965" s="21" t="s">
        <v>588</v>
      </c>
      <c r="F965" s="21" t="s">
        <v>183</v>
      </c>
      <c r="G965" s="27">
        <f>G966</f>
        <v>15905.43</v>
      </c>
      <c r="H965" s="27">
        <f>H966</f>
        <v>15905.4</v>
      </c>
      <c r="I965" s="27">
        <f t="shared" si="57"/>
        <v>99.99981138516846</v>
      </c>
    </row>
    <row r="966" spans="1:9" ht="47.25">
      <c r="A966" s="26" t="s">
        <v>184</v>
      </c>
      <c r="B966" s="17">
        <v>908</v>
      </c>
      <c r="C966" s="21" t="s">
        <v>285</v>
      </c>
      <c r="D966" s="21" t="s">
        <v>264</v>
      </c>
      <c r="E966" s="21" t="s">
        <v>588</v>
      </c>
      <c r="F966" s="21" t="s">
        <v>185</v>
      </c>
      <c r="G966" s="27">
        <f>4148.4-136.57+11893.6</f>
        <v>15905.43</v>
      </c>
      <c r="H966" s="27">
        <v>15905.4</v>
      </c>
      <c r="I966" s="27">
        <f t="shared" si="57"/>
        <v>99.99981138516846</v>
      </c>
    </row>
    <row r="967" spans="1:9" ht="15.75">
      <c r="A967" s="26" t="s">
        <v>186</v>
      </c>
      <c r="B967" s="17">
        <v>908</v>
      </c>
      <c r="C967" s="21" t="s">
        <v>285</v>
      </c>
      <c r="D967" s="21" t="s">
        <v>264</v>
      </c>
      <c r="E967" s="21" t="s">
        <v>588</v>
      </c>
      <c r="F967" s="21" t="s">
        <v>196</v>
      </c>
      <c r="G967" s="27">
        <f>G968</f>
        <v>136.57</v>
      </c>
      <c r="H967" s="27">
        <f>H968</f>
        <v>136.6</v>
      </c>
      <c r="I967" s="27">
        <f t="shared" si="57"/>
        <v>100.02196675697445</v>
      </c>
    </row>
    <row r="968" spans="1:9" ht="15.75">
      <c r="A968" s="26" t="s">
        <v>620</v>
      </c>
      <c r="B968" s="17">
        <v>908</v>
      </c>
      <c r="C968" s="21" t="s">
        <v>285</v>
      </c>
      <c r="D968" s="21" t="s">
        <v>264</v>
      </c>
      <c r="E968" s="21" t="s">
        <v>588</v>
      </c>
      <c r="F968" s="21" t="s">
        <v>189</v>
      </c>
      <c r="G968" s="27">
        <v>136.57</v>
      </c>
      <c r="H968" s="27">
        <v>136.6</v>
      </c>
      <c r="I968" s="27">
        <f t="shared" si="57"/>
        <v>100.02196675697445</v>
      </c>
    </row>
    <row r="969" spans="1:9" ht="47.25" hidden="1">
      <c r="A969" s="26" t="s">
        <v>766</v>
      </c>
      <c r="B969" s="17">
        <v>908</v>
      </c>
      <c r="C969" s="21" t="s">
        <v>285</v>
      </c>
      <c r="D969" s="21" t="s">
        <v>264</v>
      </c>
      <c r="E969" s="21" t="s">
        <v>767</v>
      </c>
      <c r="F969" s="21"/>
      <c r="G969" s="27">
        <f>G970</f>
        <v>0</v>
      </c>
      <c r="H969" s="27">
        <f>H970</f>
        <v>0</v>
      </c>
      <c r="I969" s="27" t="e">
        <f t="shared" si="57"/>
        <v>#DIV/0!</v>
      </c>
    </row>
    <row r="970" spans="1:9" ht="31.5" hidden="1">
      <c r="A970" s="26" t="s">
        <v>182</v>
      </c>
      <c r="B970" s="17">
        <v>908</v>
      </c>
      <c r="C970" s="21" t="s">
        <v>285</v>
      </c>
      <c r="D970" s="21" t="s">
        <v>264</v>
      </c>
      <c r="E970" s="21" t="s">
        <v>767</v>
      </c>
      <c r="F970" s="21" t="s">
        <v>183</v>
      </c>
      <c r="G970" s="27">
        <f>G971</f>
        <v>0</v>
      </c>
      <c r="H970" s="27">
        <f>H971</f>
        <v>0</v>
      </c>
      <c r="I970" s="27" t="e">
        <f t="shared" si="57"/>
        <v>#DIV/0!</v>
      </c>
    </row>
    <row r="971" spans="1:9" ht="47.25" hidden="1">
      <c r="A971" s="26" t="s">
        <v>184</v>
      </c>
      <c r="B971" s="17">
        <v>908</v>
      </c>
      <c r="C971" s="21" t="s">
        <v>285</v>
      </c>
      <c r="D971" s="21" t="s">
        <v>264</v>
      </c>
      <c r="E971" s="21" t="s">
        <v>767</v>
      </c>
      <c r="F971" s="21" t="s">
        <v>185</v>
      </c>
      <c r="G971" s="27">
        <v>0</v>
      </c>
      <c r="H971" s="27">
        <v>0</v>
      </c>
      <c r="I971" s="27" t="e">
        <f aca="true" t="shared" si="59" ref="I971:I1034">H971/G971*100</f>
        <v>#DIV/0!</v>
      </c>
    </row>
    <row r="972" spans="1:9" ht="15.75">
      <c r="A972" s="26" t="s">
        <v>192</v>
      </c>
      <c r="B972" s="17">
        <v>908</v>
      </c>
      <c r="C972" s="21" t="s">
        <v>285</v>
      </c>
      <c r="D972" s="21" t="s">
        <v>264</v>
      </c>
      <c r="E972" s="21" t="s">
        <v>193</v>
      </c>
      <c r="F972" s="21"/>
      <c r="G972" s="27">
        <f>G973+G979+G987+G992+G995+G984+G998</f>
        <v>49712.4</v>
      </c>
      <c r="H972" s="27">
        <f>H973+H979+H987+H992+H995+H984+H998</f>
        <v>46240.5</v>
      </c>
      <c r="I972" s="27">
        <f t="shared" si="59"/>
        <v>93.01602819417289</v>
      </c>
    </row>
    <row r="973" spans="1:9" ht="31.5">
      <c r="A973" s="37" t="s">
        <v>589</v>
      </c>
      <c r="B973" s="17">
        <v>908</v>
      </c>
      <c r="C973" s="21" t="s">
        <v>285</v>
      </c>
      <c r="D973" s="21" t="s">
        <v>264</v>
      </c>
      <c r="E973" s="21" t="s">
        <v>590</v>
      </c>
      <c r="F973" s="21"/>
      <c r="G973" s="27">
        <f>G974+G976</f>
        <v>131.80000000000172</v>
      </c>
      <c r="H973" s="27">
        <f>H974+H976</f>
        <v>0</v>
      </c>
      <c r="I973" s="27">
        <f t="shared" si="59"/>
        <v>0</v>
      </c>
    </row>
    <row r="974" spans="1:9" ht="31.5">
      <c r="A974" s="26" t="s">
        <v>182</v>
      </c>
      <c r="B974" s="17">
        <v>908</v>
      </c>
      <c r="C974" s="21" t="s">
        <v>285</v>
      </c>
      <c r="D974" s="21" t="s">
        <v>264</v>
      </c>
      <c r="E974" s="21" t="s">
        <v>590</v>
      </c>
      <c r="F974" s="21" t="s">
        <v>183</v>
      </c>
      <c r="G974" s="27">
        <f>G975</f>
        <v>131.80000000000172</v>
      </c>
      <c r="H974" s="27">
        <f>H975</f>
        <v>0</v>
      </c>
      <c r="I974" s="27">
        <f t="shared" si="59"/>
        <v>0</v>
      </c>
    </row>
    <row r="975" spans="1:18" ht="45" customHeight="1">
      <c r="A975" s="26" t="s">
        <v>184</v>
      </c>
      <c r="B975" s="17">
        <v>908</v>
      </c>
      <c r="C975" s="21" t="s">
        <v>285</v>
      </c>
      <c r="D975" s="21" t="s">
        <v>264</v>
      </c>
      <c r="E975" s="21" t="s">
        <v>590</v>
      </c>
      <c r="F975" s="21" t="s">
        <v>185</v>
      </c>
      <c r="G975" s="27">
        <f>17826-4117.5-515.3-40.6-1427.4-107.4-1525.6-450-1050-567.4-2000-140-1380.4-987.1-100-1691.5-1544-181.8+1500+684.7-1780.6-6-3.4-10-70.1-182.8</f>
        <v>131.80000000000172</v>
      </c>
      <c r="H975" s="27">
        <v>0</v>
      </c>
      <c r="I975" s="27">
        <f t="shared" si="59"/>
        <v>0</v>
      </c>
      <c r="R975" s="280"/>
    </row>
    <row r="976" spans="1:18" ht="15.75" hidden="1">
      <c r="A976" s="26" t="s">
        <v>186</v>
      </c>
      <c r="B976" s="17">
        <v>908</v>
      </c>
      <c r="C976" s="21" t="s">
        <v>285</v>
      </c>
      <c r="D976" s="21" t="s">
        <v>264</v>
      </c>
      <c r="E976" s="21" t="s">
        <v>590</v>
      </c>
      <c r="F976" s="21" t="s">
        <v>196</v>
      </c>
      <c r="G976" s="27">
        <f>G977+G978</f>
        <v>0</v>
      </c>
      <c r="H976" s="27">
        <f>H977+H978</f>
        <v>0</v>
      </c>
      <c r="I976" s="27" t="e">
        <f t="shared" si="59"/>
        <v>#DIV/0!</v>
      </c>
      <c r="R976" s="280"/>
    </row>
    <row r="977" spans="1:18" ht="63" customHeight="1" hidden="1">
      <c r="A977" s="26" t="s">
        <v>235</v>
      </c>
      <c r="B977" s="17">
        <v>908</v>
      </c>
      <c r="C977" s="21" t="s">
        <v>285</v>
      </c>
      <c r="D977" s="21" t="s">
        <v>264</v>
      </c>
      <c r="E977" s="21" t="s">
        <v>590</v>
      </c>
      <c r="F977" s="21" t="s">
        <v>211</v>
      </c>
      <c r="G977" s="27">
        <v>0</v>
      </c>
      <c r="H977" s="27">
        <v>0</v>
      </c>
      <c r="I977" s="27" t="e">
        <f t="shared" si="59"/>
        <v>#DIV/0!</v>
      </c>
      <c r="R977" s="280"/>
    </row>
    <row r="978" spans="1:18" ht="15.75" hidden="1">
      <c r="A978" s="26" t="s">
        <v>620</v>
      </c>
      <c r="B978" s="17">
        <v>908</v>
      </c>
      <c r="C978" s="21" t="s">
        <v>285</v>
      </c>
      <c r="D978" s="21" t="s">
        <v>264</v>
      </c>
      <c r="E978" s="21" t="s">
        <v>590</v>
      </c>
      <c r="F978" s="21" t="s">
        <v>189</v>
      </c>
      <c r="G978" s="27">
        <v>0</v>
      </c>
      <c r="H978" s="27">
        <v>0</v>
      </c>
      <c r="I978" s="27" t="e">
        <f t="shared" si="59"/>
        <v>#DIV/0!</v>
      </c>
      <c r="R978" s="280"/>
    </row>
    <row r="979" spans="1:18" ht="15.75">
      <c r="A979" s="26" t="s">
        <v>591</v>
      </c>
      <c r="B979" s="17">
        <v>908</v>
      </c>
      <c r="C979" s="21" t="s">
        <v>285</v>
      </c>
      <c r="D979" s="21" t="s">
        <v>264</v>
      </c>
      <c r="E979" s="21" t="s">
        <v>592</v>
      </c>
      <c r="F979" s="21"/>
      <c r="G979" s="27">
        <f>G982+G980</f>
        <v>5200</v>
      </c>
      <c r="H979" s="27">
        <f>H982+H980</f>
        <v>5173.4</v>
      </c>
      <c r="I979" s="27">
        <f t="shared" si="59"/>
        <v>99.48846153846154</v>
      </c>
      <c r="R979" s="280"/>
    </row>
    <row r="980" spans="1:9" ht="31.5">
      <c r="A980" s="26" t="s">
        <v>182</v>
      </c>
      <c r="B980" s="17">
        <v>908</v>
      </c>
      <c r="C980" s="21" t="s">
        <v>285</v>
      </c>
      <c r="D980" s="21" t="s">
        <v>264</v>
      </c>
      <c r="E980" s="21" t="s">
        <v>592</v>
      </c>
      <c r="F980" s="21" t="s">
        <v>183</v>
      </c>
      <c r="G980" s="27">
        <f>G981</f>
        <v>5200</v>
      </c>
      <c r="H980" s="27">
        <f>H981</f>
        <v>5173.4</v>
      </c>
      <c r="I980" s="27">
        <f t="shared" si="59"/>
        <v>99.48846153846154</v>
      </c>
    </row>
    <row r="981" spans="1:9" ht="47.25">
      <c r="A981" s="26" t="s">
        <v>184</v>
      </c>
      <c r="B981" s="17">
        <v>908</v>
      </c>
      <c r="C981" s="21" t="s">
        <v>285</v>
      </c>
      <c r="D981" s="21" t="s">
        <v>264</v>
      </c>
      <c r="E981" s="21" t="s">
        <v>592</v>
      </c>
      <c r="F981" s="21" t="s">
        <v>185</v>
      </c>
      <c r="G981" s="27">
        <f>5200</f>
        <v>5200</v>
      </c>
      <c r="H981" s="27">
        <v>5173.4</v>
      </c>
      <c r="I981" s="27">
        <f t="shared" si="59"/>
        <v>99.48846153846154</v>
      </c>
    </row>
    <row r="982" spans="1:9" ht="15.75" hidden="1">
      <c r="A982" s="26" t="s">
        <v>186</v>
      </c>
      <c r="B982" s="17">
        <v>908</v>
      </c>
      <c r="C982" s="21" t="s">
        <v>285</v>
      </c>
      <c r="D982" s="21" t="s">
        <v>264</v>
      </c>
      <c r="E982" s="21" t="s">
        <v>592</v>
      </c>
      <c r="F982" s="21" t="s">
        <v>196</v>
      </c>
      <c r="G982" s="27">
        <f>G983</f>
        <v>0</v>
      </c>
      <c r="H982" s="27">
        <f>H983</f>
        <v>0</v>
      </c>
      <c r="I982" s="27" t="e">
        <f t="shared" si="59"/>
        <v>#DIV/0!</v>
      </c>
    </row>
    <row r="983" spans="1:9" ht="15.75" hidden="1">
      <c r="A983" s="26" t="s">
        <v>197</v>
      </c>
      <c r="B983" s="17">
        <v>908</v>
      </c>
      <c r="C983" s="21" t="s">
        <v>285</v>
      </c>
      <c r="D983" s="21" t="s">
        <v>264</v>
      </c>
      <c r="E983" s="21" t="s">
        <v>592</v>
      </c>
      <c r="F983" s="21" t="s">
        <v>198</v>
      </c>
      <c r="G983" s="27">
        <f>4283.3+4000-6600-1683.3</f>
        <v>0</v>
      </c>
      <c r="H983" s="27">
        <f>4283.3+4000-6600-1683.3</f>
        <v>0</v>
      </c>
      <c r="I983" s="27" t="e">
        <f t="shared" si="59"/>
        <v>#DIV/0!</v>
      </c>
    </row>
    <row r="984" spans="1:9" ht="15.75">
      <c r="A984" s="26" t="s">
        <v>194</v>
      </c>
      <c r="B984" s="17">
        <v>908</v>
      </c>
      <c r="C984" s="21" t="s">
        <v>285</v>
      </c>
      <c r="D984" s="21" t="s">
        <v>264</v>
      </c>
      <c r="E984" s="21" t="s">
        <v>195</v>
      </c>
      <c r="F984" s="21"/>
      <c r="G984" s="27">
        <f>G985</f>
        <v>1403.4</v>
      </c>
      <c r="H984" s="27">
        <f>H985</f>
        <v>1403.4</v>
      </c>
      <c r="I984" s="27">
        <f t="shared" si="59"/>
        <v>100</v>
      </c>
    </row>
    <row r="985" spans="1:9" ht="15.75">
      <c r="A985" s="26" t="s">
        <v>186</v>
      </c>
      <c r="B985" s="17">
        <v>908</v>
      </c>
      <c r="C985" s="21" t="s">
        <v>285</v>
      </c>
      <c r="D985" s="21" t="s">
        <v>264</v>
      </c>
      <c r="E985" s="21" t="s">
        <v>195</v>
      </c>
      <c r="F985" s="21" t="s">
        <v>196</v>
      </c>
      <c r="G985" s="27">
        <f>G986</f>
        <v>1403.4</v>
      </c>
      <c r="H985" s="27">
        <f>H986</f>
        <v>1403.4</v>
      </c>
      <c r="I985" s="27">
        <f t="shared" si="59"/>
        <v>100</v>
      </c>
    </row>
    <row r="986" spans="1:9" ht="15.75">
      <c r="A986" s="26" t="s">
        <v>197</v>
      </c>
      <c r="B986" s="17">
        <v>908</v>
      </c>
      <c r="C986" s="21" t="s">
        <v>285</v>
      </c>
      <c r="D986" s="21" t="s">
        <v>264</v>
      </c>
      <c r="E986" s="21" t="s">
        <v>195</v>
      </c>
      <c r="F986" s="21" t="s">
        <v>198</v>
      </c>
      <c r="G986" s="27">
        <f>1400+3.4</f>
        <v>1403.4</v>
      </c>
      <c r="H986" s="27">
        <v>1403.4</v>
      </c>
      <c r="I986" s="27">
        <f t="shared" si="59"/>
        <v>100</v>
      </c>
    </row>
    <row r="987" spans="1:9" ht="80.25" customHeight="1">
      <c r="A987" s="26" t="s">
        <v>964</v>
      </c>
      <c r="B987" s="17">
        <v>908</v>
      </c>
      <c r="C987" s="21" t="s">
        <v>285</v>
      </c>
      <c r="D987" s="21" t="s">
        <v>264</v>
      </c>
      <c r="E987" s="21" t="s">
        <v>960</v>
      </c>
      <c r="F987" s="21"/>
      <c r="G987" s="27">
        <f>G988+G990</f>
        <v>20000</v>
      </c>
      <c r="H987" s="27">
        <f>H988+H990</f>
        <v>19653.7</v>
      </c>
      <c r="I987" s="27">
        <f t="shared" si="59"/>
        <v>98.2685</v>
      </c>
    </row>
    <row r="988" spans="1:9" ht="31.5">
      <c r="A988" s="26" t="s">
        <v>182</v>
      </c>
      <c r="B988" s="17">
        <v>908</v>
      </c>
      <c r="C988" s="21" t="s">
        <v>285</v>
      </c>
      <c r="D988" s="21" t="s">
        <v>264</v>
      </c>
      <c r="E988" s="21" t="s">
        <v>960</v>
      </c>
      <c r="F988" s="21" t="s">
        <v>183</v>
      </c>
      <c r="G988" s="27">
        <f>G989</f>
        <v>20000</v>
      </c>
      <c r="H988" s="27">
        <f>H989</f>
        <v>19653.7</v>
      </c>
      <c r="I988" s="27">
        <f t="shared" si="59"/>
        <v>98.2685</v>
      </c>
    </row>
    <row r="989" spans="1:9" ht="47.25">
      <c r="A989" s="26" t="s">
        <v>184</v>
      </c>
      <c r="B989" s="17">
        <v>908</v>
      </c>
      <c r="C989" s="21" t="s">
        <v>285</v>
      </c>
      <c r="D989" s="21" t="s">
        <v>264</v>
      </c>
      <c r="E989" s="21" t="s">
        <v>960</v>
      </c>
      <c r="F989" s="21" t="s">
        <v>185</v>
      </c>
      <c r="G989" s="27">
        <f>20000-65+65</f>
        <v>20000</v>
      </c>
      <c r="H989" s="27">
        <v>19653.7</v>
      </c>
      <c r="I989" s="27">
        <f t="shared" si="59"/>
        <v>98.2685</v>
      </c>
    </row>
    <row r="990" spans="1:9" ht="15.75" hidden="1">
      <c r="A990" s="26" t="s">
        <v>186</v>
      </c>
      <c r="B990" s="17">
        <v>908</v>
      </c>
      <c r="C990" s="21" t="s">
        <v>285</v>
      </c>
      <c r="D990" s="21" t="s">
        <v>264</v>
      </c>
      <c r="E990" s="21" t="s">
        <v>960</v>
      </c>
      <c r="F990" s="21" t="s">
        <v>196</v>
      </c>
      <c r="G990" s="27">
        <f>G991</f>
        <v>0</v>
      </c>
      <c r="H990" s="27">
        <f>H991</f>
        <v>0</v>
      </c>
      <c r="I990" s="27" t="e">
        <f t="shared" si="59"/>
        <v>#DIV/0!</v>
      </c>
    </row>
    <row r="991" spans="1:9" ht="15.75" hidden="1">
      <c r="A991" s="26" t="s">
        <v>620</v>
      </c>
      <c r="B991" s="17">
        <v>908</v>
      </c>
      <c r="C991" s="21" t="s">
        <v>285</v>
      </c>
      <c r="D991" s="21" t="s">
        <v>264</v>
      </c>
      <c r="E991" s="21" t="s">
        <v>960</v>
      </c>
      <c r="F991" s="21" t="s">
        <v>189</v>
      </c>
      <c r="G991" s="27">
        <f>65-65</f>
        <v>0</v>
      </c>
      <c r="H991" s="27">
        <f>65-65</f>
        <v>0</v>
      </c>
      <c r="I991" s="27" t="e">
        <f t="shared" si="59"/>
        <v>#DIV/0!</v>
      </c>
    </row>
    <row r="992" spans="1:9" ht="63">
      <c r="A992" s="26" t="s">
        <v>1001</v>
      </c>
      <c r="B992" s="17">
        <v>908</v>
      </c>
      <c r="C992" s="21" t="s">
        <v>285</v>
      </c>
      <c r="D992" s="21" t="s">
        <v>264</v>
      </c>
      <c r="E992" s="21" t="s">
        <v>985</v>
      </c>
      <c r="F992" s="21"/>
      <c r="G992" s="27">
        <f>G993</f>
        <v>2967.2</v>
      </c>
      <c r="H992" s="27">
        <f>H993</f>
        <v>0</v>
      </c>
      <c r="I992" s="27">
        <f t="shared" si="59"/>
        <v>0</v>
      </c>
    </row>
    <row r="993" spans="1:9" ht="31.5">
      <c r="A993" s="26" t="s">
        <v>182</v>
      </c>
      <c r="B993" s="17">
        <v>908</v>
      </c>
      <c r="C993" s="21" t="s">
        <v>285</v>
      </c>
      <c r="D993" s="21" t="s">
        <v>264</v>
      </c>
      <c r="E993" s="21" t="s">
        <v>985</v>
      </c>
      <c r="F993" s="21" t="s">
        <v>183</v>
      </c>
      <c r="G993" s="27">
        <f>G994</f>
        <v>2967.2</v>
      </c>
      <c r="H993" s="27">
        <f>H994</f>
        <v>0</v>
      </c>
      <c r="I993" s="27">
        <f t="shared" si="59"/>
        <v>0</v>
      </c>
    </row>
    <row r="994" spans="1:9" ht="47.25">
      <c r="A994" s="26" t="s">
        <v>184</v>
      </c>
      <c r="B994" s="17">
        <v>908</v>
      </c>
      <c r="C994" s="21" t="s">
        <v>285</v>
      </c>
      <c r="D994" s="21" t="s">
        <v>264</v>
      </c>
      <c r="E994" s="21" t="s">
        <v>985</v>
      </c>
      <c r="F994" s="21" t="s">
        <v>185</v>
      </c>
      <c r="G994" s="27">
        <v>2967.2</v>
      </c>
      <c r="H994" s="27">
        <v>0</v>
      </c>
      <c r="I994" s="27">
        <f t="shared" si="59"/>
        <v>0</v>
      </c>
    </row>
    <row r="995" spans="1:9" ht="81" customHeight="1">
      <c r="A995" s="121" t="s">
        <v>1006</v>
      </c>
      <c r="B995" s="17">
        <v>908</v>
      </c>
      <c r="C995" s="21" t="s">
        <v>285</v>
      </c>
      <c r="D995" s="21" t="s">
        <v>264</v>
      </c>
      <c r="E995" s="21" t="s">
        <v>1007</v>
      </c>
      <c r="F995" s="21"/>
      <c r="G995" s="27">
        <f>G996</f>
        <v>20000</v>
      </c>
      <c r="H995" s="27">
        <f>H996</f>
        <v>20000</v>
      </c>
      <c r="I995" s="27">
        <f t="shared" si="59"/>
        <v>100</v>
      </c>
    </row>
    <row r="996" spans="1:9" ht="31.5">
      <c r="A996" s="26" t="s">
        <v>182</v>
      </c>
      <c r="B996" s="17">
        <v>908</v>
      </c>
      <c r="C996" s="21" t="s">
        <v>285</v>
      </c>
      <c r="D996" s="21" t="s">
        <v>264</v>
      </c>
      <c r="E996" s="21" t="s">
        <v>1007</v>
      </c>
      <c r="F996" s="21" t="s">
        <v>183</v>
      </c>
      <c r="G996" s="27">
        <f>G997</f>
        <v>20000</v>
      </c>
      <c r="H996" s="27">
        <f>H997</f>
        <v>20000</v>
      </c>
      <c r="I996" s="27">
        <f t="shared" si="59"/>
        <v>100</v>
      </c>
    </row>
    <row r="997" spans="1:9" ht="47.25">
      <c r="A997" s="26" t="s">
        <v>184</v>
      </c>
      <c r="B997" s="17">
        <v>908</v>
      </c>
      <c r="C997" s="21" t="s">
        <v>285</v>
      </c>
      <c r="D997" s="21" t="s">
        <v>264</v>
      </c>
      <c r="E997" s="21" t="s">
        <v>1007</v>
      </c>
      <c r="F997" s="21" t="s">
        <v>185</v>
      </c>
      <c r="G997" s="27">
        <v>20000</v>
      </c>
      <c r="H997" s="27">
        <v>20000</v>
      </c>
      <c r="I997" s="27">
        <f t="shared" si="59"/>
        <v>100</v>
      </c>
    </row>
    <row r="998" spans="1:9" ht="78.75">
      <c r="A998" s="124" t="s">
        <v>1031</v>
      </c>
      <c r="B998" s="17">
        <v>908</v>
      </c>
      <c r="C998" s="21" t="s">
        <v>285</v>
      </c>
      <c r="D998" s="21" t="s">
        <v>264</v>
      </c>
      <c r="E998" s="21" t="s">
        <v>1033</v>
      </c>
      <c r="F998" s="21"/>
      <c r="G998" s="27">
        <f>G999</f>
        <v>10</v>
      </c>
      <c r="H998" s="27">
        <f>H999</f>
        <v>10</v>
      </c>
      <c r="I998" s="27">
        <f t="shared" si="59"/>
        <v>100</v>
      </c>
    </row>
    <row r="999" spans="1:9" ht="15.75">
      <c r="A999" s="26" t="s">
        <v>186</v>
      </c>
      <c r="B999" s="17">
        <v>908</v>
      </c>
      <c r="C999" s="21" t="s">
        <v>285</v>
      </c>
      <c r="D999" s="21" t="s">
        <v>264</v>
      </c>
      <c r="E999" s="21" t="s">
        <v>1033</v>
      </c>
      <c r="F999" s="21" t="s">
        <v>196</v>
      </c>
      <c r="G999" s="27">
        <f>G1000</f>
        <v>10</v>
      </c>
      <c r="H999" s="27">
        <f>H1000</f>
        <v>10</v>
      </c>
      <c r="I999" s="27">
        <f t="shared" si="59"/>
        <v>100</v>
      </c>
    </row>
    <row r="1000" spans="1:9" ht="63">
      <c r="A1000" s="26" t="s">
        <v>235</v>
      </c>
      <c r="B1000" s="17">
        <v>908</v>
      </c>
      <c r="C1000" s="21" t="s">
        <v>285</v>
      </c>
      <c r="D1000" s="21" t="s">
        <v>264</v>
      </c>
      <c r="E1000" s="21" t="s">
        <v>1033</v>
      </c>
      <c r="F1000" s="21" t="s">
        <v>211</v>
      </c>
      <c r="G1000" s="27">
        <f>10</f>
        <v>10</v>
      </c>
      <c r="H1000" s="27">
        <v>10</v>
      </c>
      <c r="I1000" s="27">
        <f t="shared" si="59"/>
        <v>100</v>
      </c>
    </row>
    <row r="1001" spans="1:9" ht="15.75">
      <c r="A1001" s="24" t="s">
        <v>593</v>
      </c>
      <c r="B1001" s="20">
        <v>908</v>
      </c>
      <c r="C1001" s="25" t="s">
        <v>285</v>
      </c>
      <c r="D1001" s="25" t="s">
        <v>266</v>
      </c>
      <c r="E1001" s="25"/>
      <c r="F1001" s="25"/>
      <c r="G1001" s="22">
        <f>G1002++G1037+G1033</f>
        <v>15195.28</v>
      </c>
      <c r="H1001" s="22">
        <f>H1002++H1037+H1033</f>
        <v>11827.2</v>
      </c>
      <c r="I1001" s="22">
        <f t="shared" si="59"/>
        <v>77.8346960371905</v>
      </c>
    </row>
    <row r="1002" spans="1:13" ht="47.25">
      <c r="A1002" s="26" t="s">
        <v>594</v>
      </c>
      <c r="B1002" s="17">
        <v>908</v>
      </c>
      <c r="C1002" s="21" t="s">
        <v>285</v>
      </c>
      <c r="D1002" s="21" t="s">
        <v>266</v>
      </c>
      <c r="E1002" s="21" t="s">
        <v>595</v>
      </c>
      <c r="F1002" s="21"/>
      <c r="G1002" s="27">
        <f>G1003+G1018</f>
        <v>7436.299999999999</v>
      </c>
      <c r="H1002" s="27">
        <f>H1003+H1018</f>
        <v>5578.299999999999</v>
      </c>
      <c r="I1002" s="27">
        <f t="shared" si="59"/>
        <v>75.01445611392762</v>
      </c>
      <c r="J1002" s="209"/>
      <c r="K1002" s="281"/>
      <c r="L1002" s="281"/>
      <c r="M1002" s="281"/>
    </row>
    <row r="1003" spans="1:9" ht="47.25">
      <c r="A1003" s="26" t="s">
        <v>596</v>
      </c>
      <c r="B1003" s="17">
        <v>908</v>
      </c>
      <c r="C1003" s="21" t="s">
        <v>285</v>
      </c>
      <c r="D1003" s="21" t="s">
        <v>266</v>
      </c>
      <c r="E1003" s="21" t="s">
        <v>597</v>
      </c>
      <c r="F1003" s="21"/>
      <c r="G1003" s="27">
        <f>G1004+G1007+G1012+G1015</f>
        <v>6912.5</v>
      </c>
      <c r="H1003" s="27">
        <f>H1004+H1007+H1012+H1015</f>
        <v>5316.9</v>
      </c>
      <c r="I1003" s="27">
        <f t="shared" si="59"/>
        <v>76.91717902350813</v>
      </c>
    </row>
    <row r="1004" spans="1:9" ht="19.5" customHeight="1" hidden="1">
      <c r="A1004" s="26" t="s">
        <v>598</v>
      </c>
      <c r="B1004" s="17">
        <v>908</v>
      </c>
      <c r="C1004" s="21" t="s">
        <v>285</v>
      </c>
      <c r="D1004" s="21" t="s">
        <v>266</v>
      </c>
      <c r="E1004" s="21" t="s">
        <v>599</v>
      </c>
      <c r="F1004" s="21"/>
      <c r="G1004" s="27">
        <f>G1005</f>
        <v>0</v>
      </c>
      <c r="H1004" s="27">
        <f>H1005</f>
        <v>0</v>
      </c>
      <c r="I1004" s="27" t="e">
        <f t="shared" si="59"/>
        <v>#DIV/0!</v>
      </c>
    </row>
    <row r="1005" spans="1:9" ht="31.5" hidden="1">
      <c r="A1005" s="26" t="s">
        <v>182</v>
      </c>
      <c r="B1005" s="17">
        <v>908</v>
      </c>
      <c r="C1005" s="21" t="s">
        <v>285</v>
      </c>
      <c r="D1005" s="21" t="s">
        <v>266</v>
      </c>
      <c r="E1005" s="21" t="s">
        <v>599</v>
      </c>
      <c r="F1005" s="21" t="s">
        <v>183</v>
      </c>
      <c r="G1005" s="27">
        <f>G1006</f>
        <v>0</v>
      </c>
      <c r="H1005" s="27">
        <f>H1006</f>
        <v>0</v>
      </c>
      <c r="I1005" s="27" t="e">
        <f t="shared" si="59"/>
        <v>#DIV/0!</v>
      </c>
    </row>
    <row r="1006" spans="1:9" ht="47.25" hidden="1">
      <c r="A1006" s="26" t="s">
        <v>184</v>
      </c>
      <c r="B1006" s="17">
        <v>908</v>
      </c>
      <c r="C1006" s="21" t="s">
        <v>285</v>
      </c>
      <c r="D1006" s="21" t="s">
        <v>266</v>
      </c>
      <c r="E1006" s="21" t="s">
        <v>599</v>
      </c>
      <c r="F1006" s="21" t="s">
        <v>185</v>
      </c>
      <c r="G1006" s="27">
        <f>356-356</f>
        <v>0</v>
      </c>
      <c r="H1006" s="27"/>
      <c r="I1006" s="27" t="e">
        <f t="shared" si="59"/>
        <v>#DIV/0!</v>
      </c>
    </row>
    <row r="1007" spans="1:9" ht="15.75">
      <c r="A1007" s="26" t="s">
        <v>600</v>
      </c>
      <c r="B1007" s="17">
        <v>908</v>
      </c>
      <c r="C1007" s="21" t="s">
        <v>285</v>
      </c>
      <c r="D1007" s="21" t="s">
        <v>266</v>
      </c>
      <c r="E1007" s="21" t="s">
        <v>601</v>
      </c>
      <c r="F1007" s="21"/>
      <c r="G1007" s="27">
        <f>G1008+G1010</f>
        <v>2189.9000000000005</v>
      </c>
      <c r="H1007" s="27">
        <f>H1008+H1010</f>
        <v>2144</v>
      </c>
      <c r="I1007" s="27">
        <f t="shared" si="59"/>
        <v>97.90401388191239</v>
      </c>
    </row>
    <row r="1008" spans="1:9" ht="31.5">
      <c r="A1008" s="26" t="s">
        <v>182</v>
      </c>
      <c r="B1008" s="17">
        <v>908</v>
      </c>
      <c r="C1008" s="21" t="s">
        <v>285</v>
      </c>
      <c r="D1008" s="21" t="s">
        <v>266</v>
      </c>
      <c r="E1008" s="21" t="s">
        <v>601</v>
      </c>
      <c r="F1008" s="21" t="s">
        <v>183</v>
      </c>
      <c r="G1008" s="27">
        <f>G1009</f>
        <v>2152.4000000000005</v>
      </c>
      <c r="H1008" s="27">
        <f>H1009</f>
        <v>2106.5</v>
      </c>
      <c r="I1008" s="27">
        <f t="shared" si="59"/>
        <v>97.86749674781636</v>
      </c>
    </row>
    <row r="1009" spans="1:18" ht="47.25">
      <c r="A1009" s="26" t="s">
        <v>184</v>
      </c>
      <c r="B1009" s="17">
        <v>908</v>
      </c>
      <c r="C1009" s="21" t="s">
        <v>285</v>
      </c>
      <c r="D1009" s="21" t="s">
        <v>266</v>
      </c>
      <c r="E1009" s="21" t="s">
        <v>601</v>
      </c>
      <c r="F1009" s="21" t="s">
        <v>185</v>
      </c>
      <c r="G1009" s="27">
        <f>6383-3.4-37.5-672.7-1376-461-279.3+1.1-434.7-399-568.1</f>
        <v>2152.4000000000005</v>
      </c>
      <c r="H1009" s="27">
        <v>2106.5</v>
      </c>
      <c r="I1009" s="27">
        <f t="shared" si="59"/>
        <v>97.86749674781636</v>
      </c>
      <c r="R1009" s="280"/>
    </row>
    <row r="1010" spans="1:9" ht="15.75">
      <c r="A1010" s="26" t="s">
        <v>186</v>
      </c>
      <c r="B1010" s="17">
        <v>908</v>
      </c>
      <c r="C1010" s="21" t="s">
        <v>285</v>
      </c>
      <c r="D1010" s="21" t="s">
        <v>266</v>
      </c>
      <c r="E1010" s="21" t="s">
        <v>601</v>
      </c>
      <c r="F1010" s="21" t="s">
        <v>196</v>
      </c>
      <c r="G1010" s="27">
        <f>G1011</f>
        <v>37.5</v>
      </c>
      <c r="H1010" s="27">
        <f>H1011</f>
        <v>37.5</v>
      </c>
      <c r="I1010" s="27">
        <f t="shared" si="59"/>
        <v>100</v>
      </c>
    </row>
    <row r="1011" spans="1:9" ht="15.75">
      <c r="A1011" s="26" t="s">
        <v>620</v>
      </c>
      <c r="B1011" s="17">
        <v>908</v>
      </c>
      <c r="C1011" s="21" t="s">
        <v>285</v>
      </c>
      <c r="D1011" s="21" t="s">
        <v>266</v>
      </c>
      <c r="E1011" s="21" t="s">
        <v>601</v>
      </c>
      <c r="F1011" s="21" t="s">
        <v>189</v>
      </c>
      <c r="G1011" s="27">
        <f>3.4+37.5-3.4</f>
        <v>37.5</v>
      </c>
      <c r="H1011" s="27">
        <v>37.5</v>
      </c>
      <c r="I1011" s="27">
        <f t="shared" si="59"/>
        <v>100</v>
      </c>
    </row>
    <row r="1012" spans="1:9" ht="15.75">
      <c r="A1012" s="26" t="s">
        <v>602</v>
      </c>
      <c r="B1012" s="17">
        <v>908</v>
      </c>
      <c r="C1012" s="21" t="s">
        <v>285</v>
      </c>
      <c r="D1012" s="21" t="s">
        <v>266</v>
      </c>
      <c r="E1012" s="21" t="s">
        <v>603</v>
      </c>
      <c r="F1012" s="21"/>
      <c r="G1012" s="27">
        <f>G1013</f>
        <v>2551.7000000000003</v>
      </c>
      <c r="H1012" s="27">
        <f>H1013</f>
        <v>1002</v>
      </c>
      <c r="I1012" s="27">
        <f t="shared" si="59"/>
        <v>39.26793902104479</v>
      </c>
    </row>
    <row r="1013" spans="1:9" ht="31.5">
      <c r="A1013" s="26" t="s">
        <v>182</v>
      </c>
      <c r="B1013" s="17">
        <v>908</v>
      </c>
      <c r="C1013" s="21" t="s">
        <v>285</v>
      </c>
      <c r="D1013" s="21" t="s">
        <v>266</v>
      </c>
      <c r="E1013" s="21" t="s">
        <v>603</v>
      </c>
      <c r="F1013" s="21" t="s">
        <v>183</v>
      </c>
      <c r="G1013" s="27">
        <f>G1014</f>
        <v>2551.7000000000003</v>
      </c>
      <c r="H1013" s="27">
        <f>H1014</f>
        <v>1002</v>
      </c>
      <c r="I1013" s="27">
        <f t="shared" si="59"/>
        <v>39.26793902104479</v>
      </c>
    </row>
    <row r="1014" spans="1:9" ht="47.25">
      <c r="A1014" s="26" t="s">
        <v>184</v>
      </c>
      <c r="B1014" s="17">
        <v>908</v>
      </c>
      <c r="C1014" s="21" t="s">
        <v>285</v>
      </c>
      <c r="D1014" s="21" t="s">
        <v>266</v>
      </c>
      <c r="E1014" s="21" t="s">
        <v>603</v>
      </c>
      <c r="F1014" s="21" t="s">
        <v>185</v>
      </c>
      <c r="G1014" s="27">
        <f>4316.8+399-1549.5-614.6</f>
        <v>2551.7000000000003</v>
      </c>
      <c r="H1014" s="27">
        <v>1002</v>
      </c>
      <c r="I1014" s="27">
        <f t="shared" si="59"/>
        <v>39.26793902104479</v>
      </c>
    </row>
    <row r="1015" spans="1:14" ht="36.75" customHeight="1">
      <c r="A1015" s="26" t="s">
        <v>613</v>
      </c>
      <c r="B1015" s="17">
        <v>908</v>
      </c>
      <c r="C1015" s="21" t="s">
        <v>285</v>
      </c>
      <c r="D1015" s="21" t="s">
        <v>266</v>
      </c>
      <c r="E1015" s="21" t="s">
        <v>970</v>
      </c>
      <c r="F1015" s="21"/>
      <c r="G1015" s="27">
        <f>G1016</f>
        <v>2170.9</v>
      </c>
      <c r="H1015" s="27">
        <f>H1016</f>
        <v>2170.9</v>
      </c>
      <c r="I1015" s="27">
        <f t="shared" si="59"/>
        <v>100</v>
      </c>
      <c r="L1015" s="313"/>
      <c r="N1015" s="294"/>
    </row>
    <row r="1016" spans="1:9" ht="31.5">
      <c r="A1016" s="26" t="s">
        <v>182</v>
      </c>
      <c r="B1016" s="17">
        <v>908</v>
      </c>
      <c r="C1016" s="21" t="s">
        <v>285</v>
      </c>
      <c r="D1016" s="21" t="s">
        <v>266</v>
      </c>
      <c r="E1016" s="21" t="s">
        <v>970</v>
      </c>
      <c r="F1016" s="21" t="s">
        <v>183</v>
      </c>
      <c r="G1016" s="27">
        <f>G1017</f>
        <v>2170.9</v>
      </c>
      <c r="H1016" s="27">
        <f>H1017</f>
        <v>2170.9</v>
      </c>
      <c r="I1016" s="27">
        <f t="shared" si="59"/>
        <v>100</v>
      </c>
    </row>
    <row r="1017" spans="1:9" ht="47.25">
      <c r="A1017" s="26" t="s">
        <v>184</v>
      </c>
      <c r="B1017" s="17">
        <v>908</v>
      </c>
      <c r="C1017" s="21" t="s">
        <v>285</v>
      </c>
      <c r="D1017" s="21" t="s">
        <v>266</v>
      </c>
      <c r="E1017" s="21" t="s">
        <v>970</v>
      </c>
      <c r="F1017" s="21" t="s">
        <v>185</v>
      </c>
      <c r="G1017" s="27">
        <v>2170.9</v>
      </c>
      <c r="H1017" s="27">
        <v>2170.9</v>
      </c>
      <c r="I1017" s="27">
        <f t="shared" si="59"/>
        <v>100</v>
      </c>
    </row>
    <row r="1018" spans="1:9" ht="47.25">
      <c r="A1018" s="26" t="s">
        <v>604</v>
      </c>
      <c r="B1018" s="17">
        <v>908</v>
      </c>
      <c r="C1018" s="21" t="s">
        <v>285</v>
      </c>
      <c r="D1018" s="21" t="s">
        <v>266</v>
      </c>
      <c r="E1018" s="21" t="s">
        <v>605</v>
      </c>
      <c r="F1018" s="21"/>
      <c r="G1018" s="27">
        <f>G1019+G1024+G1027+G1030</f>
        <v>523.7999999999996</v>
      </c>
      <c r="H1018" s="27">
        <f>H1019+H1024+H1027+H1030</f>
        <v>261.40000000000003</v>
      </c>
      <c r="I1018" s="27">
        <f t="shared" si="59"/>
        <v>49.904543718976754</v>
      </c>
    </row>
    <row r="1019" spans="1:9" ht="15.75">
      <c r="A1019" s="26" t="s">
        <v>602</v>
      </c>
      <c r="B1019" s="17">
        <v>908</v>
      </c>
      <c r="C1019" s="21" t="s">
        <v>285</v>
      </c>
      <c r="D1019" s="21" t="s">
        <v>266</v>
      </c>
      <c r="E1019" s="21" t="s">
        <v>606</v>
      </c>
      <c r="F1019" s="21"/>
      <c r="G1019" s="27">
        <f>G1020+G1022</f>
        <v>177.5</v>
      </c>
      <c r="H1019" s="27">
        <f>H1020+H1022</f>
        <v>158.6</v>
      </c>
      <c r="I1019" s="27">
        <f t="shared" si="59"/>
        <v>89.35211267605634</v>
      </c>
    </row>
    <row r="1020" spans="1:9" ht="94.5" hidden="1">
      <c r="A1020" s="26" t="s">
        <v>178</v>
      </c>
      <c r="B1020" s="17">
        <v>908</v>
      </c>
      <c r="C1020" s="21" t="s">
        <v>285</v>
      </c>
      <c r="D1020" s="21" t="s">
        <v>266</v>
      </c>
      <c r="E1020" s="21" t="s">
        <v>606</v>
      </c>
      <c r="F1020" s="21" t="s">
        <v>179</v>
      </c>
      <c r="G1020" s="27">
        <f>G1021</f>
        <v>0</v>
      </c>
      <c r="H1020" s="27">
        <f>H1021</f>
        <v>0</v>
      </c>
      <c r="I1020" s="27" t="e">
        <f t="shared" si="59"/>
        <v>#DIV/0!</v>
      </c>
    </row>
    <row r="1021" spans="1:9" ht="31.5" hidden="1">
      <c r="A1021" s="48" t="s">
        <v>393</v>
      </c>
      <c r="B1021" s="17">
        <v>908</v>
      </c>
      <c r="C1021" s="21" t="s">
        <v>285</v>
      </c>
      <c r="D1021" s="21" t="s">
        <v>266</v>
      </c>
      <c r="E1021" s="21" t="s">
        <v>606</v>
      </c>
      <c r="F1021" s="21" t="s">
        <v>260</v>
      </c>
      <c r="G1021" s="27">
        <v>0</v>
      </c>
      <c r="H1021" s="27">
        <v>0</v>
      </c>
      <c r="I1021" s="27" t="e">
        <f t="shared" si="59"/>
        <v>#DIV/0!</v>
      </c>
    </row>
    <row r="1022" spans="1:9" ht="31.5">
      <c r="A1022" s="26" t="s">
        <v>182</v>
      </c>
      <c r="B1022" s="17">
        <v>908</v>
      </c>
      <c r="C1022" s="21" t="s">
        <v>285</v>
      </c>
      <c r="D1022" s="21" t="s">
        <v>266</v>
      </c>
      <c r="E1022" s="21" t="s">
        <v>606</v>
      </c>
      <c r="F1022" s="21" t="s">
        <v>183</v>
      </c>
      <c r="G1022" s="27">
        <f>G1023</f>
        <v>177.5</v>
      </c>
      <c r="H1022" s="27">
        <f>H1023</f>
        <v>158.6</v>
      </c>
      <c r="I1022" s="27">
        <f t="shared" si="59"/>
        <v>89.35211267605634</v>
      </c>
    </row>
    <row r="1023" spans="1:9" ht="47.25">
      <c r="A1023" s="26" t="s">
        <v>184</v>
      </c>
      <c r="B1023" s="17">
        <v>908</v>
      </c>
      <c r="C1023" s="21" t="s">
        <v>285</v>
      </c>
      <c r="D1023" s="21" t="s">
        <v>266</v>
      </c>
      <c r="E1023" s="21" t="s">
        <v>606</v>
      </c>
      <c r="F1023" s="21" t="s">
        <v>185</v>
      </c>
      <c r="G1023" s="27">
        <f>1364-1186.5</f>
        <v>177.5</v>
      </c>
      <c r="H1023" s="27">
        <v>158.6</v>
      </c>
      <c r="I1023" s="27">
        <f t="shared" si="59"/>
        <v>89.35211267605634</v>
      </c>
    </row>
    <row r="1024" spans="1:9" ht="15.75">
      <c r="A1024" s="26" t="s">
        <v>607</v>
      </c>
      <c r="B1024" s="17">
        <v>908</v>
      </c>
      <c r="C1024" s="21" t="s">
        <v>285</v>
      </c>
      <c r="D1024" s="21" t="s">
        <v>266</v>
      </c>
      <c r="E1024" s="21" t="s">
        <v>608</v>
      </c>
      <c r="F1024" s="21"/>
      <c r="G1024" s="27">
        <f>G1025</f>
        <v>87.69999999999999</v>
      </c>
      <c r="H1024" s="27">
        <f>H1025</f>
        <v>87.7</v>
      </c>
      <c r="I1024" s="27">
        <f t="shared" si="59"/>
        <v>100.00000000000003</v>
      </c>
    </row>
    <row r="1025" spans="1:9" ht="31.5">
      <c r="A1025" s="26" t="s">
        <v>182</v>
      </c>
      <c r="B1025" s="17">
        <v>908</v>
      </c>
      <c r="C1025" s="21" t="s">
        <v>285</v>
      </c>
      <c r="D1025" s="21" t="s">
        <v>266</v>
      </c>
      <c r="E1025" s="375" t="s">
        <v>608</v>
      </c>
      <c r="F1025" s="376" t="s">
        <v>183</v>
      </c>
      <c r="G1025" s="27">
        <f>G1026</f>
        <v>87.69999999999999</v>
      </c>
      <c r="H1025" s="27">
        <f>H1026</f>
        <v>87.7</v>
      </c>
      <c r="I1025" s="27">
        <f t="shared" si="59"/>
        <v>100.00000000000003</v>
      </c>
    </row>
    <row r="1026" spans="1:9" ht="47.25">
      <c r="A1026" s="26" t="s">
        <v>184</v>
      </c>
      <c r="B1026" s="17">
        <v>908</v>
      </c>
      <c r="C1026" s="21" t="s">
        <v>285</v>
      </c>
      <c r="D1026" s="21" t="s">
        <v>266</v>
      </c>
      <c r="E1026" s="21" t="s">
        <v>608</v>
      </c>
      <c r="F1026" s="21" t="s">
        <v>185</v>
      </c>
      <c r="G1026" s="27">
        <f>115.8-28.1</f>
        <v>87.69999999999999</v>
      </c>
      <c r="H1026" s="27">
        <v>87.7</v>
      </c>
      <c r="I1026" s="27">
        <f t="shared" si="59"/>
        <v>100.00000000000003</v>
      </c>
    </row>
    <row r="1027" spans="1:12" ht="47.25">
      <c r="A1027" s="47" t="s">
        <v>609</v>
      </c>
      <c r="B1027" s="17">
        <v>908</v>
      </c>
      <c r="C1027" s="21" t="s">
        <v>285</v>
      </c>
      <c r="D1027" s="21" t="s">
        <v>266</v>
      </c>
      <c r="E1027" s="21" t="s">
        <v>610</v>
      </c>
      <c r="F1027" s="21"/>
      <c r="G1027" s="27">
        <f>G1028</f>
        <v>243.39999999999964</v>
      </c>
      <c r="H1027" s="27">
        <f>H1028</f>
        <v>0</v>
      </c>
      <c r="I1027" s="27">
        <f t="shared" si="59"/>
        <v>0</v>
      </c>
      <c r="L1027" s="294"/>
    </row>
    <row r="1028" spans="1:9" ht="31.5">
      <c r="A1028" s="26" t="s">
        <v>182</v>
      </c>
      <c r="B1028" s="17">
        <v>908</v>
      </c>
      <c r="C1028" s="21" t="s">
        <v>285</v>
      </c>
      <c r="D1028" s="21" t="s">
        <v>266</v>
      </c>
      <c r="E1028" s="21" t="s">
        <v>610</v>
      </c>
      <c r="F1028" s="21" t="s">
        <v>183</v>
      </c>
      <c r="G1028" s="27">
        <f>G1029</f>
        <v>243.39999999999964</v>
      </c>
      <c r="H1028" s="27">
        <f>H1029</f>
        <v>0</v>
      </c>
      <c r="I1028" s="27">
        <f t="shared" si="59"/>
        <v>0</v>
      </c>
    </row>
    <row r="1029" spans="1:9" ht="47.25">
      <c r="A1029" s="26" t="s">
        <v>184</v>
      </c>
      <c r="B1029" s="17">
        <v>908</v>
      </c>
      <c r="C1029" s="21" t="s">
        <v>285</v>
      </c>
      <c r="D1029" s="21" t="s">
        <v>266</v>
      </c>
      <c r="E1029" s="21" t="s">
        <v>610</v>
      </c>
      <c r="F1029" s="21" t="s">
        <v>185</v>
      </c>
      <c r="G1029" s="27">
        <f>3124.2-481.5-243.3-2156</f>
        <v>243.39999999999964</v>
      </c>
      <c r="H1029" s="27">
        <v>0</v>
      </c>
      <c r="I1029" s="27">
        <f t="shared" si="59"/>
        <v>0</v>
      </c>
    </row>
    <row r="1030" spans="1:14" ht="31.5">
      <c r="A1030" s="47" t="s">
        <v>611</v>
      </c>
      <c r="B1030" s="17">
        <v>908</v>
      </c>
      <c r="C1030" s="21" t="s">
        <v>285</v>
      </c>
      <c r="D1030" s="21" t="s">
        <v>266</v>
      </c>
      <c r="E1030" s="21" t="s">
        <v>612</v>
      </c>
      <c r="F1030" s="21"/>
      <c r="G1030" s="27">
        <f>G1031</f>
        <v>15.199999999999989</v>
      </c>
      <c r="H1030" s="27">
        <f>H1031</f>
        <v>15.1</v>
      </c>
      <c r="I1030" s="27">
        <f t="shared" si="59"/>
        <v>99.34210526315796</v>
      </c>
      <c r="L1030" s="294"/>
      <c r="N1030" s="294"/>
    </row>
    <row r="1031" spans="1:9" ht="31.5">
      <c r="A1031" s="26" t="s">
        <v>182</v>
      </c>
      <c r="B1031" s="17">
        <v>908</v>
      </c>
      <c r="C1031" s="21" t="s">
        <v>285</v>
      </c>
      <c r="D1031" s="21" t="s">
        <v>266</v>
      </c>
      <c r="E1031" s="21" t="s">
        <v>612</v>
      </c>
      <c r="F1031" s="21" t="s">
        <v>183</v>
      </c>
      <c r="G1031" s="27">
        <f>G1032</f>
        <v>15.199999999999989</v>
      </c>
      <c r="H1031" s="27">
        <f>H1032</f>
        <v>15.1</v>
      </c>
      <c r="I1031" s="27">
        <f t="shared" si="59"/>
        <v>99.34210526315796</v>
      </c>
    </row>
    <row r="1032" spans="1:9" ht="47.25">
      <c r="A1032" s="26" t="s">
        <v>184</v>
      </c>
      <c r="B1032" s="17">
        <v>908</v>
      </c>
      <c r="C1032" s="21" t="s">
        <v>285</v>
      </c>
      <c r="D1032" s="21" t="s">
        <v>266</v>
      </c>
      <c r="E1032" s="21" t="s">
        <v>612</v>
      </c>
      <c r="F1032" s="21" t="s">
        <v>185</v>
      </c>
      <c r="G1032" s="27">
        <f>463.2-448</f>
        <v>15.199999999999989</v>
      </c>
      <c r="H1032" s="27">
        <v>15.1</v>
      </c>
      <c r="I1032" s="27">
        <f t="shared" si="59"/>
        <v>99.34210526315796</v>
      </c>
    </row>
    <row r="1033" spans="1:12" ht="63">
      <c r="A1033" s="26" t="s">
        <v>1000</v>
      </c>
      <c r="B1033" s="17">
        <v>908</v>
      </c>
      <c r="C1033" s="21" t="s">
        <v>285</v>
      </c>
      <c r="D1033" s="21" t="s">
        <v>266</v>
      </c>
      <c r="E1033" s="21" t="s">
        <v>801</v>
      </c>
      <c r="F1033" s="21"/>
      <c r="G1033" s="27">
        <f aca="true" t="shared" si="60" ref="G1033:H1035">G1034</f>
        <v>1979.6</v>
      </c>
      <c r="H1033" s="27">
        <f t="shared" si="60"/>
        <v>1979.5</v>
      </c>
      <c r="I1033" s="27">
        <f t="shared" si="59"/>
        <v>99.99494847443928</v>
      </c>
      <c r="L1033" s="294"/>
    </row>
    <row r="1034" spans="1:9" ht="63">
      <c r="A1034" s="26" t="s">
        <v>771</v>
      </c>
      <c r="B1034" s="17">
        <v>908</v>
      </c>
      <c r="C1034" s="21" t="s">
        <v>285</v>
      </c>
      <c r="D1034" s="21" t="s">
        <v>266</v>
      </c>
      <c r="E1034" s="21" t="s">
        <v>1028</v>
      </c>
      <c r="F1034" s="21"/>
      <c r="G1034" s="27">
        <f t="shared" si="60"/>
        <v>1979.6</v>
      </c>
      <c r="H1034" s="27">
        <f t="shared" si="60"/>
        <v>1979.5</v>
      </c>
      <c r="I1034" s="27">
        <f t="shared" si="59"/>
        <v>99.99494847443928</v>
      </c>
    </row>
    <row r="1035" spans="1:9" ht="31.5">
      <c r="A1035" s="26" t="s">
        <v>182</v>
      </c>
      <c r="B1035" s="17">
        <v>908</v>
      </c>
      <c r="C1035" s="21" t="s">
        <v>285</v>
      </c>
      <c r="D1035" s="21" t="s">
        <v>266</v>
      </c>
      <c r="E1035" s="21" t="s">
        <v>1028</v>
      </c>
      <c r="F1035" s="21" t="s">
        <v>183</v>
      </c>
      <c r="G1035" s="27">
        <f t="shared" si="60"/>
        <v>1979.6</v>
      </c>
      <c r="H1035" s="27">
        <f t="shared" si="60"/>
        <v>1979.5</v>
      </c>
      <c r="I1035" s="27">
        <f aca="true" t="shared" si="61" ref="I1035:I1098">H1035/G1035*100</f>
        <v>99.99494847443928</v>
      </c>
    </row>
    <row r="1036" spans="1:14" ht="47.25">
      <c r="A1036" s="26" t="s">
        <v>184</v>
      </c>
      <c r="B1036" s="17">
        <v>908</v>
      </c>
      <c r="C1036" s="21" t="s">
        <v>285</v>
      </c>
      <c r="D1036" s="21" t="s">
        <v>266</v>
      </c>
      <c r="E1036" s="21" t="s">
        <v>1028</v>
      </c>
      <c r="F1036" s="21" t="s">
        <v>185</v>
      </c>
      <c r="G1036" s="27">
        <f>500-45.7+1525.2+0.1</f>
        <v>1979.6</v>
      </c>
      <c r="H1036" s="27">
        <v>1979.5</v>
      </c>
      <c r="I1036" s="27">
        <f t="shared" si="61"/>
        <v>99.99494847443928</v>
      </c>
      <c r="M1036" s="305"/>
      <c r="N1036" s="305"/>
    </row>
    <row r="1037" spans="1:9" ht="15.75">
      <c r="A1037" s="26" t="s">
        <v>172</v>
      </c>
      <c r="B1037" s="17">
        <v>908</v>
      </c>
      <c r="C1037" s="21" t="s">
        <v>285</v>
      </c>
      <c r="D1037" s="21" t="s">
        <v>266</v>
      </c>
      <c r="E1037" s="21" t="s">
        <v>173</v>
      </c>
      <c r="F1037" s="21"/>
      <c r="G1037" s="27">
        <f>G1038+G1051</f>
        <v>5779.38</v>
      </c>
      <c r="H1037" s="27">
        <f>H1038+H1051</f>
        <v>4269.400000000001</v>
      </c>
      <c r="I1037" s="27">
        <f t="shared" si="61"/>
        <v>73.87297599396476</v>
      </c>
    </row>
    <row r="1038" spans="1:9" ht="31.5">
      <c r="A1038" s="26" t="s">
        <v>236</v>
      </c>
      <c r="B1038" s="17">
        <v>908</v>
      </c>
      <c r="C1038" s="21" t="s">
        <v>285</v>
      </c>
      <c r="D1038" s="21" t="s">
        <v>266</v>
      </c>
      <c r="E1038" s="21" t="s">
        <v>237</v>
      </c>
      <c r="F1038" s="21"/>
      <c r="G1038" s="27">
        <f>G1039+G1042+G1045+G1048</f>
        <v>2283.88</v>
      </c>
      <c r="H1038" s="27">
        <f>H1039+H1042+H1045+H1048</f>
        <v>785.7</v>
      </c>
      <c r="I1038" s="27">
        <f t="shared" si="61"/>
        <v>34.4019825910293</v>
      </c>
    </row>
    <row r="1039" spans="1:9" ht="31.5" hidden="1">
      <c r="A1039" s="26" t="s">
        <v>613</v>
      </c>
      <c r="B1039" s="17">
        <v>908</v>
      </c>
      <c r="C1039" s="21" t="s">
        <v>285</v>
      </c>
      <c r="D1039" s="21" t="s">
        <v>266</v>
      </c>
      <c r="E1039" s="21" t="s">
        <v>614</v>
      </c>
      <c r="F1039" s="21"/>
      <c r="G1039" s="27">
        <f>G1040</f>
        <v>0</v>
      </c>
      <c r="H1039" s="27">
        <f>H1040</f>
        <v>0</v>
      </c>
      <c r="I1039" s="27" t="e">
        <f t="shared" si="61"/>
        <v>#DIV/0!</v>
      </c>
    </row>
    <row r="1040" spans="1:9" ht="31.5" hidden="1">
      <c r="A1040" s="26" t="s">
        <v>182</v>
      </c>
      <c r="B1040" s="17">
        <v>908</v>
      </c>
      <c r="C1040" s="21" t="s">
        <v>285</v>
      </c>
      <c r="D1040" s="21" t="s">
        <v>266</v>
      </c>
      <c r="E1040" s="21" t="s">
        <v>614</v>
      </c>
      <c r="F1040" s="21" t="s">
        <v>183</v>
      </c>
      <c r="G1040" s="27">
        <f>G1041</f>
        <v>0</v>
      </c>
      <c r="H1040" s="27">
        <f>H1041</f>
        <v>0</v>
      </c>
      <c r="I1040" s="27" t="e">
        <f t="shared" si="61"/>
        <v>#DIV/0!</v>
      </c>
    </row>
    <row r="1041" spans="1:9" ht="47.25" hidden="1">
      <c r="A1041" s="26" t="s">
        <v>184</v>
      </c>
      <c r="B1041" s="17">
        <v>908</v>
      </c>
      <c r="C1041" s="21" t="s">
        <v>285</v>
      </c>
      <c r="D1041" s="21" t="s">
        <v>266</v>
      </c>
      <c r="E1041" s="21" t="s">
        <v>614</v>
      </c>
      <c r="F1041" s="21" t="s">
        <v>185</v>
      </c>
      <c r="G1041" s="27">
        <f>1915.9+2170.9-2170.9+255-2170.9</f>
        <v>0</v>
      </c>
      <c r="H1041" s="27">
        <f>1915.9+2170.9-2170.9+255-2170.9</f>
        <v>0</v>
      </c>
      <c r="I1041" s="27" t="e">
        <f t="shared" si="61"/>
        <v>#DIV/0!</v>
      </c>
    </row>
    <row r="1042" spans="1:9" ht="47.25">
      <c r="A1042" s="26" t="s">
        <v>768</v>
      </c>
      <c r="B1042" s="17">
        <v>908</v>
      </c>
      <c r="C1042" s="21" t="s">
        <v>285</v>
      </c>
      <c r="D1042" s="21" t="s">
        <v>266</v>
      </c>
      <c r="E1042" s="21" t="s">
        <v>769</v>
      </c>
      <c r="F1042" s="21"/>
      <c r="G1042" s="27">
        <f>G1043</f>
        <v>2283.88</v>
      </c>
      <c r="H1042" s="27">
        <f>H1043</f>
        <v>785.7</v>
      </c>
      <c r="I1042" s="27">
        <f t="shared" si="61"/>
        <v>34.4019825910293</v>
      </c>
    </row>
    <row r="1043" spans="1:9" ht="31.5">
      <c r="A1043" s="26" t="s">
        <v>182</v>
      </c>
      <c r="B1043" s="17">
        <v>908</v>
      </c>
      <c r="C1043" s="21" t="s">
        <v>285</v>
      </c>
      <c r="D1043" s="21" t="s">
        <v>266</v>
      </c>
      <c r="E1043" s="21" t="s">
        <v>769</v>
      </c>
      <c r="F1043" s="21" t="s">
        <v>183</v>
      </c>
      <c r="G1043" s="27">
        <f>G1044</f>
        <v>2283.88</v>
      </c>
      <c r="H1043" s="27">
        <f>H1044</f>
        <v>785.7</v>
      </c>
      <c r="I1043" s="27">
        <f t="shared" si="61"/>
        <v>34.4019825910293</v>
      </c>
    </row>
    <row r="1044" spans="1:9" ht="47.25">
      <c r="A1044" s="26" t="s">
        <v>184</v>
      </c>
      <c r="B1044" s="17">
        <v>908</v>
      </c>
      <c r="C1044" s="21" t="s">
        <v>285</v>
      </c>
      <c r="D1044" s="21" t="s">
        <v>266</v>
      </c>
      <c r="E1044" s="21" t="s">
        <v>769</v>
      </c>
      <c r="F1044" s="21" t="s">
        <v>185</v>
      </c>
      <c r="G1044" s="27">
        <f>976+1307.88</f>
        <v>2283.88</v>
      </c>
      <c r="H1044" s="27">
        <v>785.7</v>
      </c>
      <c r="I1044" s="27">
        <f t="shared" si="61"/>
        <v>34.4019825910293</v>
      </c>
    </row>
    <row r="1045" spans="1:9" ht="47.25" hidden="1">
      <c r="A1045" s="26" t="s">
        <v>770</v>
      </c>
      <c r="B1045" s="17">
        <v>908</v>
      </c>
      <c r="C1045" s="21" t="s">
        <v>285</v>
      </c>
      <c r="D1045" s="21" t="s">
        <v>266</v>
      </c>
      <c r="E1045" s="21" t="s">
        <v>615</v>
      </c>
      <c r="F1045" s="21"/>
      <c r="G1045" s="27">
        <f>G1046</f>
        <v>0</v>
      </c>
      <c r="H1045" s="27">
        <f>H1046</f>
        <v>0</v>
      </c>
      <c r="I1045" s="27" t="e">
        <f t="shared" si="61"/>
        <v>#DIV/0!</v>
      </c>
    </row>
    <row r="1046" spans="1:9" ht="31.5" hidden="1">
      <c r="A1046" s="26" t="s">
        <v>182</v>
      </c>
      <c r="B1046" s="17">
        <v>908</v>
      </c>
      <c r="C1046" s="21" t="s">
        <v>285</v>
      </c>
      <c r="D1046" s="21" t="s">
        <v>266</v>
      </c>
      <c r="E1046" s="21" t="s">
        <v>615</v>
      </c>
      <c r="F1046" s="21" t="s">
        <v>183</v>
      </c>
      <c r="G1046" s="27">
        <f>G1047</f>
        <v>0</v>
      </c>
      <c r="H1046" s="27">
        <f>H1047</f>
        <v>0</v>
      </c>
      <c r="I1046" s="27" t="e">
        <f t="shared" si="61"/>
        <v>#DIV/0!</v>
      </c>
    </row>
    <row r="1047" spans="1:9" ht="47.25" hidden="1">
      <c r="A1047" s="26" t="s">
        <v>184</v>
      </c>
      <c r="B1047" s="17">
        <v>908</v>
      </c>
      <c r="C1047" s="21" t="s">
        <v>285</v>
      </c>
      <c r="D1047" s="21" t="s">
        <v>266</v>
      </c>
      <c r="E1047" s="21" t="s">
        <v>615</v>
      </c>
      <c r="F1047" s="21" t="s">
        <v>185</v>
      </c>
      <c r="G1047" s="27">
        <v>0</v>
      </c>
      <c r="H1047" s="27">
        <v>0</v>
      </c>
      <c r="I1047" s="27" t="e">
        <f t="shared" si="61"/>
        <v>#DIV/0!</v>
      </c>
    </row>
    <row r="1048" spans="1:9" ht="63" hidden="1">
      <c r="A1048" s="26" t="s">
        <v>771</v>
      </c>
      <c r="B1048" s="17">
        <v>908</v>
      </c>
      <c r="C1048" s="21" t="s">
        <v>285</v>
      </c>
      <c r="D1048" s="21" t="s">
        <v>266</v>
      </c>
      <c r="E1048" s="21" t="s">
        <v>772</v>
      </c>
      <c r="F1048" s="21"/>
      <c r="G1048" s="27">
        <f>G1049</f>
        <v>0</v>
      </c>
      <c r="H1048" s="27">
        <f>H1049</f>
        <v>0</v>
      </c>
      <c r="I1048" s="27" t="e">
        <f t="shared" si="61"/>
        <v>#DIV/0!</v>
      </c>
    </row>
    <row r="1049" spans="1:9" ht="31.5" hidden="1">
      <c r="A1049" s="26" t="s">
        <v>182</v>
      </c>
      <c r="B1049" s="17">
        <v>908</v>
      </c>
      <c r="C1049" s="21" t="s">
        <v>285</v>
      </c>
      <c r="D1049" s="21" t="s">
        <v>266</v>
      </c>
      <c r="E1049" s="21" t="s">
        <v>772</v>
      </c>
      <c r="F1049" s="21" t="s">
        <v>183</v>
      </c>
      <c r="G1049" s="27">
        <f>G1050</f>
        <v>0</v>
      </c>
      <c r="H1049" s="27">
        <f>H1050</f>
        <v>0</v>
      </c>
      <c r="I1049" s="27" t="e">
        <f t="shared" si="61"/>
        <v>#DIV/0!</v>
      </c>
    </row>
    <row r="1050" spans="1:10" ht="47.25" hidden="1">
      <c r="A1050" s="26" t="s">
        <v>184</v>
      </c>
      <c r="B1050" s="17">
        <v>908</v>
      </c>
      <c r="C1050" s="21" t="s">
        <v>285</v>
      </c>
      <c r="D1050" s="21" t="s">
        <v>266</v>
      </c>
      <c r="E1050" s="21" t="s">
        <v>772</v>
      </c>
      <c r="F1050" s="21" t="s">
        <v>185</v>
      </c>
      <c r="G1050" s="27">
        <v>0</v>
      </c>
      <c r="H1050" s="27">
        <v>0</v>
      </c>
      <c r="I1050" s="27" t="e">
        <f t="shared" si="61"/>
        <v>#DIV/0!</v>
      </c>
      <c r="J1050" s="277"/>
    </row>
    <row r="1051" spans="1:9" ht="15.75">
      <c r="A1051" s="26" t="s">
        <v>192</v>
      </c>
      <c r="B1051" s="17">
        <v>908</v>
      </c>
      <c r="C1051" s="21" t="s">
        <v>285</v>
      </c>
      <c r="D1051" s="21" t="s">
        <v>266</v>
      </c>
      <c r="E1051" s="21" t="s">
        <v>193</v>
      </c>
      <c r="F1051" s="21"/>
      <c r="G1051" s="27">
        <f>G1052+G1055+G1058</f>
        <v>3495.5</v>
      </c>
      <c r="H1051" s="27">
        <f>H1052+H1055+H1058</f>
        <v>3483.7000000000003</v>
      </c>
      <c r="I1051" s="27">
        <f t="shared" si="61"/>
        <v>99.66242311543414</v>
      </c>
    </row>
    <row r="1052" spans="1:9" ht="15.75">
      <c r="A1052" s="26" t="s">
        <v>616</v>
      </c>
      <c r="B1052" s="17">
        <v>908</v>
      </c>
      <c r="C1052" s="21" t="s">
        <v>285</v>
      </c>
      <c r="D1052" s="21" t="s">
        <v>266</v>
      </c>
      <c r="E1052" s="21" t="s">
        <v>617</v>
      </c>
      <c r="F1052" s="21"/>
      <c r="G1052" s="27">
        <f>G1053</f>
        <v>390</v>
      </c>
      <c r="H1052" s="27">
        <f>H1053</f>
        <v>389.4</v>
      </c>
      <c r="I1052" s="27">
        <f t="shared" si="61"/>
        <v>99.84615384615384</v>
      </c>
    </row>
    <row r="1053" spans="1:9" ht="31.5">
      <c r="A1053" s="26" t="s">
        <v>182</v>
      </c>
      <c r="B1053" s="17">
        <v>908</v>
      </c>
      <c r="C1053" s="21" t="s">
        <v>285</v>
      </c>
      <c r="D1053" s="21" t="s">
        <v>266</v>
      </c>
      <c r="E1053" s="21" t="s">
        <v>617</v>
      </c>
      <c r="F1053" s="21" t="s">
        <v>183</v>
      </c>
      <c r="G1053" s="27">
        <f>G1054</f>
        <v>390</v>
      </c>
      <c r="H1053" s="27">
        <f>H1054</f>
        <v>389.4</v>
      </c>
      <c r="I1053" s="27">
        <f t="shared" si="61"/>
        <v>99.84615384615384</v>
      </c>
    </row>
    <row r="1054" spans="1:9" ht="47.25">
      <c r="A1054" s="26" t="s">
        <v>184</v>
      </c>
      <c r="B1054" s="17">
        <v>908</v>
      </c>
      <c r="C1054" s="21" t="s">
        <v>285</v>
      </c>
      <c r="D1054" s="21" t="s">
        <v>266</v>
      </c>
      <c r="E1054" s="21" t="s">
        <v>617</v>
      </c>
      <c r="F1054" s="21" t="s">
        <v>185</v>
      </c>
      <c r="G1054" s="28">
        <v>390</v>
      </c>
      <c r="H1054" s="28">
        <v>389.4</v>
      </c>
      <c r="I1054" s="27">
        <f t="shared" si="61"/>
        <v>99.84615384615384</v>
      </c>
    </row>
    <row r="1055" spans="1:9" ht="15.75" customHeight="1" hidden="1">
      <c r="A1055" s="26" t="s">
        <v>618</v>
      </c>
      <c r="B1055" s="17">
        <v>908</v>
      </c>
      <c r="C1055" s="21" t="s">
        <v>285</v>
      </c>
      <c r="D1055" s="21" t="s">
        <v>266</v>
      </c>
      <c r="E1055" s="21" t="s">
        <v>619</v>
      </c>
      <c r="F1055" s="21"/>
      <c r="G1055" s="28">
        <f>G1056</f>
        <v>0</v>
      </c>
      <c r="H1055" s="28">
        <f>H1056</f>
        <v>0</v>
      </c>
      <c r="I1055" s="27" t="e">
        <f t="shared" si="61"/>
        <v>#DIV/0!</v>
      </c>
    </row>
    <row r="1056" spans="1:9" ht="15.75" customHeight="1" hidden="1">
      <c r="A1056" s="26" t="s">
        <v>186</v>
      </c>
      <c r="B1056" s="17">
        <v>908</v>
      </c>
      <c r="C1056" s="21" t="s">
        <v>285</v>
      </c>
      <c r="D1056" s="21" t="s">
        <v>266</v>
      </c>
      <c r="E1056" s="21" t="s">
        <v>619</v>
      </c>
      <c r="F1056" s="21" t="s">
        <v>196</v>
      </c>
      <c r="G1056" s="28">
        <f>G1057</f>
        <v>0</v>
      </c>
      <c r="H1056" s="28">
        <f>H1057</f>
        <v>0</v>
      </c>
      <c r="I1056" s="27" t="e">
        <f t="shared" si="61"/>
        <v>#DIV/0!</v>
      </c>
    </row>
    <row r="1057" spans="1:9" ht="15.75" customHeight="1" hidden="1">
      <c r="A1057" s="26" t="s">
        <v>620</v>
      </c>
      <c r="B1057" s="17">
        <v>908</v>
      </c>
      <c r="C1057" s="21" t="s">
        <v>285</v>
      </c>
      <c r="D1057" s="21" t="s">
        <v>266</v>
      </c>
      <c r="E1057" s="21" t="s">
        <v>619</v>
      </c>
      <c r="F1057" s="21" t="s">
        <v>189</v>
      </c>
      <c r="G1057" s="28">
        <v>0</v>
      </c>
      <c r="H1057" s="28">
        <v>0</v>
      </c>
      <c r="I1057" s="27" t="e">
        <f t="shared" si="61"/>
        <v>#DIV/0!</v>
      </c>
    </row>
    <row r="1058" spans="1:9" ht="60.75" customHeight="1">
      <c r="A1058" s="26" t="s">
        <v>992</v>
      </c>
      <c r="B1058" s="17">
        <v>908</v>
      </c>
      <c r="C1058" s="21" t="s">
        <v>285</v>
      </c>
      <c r="D1058" s="21" t="s">
        <v>266</v>
      </c>
      <c r="E1058" s="21" t="s">
        <v>993</v>
      </c>
      <c r="F1058" s="21"/>
      <c r="G1058" s="28">
        <f>G1059</f>
        <v>3105.5</v>
      </c>
      <c r="H1058" s="28">
        <f>H1059</f>
        <v>3094.3</v>
      </c>
      <c r="I1058" s="27">
        <f t="shared" si="61"/>
        <v>99.6393495411367</v>
      </c>
    </row>
    <row r="1059" spans="1:9" ht="31.5">
      <c r="A1059" s="26" t="s">
        <v>182</v>
      </c>
      <c r="B1059" s="17">
        <v>908</v>
      </c>
      <c r="C1059" s="21" t="s">
        <v>285</v>
      </c>
      <c r="D1059" s="21" t="s">
        <v>266</v>
      </c>
      <c r="E1059" s="21" t="s">
        <v>993</v>
      </c>
      <c r="F1059" s="21" t="s">
        <v>183</v>
      </c>
      <c r="G1059" s="28">
        <f>G1060</f>
        <v>3105.5</v>
      </c>
      <c r="H1059" s="28">
        <f>H1060</f>
        <v>3094.3</v>
      </c>
      <c r="I1059" s="27">
        <f t="shared" si="61"/>
        <v>99.6393495411367</v>
      </c>
    </row>
    <row r="1060" spans="1:9" ht="47.25">
      <c r="A1060" s="26" t="s">
        <v>184</v>
      </c>
      <c r="B1060" s="17">
        <v>908</v>
      </c>
      <c r="C1060" s="21" t="s">
        <v>285</v>
      </c>
      <c r="D1060" s="21" t="s">
        <v>266</v>
      </c>
      <c r="E1060" s="21" t="s">
        <v>993</v>
      </c>
      <c r="F1060" s="21" t="s">
        <v>185</v>
      </c>
      <c r="G1060" s="28">
        <v>3105.5</v>
      </c>
      <c r="H1060" s="28">
        <v>3094.3</v>
      </c>
      <c r="I1060" s="27">
        <f t="shared" si="61"/>
        <v>99.6393495411367</v>
      </c>
    </row>
    <row r="1061" spans="1:9" ht="31.5">
      <c r="A1061" s="24" t="s">
        <v>621</v>
      </c>
      <c r="B1061" s="20">
        <v>908</v>
      </c>
      <c r="C1061" s="25" t="s">
        <v>285</v>
      </c>
      <c r="D1061" s="25" t="s">
        <v>285</v>
      </c>
      <c r="E1061" s="25"/>
      <c r="F1061" s="25"/>
      <c r="G1061" s="22">
        <f>G1062</f>
        <v>25280.100000000002</v>
      </c>
      <c r="H1061" s="22">
        <f>H1062</f>
        <v>25092.800000000003</v>
      </c>
      <c r="I1061" s="22">
        <f t="shared" si="61"/>
        <v>99.25910103203705</v>
      </c>
    </row>
    <row r="1062" spans="1:9" ht="15.75">
      <c r="A1062" s="26" t="s">
        <v>172</v>
      </c>
      <c r="B1062" s="17">
        <v>908</v>
      </c>
      <c r="C1062" s="21" t="s">
        <v>285</v>
      </c>
      <c r="D1062" s="21" t="s">
        <v>285</v>
      </c>
      <c r="E1062" s="21" t="s">
        <v>173</v>
      </c>
      <c r="F1062" s="21"/>
      <c r="G1062" s="27">
        <f>G1063+G1071</f>
        <v>25280.100000000002</v>
      </c>
      <c r="H1062" s="27">
        <f>H1063+H1071</f>
        <v>25092.800000000003</v>
      </c>
      <c r="I1062" s="27">
        <f t="shared" si="61"/>
        <v>99.25910103203705</v>
      </c>
    </row>
    <row r="1063" spans="1:9" ht="31.5">
      <c r="A1063" s="26" t="s">
        <v>174</v>
      </c>
      <c r="B1063" s="17">
        <v>908</v>
      </c>
      <c r="C1063" s="21" t="s">
        <v>285</v>
      </c>
      <c r="D1063" s="21" t="s">
        <v>285</v>
      </c>
      <c r="E1063" s="21" t="s">
        <v>175</v>
      </c>
      <c r="F1063" s="21"/>
      <c r="G1063" s="27">
        <f>G1064</f>
        <v>13225.800000000001</v>
      </c>
      <c r="H1063" s="27">
        <f>H1064</f>
        <v>13202.800000000001</v>
      </c>
      <c r="I1063" s="27">
        <f t="shared" si="61"/>
        <v>99.82609747614511</v>
      </c>
    </row>
    <row r="1064" spans="1:9" ht="47.25">
      <c r="A1064" s="26" t="s">
        <v>176</v>
      </c>
      <c r="B1064" s="17">
        <v>908</v>
      </c>
      <c r="C1064" s="21" t="s">
        <v>285</v>
      </c>
      <c r="D1064" s="21" t="s">
        <v>285</v>
      </c>
      <c r="E1064" s="21" t="s">
        <v>177</v>
      </c>
      <c r="F1064" s="21"/>
      <c r="G1064" s="27">
        <f>G1065+G1069+G1067</f>
        <v>13225.800000000001</v>
      </c>
      <c r="H1064" s="27">
        <f>H1065+H1069+H1067</f>
        <v>13202.800000000001</v>
      </c>
      <c r="I1064" s="27">
        <f t="shared" si="61"/>
        <v>99.82609747614511</v>
      </c>
    </row>
    <row r="1065" spans="1:9" ht="94.5">
      <c r="A1065" s="26" t="s">
        <v>178</v>
      </c>
      <c r="B1065" s="17">
        <v>908</v>
      </c>
      <c r="C1065" s="21" t="s">
        <v>285</v>
      </c>
      <c r="D1065" s="21" t="s">
        <v>285</v>
      </c>
      <c r="E1065" s="21" t="s">
        <v>177</v>
      </c>
      <c r="F1065" s="21" t="s">
        <v>179</v>
      </c>
      <c r="G1065" s="27">
        <f>G1066</f>
        <v>13188.6</v>
      </c>
      <c r="H1065" s="27">
        <f>H1066</f>
        <v>13165.7</v>
      </c>
      <c r="I1065" s="27">
        <f t="shared" si="61"/>
        <v>99.82636519418286</v>
      </c>
    </row>
    <row r="1066" spans="1:9" ht="31.5">
      <c r="A1066" s="26" t="s">
        <v>180</v>
      </c>
      <c r="B1066" s="17">
        <v>908</v>
      </c>
      <c r="C1066" s="21" t="s">
        <v>285</v>
      </c>
      <c r="D1066" s="21" t="s">
        <v>285</v>
      </c>
      <c r="E1066" s="21" t="s">
        <v>177</v>
      </c>
      <c r="F1066" s="21" t="s">
        <v>181</v>
      </c>
      <c r="G1066" s="28">
        <f>12500.4-44+656.5+103.7-49+21</f>
        <v>13188.6</v>
      </c>
      <c r="H1066" s="28">
        <v>13165.7</v>
      </c>
      <c r="I1066" s="27">
        <f t="shared" si="61"/>
        <v>99.82636519418286</v>
      </c>
    </row>
    <row r="1067" spans="1:9" ht="31.5" hidden="1">
      <c r="A1067" s="26" t="s">
        <v>182</v>
      </c>
      <c r="B1067" s="17">
        <v>908</v>
      </c>
      <c r="C1067" s="21" t="s">
        <v>285</v>
      </c>
      <c r="D1067" s="21" t="s">
        <v>285</v>
      </c>
      <c r="E1067" s="21" t="s">
        <v>177</v>
      </c>
      <c r="F1067" s="21" t="s">
        <v>183</v>
      </c>
      <c r="G1067" s="27">
        <f>G1068</f>
        <v>0</v>
      </c>
      <c r="H1067" s="27">
        <f>H1068</f>
        <v>0</v>
      </c>
      <c r="I1067" s="27" t="e">
        <f t="shared" si="61"/>
        <v>#DIV/0!</v>
      </c>
    </row>
    <row r="1068" spans="1:10" ht="47.25" hidden="1">
      <c r="A1068" s="26" t="s">
        <v>184</v>
      </c>
      <c r="B1068" s="17">
        <v>908</v>
      </c>
      <c r="C1068" s="21" t="s">
        <v>285</v>
      </c>
      <c r="D1068" s="21" t="s">
        <v>285</v>
      </c>
      <c r="E1068" s="21" t="s">
        <v>177</v>
      </c>
      <c r="F1068" s="21" t="s">
        <v>185</v>
      </c>
      <c r="G1068" s="28">
        <f>25-25</f>
        <v>0</v>
      </c>
      <c r="H1068" s="28"/>
      <c r="I1068" s="27" t="e">
        <f t="shared" si="61"/>
        <v>#DIV/0!</v>
      </c>
      <c r="J1068" s="209"/>
    </row>
    <row r="1069" spans="1:9" ht="15.75">
      <c r="A1069" s="26" t="s">
        <v>186</v>
      </c>
      <c r="B1069" s="17">
        <v>908</v>
      </c>
      <c r="C1069" s="21" t="s">
        <v>285</v>
      </c>
      <c r="D1069" s="21" t="s">
        <v>285</v>
      </c>
      <c r="E1069" s="21" t="s">
        <v>177</v>
      </c>
      <c r="F1069" s="21" t="s">
        <v>196</v>
      </c>
      <c r="G1069" s="27">
        <f>G1070</f>
        <v>37.199999999999996</v>
      </c>
      <c r="H1069" s="27">
        <f>H1070</f>
        <v>37.1</v>
      </c>
      <c r="I1069" s="27">
        <f t="shared" si="61"/>
        <v>99.73118279569894</v>
      </c>
    </row>
    <row r="1070" spans="1:9" ht="15.75">
      <c r="A1070" s="26" t="s">
        <v>620</v>
      </c>
      <c r="B1070" s="17">
        <v>908</v>
      </c>
      <c r="C1070" s="21" t="s">
        <v>285</v>
      </c>
      <c r="D1070" s="21" t="s">
        <v>285</v>
      </c>
      <c r="E1070" s="21" t="s">
        <v>177</v>
      </c>
      <c r="F1070" s="21" t="s">
        <v>189</v>
      </c>
      <c r="G1070" s="27">
        <f>89+59.9+39.8-47.2-40-36.2-25.2-2.9</f>
        <v>37.199999999999996</v>
      </c>
      <c r="H1070" s="27">
        <v>37.1</v>
      </c>
      <c r="I1070" s="27">
        <f t="shared" si="61"/>
        <v>99.73118279569894</v>
      </c>
    </row>
    <row r="1071" spans="1:9" ht="15.75">
      <c r="A1071" s="26" t="s">
        <v>192</v>
      </c>
      <c r="B1071" s="17">
        <v>908</v>
      </c>
      <c r="C1071" s="21" t="s">
        <v>285</v>
      </c>
      <c r="D1071" s="21" t="s">
        <v>285</v>
      </c>
      <c r="E1071" s="21" t="s">
        <v>193</v>
      </c>
      <c r="F1071" s="21"/>
      <c r="G1071" s="27">
        <f>G1075+G1072</f>
        <v>12054.300000000001</v>
      </c>
      <c r="H1071" s="27">
        <f>H1075+H1072</f>
        <v>11890</v>
      </c>
      <c r="I1071" s="27">
        <f t="shared" si="61"/>
        <v>98.63700090424163</v>
      </c>
    </row>
    <row r="1072" spans="1:9" ht="31.5">
      <c r="A1072" s="26" t="s">
        <v>622</v>
      </c>
      <c r="B1072" s="17">
        <v>908</v>
      </c>
      <c r="C1072" s="21" t="s">
        <v>285</v>
      </c>
      <c r="D1072" s="21" t="s">
        <v>285</v>
      </c>
      <c r="E1072" s="21" t="s">
        <v>623</v>
      </c>
      <c r="F1072" s="21"/>
      <c r="G1072" s="28">
        <f>G1073</f>
        <v>2209.6000000000004</v>
      </c>
      <c r="H1072" s="28">
        <f>H1073</f>
        <v>2209.6</v>
      </c>
      <c r="I1072" s="27">
        <f t="shared" si="61"/>
        <v>99.99999999999997</v>
      </c>
    </row>
    <row r="1073" spans="1:9" ht="15.75">
      <c r="A1073" s="26" t="s">
        <v>186</v>
      </c>
      <c r="B1073" s="17">
        <v>908</v>
      </c>
      <c r="C1073" s="21" t="s">
        <v>285</v>
      </c>
      <c r="D1073" s="21" t="s">
        <v>285</v>
      </c>
      <c r="E1073" s="21" t="s">
        <v>623</v>
      </c>
      <c r="F1073" s="21" t="s">
        <v>196</v>
      </c>
      <c r="G1073" s="28">
        <f>G1074</f>
        <v>2209.6000000000004</v>
      </c>
      <c r="H1073" s="28">
        <f>H1074</f>
        <v>2209.6</v>
      </c>
      <c r="I1073" s="27">
        <f t="shared" si="61"/>
        <v>99.99999999999997</v>
      </c>
    </row>
    <row r="1074" spans="1:10" ht="47.25" customHeight="1">
      <c r="A1074" s="26" t="s">
        <v>235</v>
      </c>
      <c r="B1074" s="17">
        <v>908</v>
      </c>
      <c r="C1074" s="21" t="s">
        <v>285</v>
      </c>
      <c r="D1074" s="21" t="s">
        <v>285</v>
      </c>
      <c r="E1074" s="21" t="s">
        <v>623</v>
      </c>
      <c r="F1074" s="21" t="s">
        <v>211</v>
      </c>
      <c r="G1074" s="315">
        <f>982.2+100-90.8-281.8+1500</f>
        <v>2209.6000000000004</v>
      </c>
      <c r="H1074" s="315">
        <v>2209.6</v>
      </c>
      <c r="I1074" s="27">
        <f t="shared" si="61"/>
        <v>99.99999999999997</v>
      </c>
      <c r="J1074" s="277"/>
    </row>
    <row r="1075" spans="1:9" ht="31.5">
      <c r="A1075" s="26" t="s">
        <v>391</v>
      </c>
      <c r="B1075" s="17">
        <v>908</v>
      </c>
      <c r="C1075" s="21" t="s">
        <v>285</v>
      </c>
      <c r="D1075" s="21" t="s">
        <v>285</v>
      </c>
      <c r="E1075" s="21" t="s">
        <v>392</v>
      </c>
      <c r="F1075" s="21"/>
      <c r="G1075" s="27">
        <f>G1076+G1078</f>
        <v>9844.7</v>
      </c>
      <c r="H1075" s="27">
        <f>H1076+H1078</f>
        <v>9680.4</v>
      </c>
      <c r="I1075" s="27">
        <f t="shared" si="61"/>
        <v>98.33108169878207</v>
      </c>
    </row>
    <row r="1076" spans="1:9" ht="94.5">
      <c r="A1076" s="26" t="s">
        <v>178</v>
      </c>
      <c r="B1076" s="17">
        <v>908</v>
      </c>
      <c r="C1076" s="21" t="s">
        <v>285</v>
      </c>
      <c r="D1076" s="21" t="s">
        <v>285</v>
      </c>
      <c r="E1076" s="21" t="s">
        <v>392</v>
      </c>
      <c r="F1076" s="21" t="s">
        <v>179</v>
      </c>
      <c r="G1076" s="27">
        <f>G1077</f>
        <v>5764.7</v>
      </c>
      <c r="H1076" s="27">
        <f>H1077</f>
        <v>5719.5</v>
      </c>
      <c r="I1076" s="27">
        <f t="shared" si="61"/>
        <v>99.21591756726282</v>
      </c>
    </row>
    <row r="1077" spans="1:10" ht="31.5">
      <c r="A1077" s="26" t="s">
        <v>393</v>
      </c>
      <c r="B1077" s="17">
        <v>908</v>
      </c>
      <c r="C1077" s="21" t="s">
        <v>285</v>
      </c>
      <c r="D1077" s="21" t="s">
        <v>285</v>
      </c>
      <c r="E1077" s="21" t="s">
        <v>392</v>
      </c>
      <c r="F1077" s="21" t="s">
        <v>260</v>
      </c>
      <c r="G1077" s="28">
        <f>4826.2+987.1-60-16.6+28</f>
        <v>5764.7</v>
      </c>
      <c r="H1077" s="28">
        <v>5719.5</v>
      </c>
      <c r="I1077" s="27">
        <f t="shared" si="61"/>
        <v>99.21591756726282</v>
      </c>
      <c r="J1077" s="277"/>
    </row>
    <row r="1078" spans="1:9" ht="31.5">
      <c r="A1078" s="26" t="s">
        <v>182</v>
      </c>
      <c r="B1078" s="17">
        <v>908</v>
      </c>
      <c r="C1078" s="21" t="s">
        <v>285</v>
      </c>
      <c r="D1078" s="21" t="s">
        <v>285</v>
      </c>
      <c r="E1078" s="21" t="s">
        <v>392</v>
      </c>
      <c r="F1078" s="21" t="s">
        <v>183</v>
      </c>
      <c r="G1078" s="27">
        <f>G1079</f>
        <v>4080</v>
      </c>
      <c r="H1078" s="27">
        <f>H1079</f>
        <v>3960.9</v>
      </c>
      <c r="I1078" s="27">
        <f t="shared" si="61"/>
        <v>97.08088235294117</v>
      </c>
    </row>
    <row r="1079" spans="1:13" ht="47.25">
      <c r="A1079" s="26" t="s">
        <v>184</v>
      </c>
      <c r="B1079" s="17">
        <v>908</v>
      </c>
      <c r="C1079" s="21" t="s">
        <v>285</v>
      </c>
      <c r="D1079" s="21" t="s">
        <v>285</v>
      </c>
      <c r="E1079" s="21" t="s">
        <v>392</v>
      </c>
      <c r="F1079" s="21" t="s">
        <v>185</v>
      </c>
      <c r="G1079" s="28">
        <f>1978.5+1691.5+60+350</f>
        <v>4080</v>
      </c>
      <c r="H1079" s="28">
        <v>3960.9</v>
      </c>
      <c r="I1079" s="27">
        <f t="shared" si="61"/>
        <v>97.08088235294117</v>
      </c>
      <c r="J1079" s="277"/>
      <c r="K1079" s="278"/>
      <c r="L1079" s="278"/>
      <c r="M1079" s="278"/>
    </row>
    <row r="1080" spans="1:9" ht="15.75">
      <c r="A1080" s="24" t="s">
        <v>294</v>
      </c>
      <c r="B1080" s="20">
        <v>908</v>
      </c>
      <c r="C1080" s="25" t="s">
        <v>295</v>
      </c>
      <c r="D1080" s="25"/>
      <c r="E1080" s="25"/>
      <c r="F1080" s="25"/>
      <c r="G1080" s="22">
        <f aca="true" t="shared" si="62" ref="G1080:H1085">G1081</f>
        <v>87.1</v>
      </c>
      <c r="H1080" s="22">
        <f t="shared" si="62"/>
        <v>78.2</v>
      </c>
      <c r="I1080" s="22">
        <f t="shared" si="61"/>
        <v>89.78185993111367</v>
      </c>
    </row>
    <row r="1081" spans="1:9" ht="31.5">
      <c r="A1081" s="24" t="s">
        <v>309</v>
      </c>
      <c r="B1081" s="20">
        <v>908</v>
      </c>
      <c r="C1081" s="25" t="s">
        <v>295</v>
      </c>
      <c r="D1081" s="25" t="s">
        <v>171</v>
      </c>
      <c r="E1081" s="25"/>
      <c r="F1081" s="25"/>
      <c r="G1081" s="22">
        <f t="shared" si="62"/>
        <v>87.1</v>
      </c>
      <c r="H1081" s="22">
        <f t="shared" si="62"/>
        <v>78.2</v>
      </c>
      <c r="I1081" s="22">
        <f t="shared" si="61"/>
        <v>89.78185993111367</v>
      </c>
    </row>
    <row r="1082" spans="1:9" ht="15.75">
      <c r="A1082" s="26" t="s">
        <v>172</v>
      </c>
      <c r="B1082" s="17">
        <v>908</v>
      </c>
      <c r="C1082" s="21" t="s">
        <v>295</v>
      </c>
      <c r="D1082" s="21" t="s">
        <v>171</v>
      </c>
      <c r="E1082" s="21" t="s">
        <v>173</v>
      </c>
      <c r="F1082" s="21"/>
      <c r="G1082" s="22">
        <f>G1083+G1087</f>
        <v>87.1</v>
      </c>
      <c r="H1082" s="22">
        <f>H1083+H1087</f>
        <v>78.2</v>
      </c>
      <c r="I1082" s="22">
        <f t="shared" si="61"/>
        <v>89.78185993111367</v>
      </c>
    </row>
    <row r="1083" spans="1:9" ht="15.75">
      <c r="A1083" s="26" t="s">
        <v>192</v>
      </c>
      <c r="B1083" s="17">
        <v>908</v>
      </c>
      <c r="C1083" s="21" t="s">
        <v>295</v>
      </c>
      <c r="D1083" s="21" t="s">
        <v>171</v>
      </c>
      <c r="E1083" s="21" t="s">
        <v>193</v>
      </c>
      <c r="F1083" s="21"/>
      <c r="G1083" s="27">
        <f t="shared" si="62"/>
        <v>36.099999999999994</v>
      </c>
      <c r="H1083" s="27">
        <f t="shared" si="62"/>
        <v>36.1</v>
      </c>
      <c r="I1083" s="27">
        <f t="shared" si="61"/>
        <v>100.00000000000003</v>
      </c>
    </row>
    <row r="1084" spans="1:9" ht="15.75">
      <c r="A1084" s="26" t="s">
        <v>624</v>
      </c>
      <c r="B1084" s="17">
        <v>908</v>
      </c>
      <c r="C1084" s="21" t="s">
        <v>295</v>
      </c>
      <c r="D1084" s="21" t="s">
        <v>171</v>
      </c>
      <c r="E1084" s="21" t="s">
        <v>625</v>
      </c>
      <c r="F1084" s="21"/>
      <c r="G1084" s="27">
        <f t="shared" si="62"/>
        <v>36.099999999999994</v>
      </c>
      <c r="H1084" s="27">
        <f t="shared" si="62"/>
        <v>36.1</v>
      </c>
      <c r="I1084" s="27">
        <f t="shared" si="61"/>
        <v>100.00000000000003</v>
      </c>
    </row>
    <row r="1085" spans="1:9" ht="15.75">
      <c r="A1085" s="26" t="s">
        <v>186</v>
      </c>
      <c r="B1085" s="17">
        <v>908</v>
      </c>
      <c r="C1085" s="21" t="s">
        <v>295</v>
      </c>
      <c r="D1085" s="21" t="s">
        <v>171</v>
      </c>
      <c r="E1085" s="21" t="s">
        <v>625</v>
      </c>
      <c r="F1085" s="21" t="s">
        <v>196</v>
      </c>
      <c r="G1085" s="27">
        <f t="shared" si="62"/>
        <v>36.099999999999994</v>
      </c>
      <c r="H1085" s="27">
        <f t="shared" si="62"/>
        <v>36.1</v>
      </c>
      <c r="I1085" s="27">
        <f t="shared" si="61"/>
        <v>100.00000000000003</v>
      </c>
    </row>
    <row r="1086" spans="1:9" ht="54.75" customHeight="1">
      <c r="A1086" s="26" t="s">
        <v>235</v>
      </c>
      <c r="B1086" s="17">
        <v>908</v>
      </c>
      <c r="C1086" s="21" t="s">
        <v>295</v>
      </c>
      <c r="D1086" s="21" t="s">
        <v>171</v>
      </c>
      <c r="E1086" s="21" t="s">
        <v>625</v>
      </c>
      <c r="F1086" s="21" t="s">
        <v>211</v>
      </c>
      <c r="G1086" s="27">
        <f>87.1-51</f>
        <v>36.099999999999994</v>
      </c>
      <c r="H1086" s="27">
        <v>36.1</v>
      </c>
      <c r="I1086" s="27">
        <f t="shared" si="61"/>
        <v>100.00000000000003</v>
      </c>
    </row>
    <row r="1087" spans="1:9" ht="31.5">
      <c r="A1087" s="26" t="s">
        <v>361</v>
      </c>
      <c r="B1087" s="17">
        <v>908</v>
      </c>
      <c r="C1087" s="21" t="s">
        <v>295</v>
      </c>
      <c r="D1087" s="21" t="s">
        <v>171</v>
      </c>
      <c r="E1087" s="21" t="s">
        <v>637</v>
      </c>
      <c r="F1087" s="21"/>
      <c r="G1087" s="27">
        <f aca="true" t="shared" si="63" ref="G1087:H1089">G1088</f>
        <v>51</v>
      </c>
      <c r="H1087" s="27">
        <f t="shared" si="63"/>
        <v>42.1</v>
      </c>
      <c r="I1087" s="27">
        <f t="shared" si="61"/>
        <v>82.54901960784315</v>
      </c>
    </row>
    <row r="1088" spans="1:9" ht="15.75">
      <c r="A1088" s="26" t="s">
        <v>624</v>
      </c>
      <c r="B1088" s="17">
        <v>908</v>
      </c>
      <c r="C1088" s="21" t="s">
        <v>295</v>
      </c>
      <c r="D1088" s="21" t="s">
        <v>171</v>
      </c>
      <c r="E1088" s="21" t="s">
        <v>1019</v>
      </c>
      <c r="F1088" s="21"/>
      <c r="G1088" s="27">
        <f t="shared" si="63"/>
        <v>51</v>
      </c>
      <c r="H1088" s="27">
        <f t="shared" si="63"/>
        <v>42.1</v>
      </c>
      <c r="I1088" s="27">
        <f t="shared" si="61"/>
        <v>82.54901960784315</v>
      </c>
    </row>
    <row r="1089" spans="1:9" ht="31.5">
      <c r="A1089" s="26" t="s">
        <v>182</v>
      </c>
      <c r="B1089" s="17">
        <v>908</v>
      </c>
      <c r="C1089" s="21" t="s">
        <v>295</v>
      </c>
      <c r="D1089" s="21" t="s">
        <v>171</v>
      </c>
      <c r="E1089" s="21" t="s">
        <v>1019</v>
      </c>
      <c r="F1089" s="21" t="s">
        <v>183</v>
      </c>
      <c r="G1089" s="27">
        <f t="shared" si="63"/>
        <v>51</v>
      </c>
      <c r="H1089" s="27">
        <f t="shared" si="63"/>
        <v>42.1</v>
      </c>
      <c r="I1089" s="27">
        <f t="shared" si="61"/>
        <v>82.54901960784315</v>
      </c>
    </row>
    <row r="1090" spans="1:9" ht="47.25">
      <c r="A1090" s="26" t="s">
        <v>184</v>
      </c>
      <c r="B1090" s="17">
        <v>908</v>
      </c>
      <c r="C1090" s="21" t="s">
        <v>295</v>
      </c>
      <c r="D1090" s="21" t="s">
        <v>171</v>
      </c>
      <c r="E1090" s="21" t="s">
        <v>1019</v>
      </c>
      <c r="F1090" s="21" t="s">
        <v>185</v>
      </c>
      <c r="G1090" s="27">
        <v>51</v>
      </c>
      <c r="H1090" s="27">
        <v>42.1</v>
      </c>
      <c r="I1090" s="27">
        <f t="shared" si="61"/>
        <v>82.54901960784315</v>
      </c>
    </row>
    <row r="1091" spans="1:10" ht="31.5">
      <c r="A1091" s="20" t="s">
        <v>626</v>
      </c>
      <c r="B1091" s="20">
        <v>910</v>
      </c>
      <c r="C1091" s="49"/>
      <c r="D1091" s="49"/>
      <c r="E1091" s="49"/>
      <c r="F1091" s="49"/>
      <c r="G1091" s="22">
        <f>G1092</f>
        <v>7561</v>
      </c>
      <c r="H1091" s="22">
        <f>H1092</f>
        <v>7509.200000000001</v>
      </c>
      <c r="I1091" s="22">
        <f t="shared" si="61"/>
        <v>99.31490543578893</v>
      </c>
      <c r="J1091" s="209"/>
    </row>
    <row r="1092" spans="1:9" ht="15.75">
      <c r="A1092" s="24" t="s">
        <v>168</v>
      </c>
      <c r="B1092" s="20">
        <v>910</v>
      </c>
      <c r="C1092" s="25" t="s">
        <v>169</v>
      </c>
      <c r="D1092" s="25"/>
      <c r="E1092" s="25"/>
      <c r="F1092" s="25"/>
      <c r="G1092" s="22">
        <f>G1093+G1101+G1111+G1119</f>
        <v>7561</v>
      </c>
      <c r="H1092" s="22">
        <f>H1093+H1101+H1111+H1119</f>
        <v>7509.200000000001</v>
      </c>
      <c r="I1092" s="22">
        <f t="shared" si="61"/>
        <v>99.31490543578893</v>
      </c>
    </row>
    <row r="1093" spans="1:9" ht="47.25">
      <c r="A1093" s="24" t="s">
        <v>627</v>
      </c>
      <c r="B1093" s="20">
        <v>910</v>
      </c>
      <c r="C1093" s="25" t="s">
        <v>169</v>
      </c>
      <c r="D1093" s="25" t="s">
        <v>264</v>
      </c>
      <c r="E1093" s="25"/>
      <c r="F1093" s="25"/>
      <c r="G1093" s="22">
        <f aca="true" t="shared" si="64" ref="G1093:H1095">G1094</f>
        <v>4535.7</v>
      </c>
      <c r="H1093" s="22">
        <f t="shared" si="64"/>
        <v>4517.6</v>
      </c>
      <c r="I1093" s="22">
        <f t="shared" si="61"/>
        <v>99.6009436250193</v>
      </c>
    </row>
    <row r="1094" spans="1:9" ht="15.75">
      <c r="A1094" s="26" t="s">
        <v>172</v>
      </c>
      <c r="B1094" s="17">
        <v>910</v>
      </c>
      <c r="C1094" s="21" t="s">
        <v>169</v>
      </c>
      <c r="D1094" s="21" t="s">
        <v>264</v>
      </c>
      <c r="E1094" s="21" t="s">
        <v>173</v>
      </c>
      <c r="F1094" s="21"/>
      <c r="G1094" s="27">
        <f t="shared" si="64"/>
        <v>4535.7</v>
      </c>
      <c r="H1094" s="27">
        <f t="shared" si="64"/>
        <v>4517.6</v>
      </c>
      <c r="I1094" s="27">
        <f t="shared" si="61"/>
        <v>99.6009436250193</v>
      </c>
    </row>
    <row r="1095" spans="1:9" ht="31.5">
      <c r="A1095" s="26" t="s">
        <v>174</v>
      </c>
      <c r="B1095" s="17">
        <v>910</v>
      </c>
      <c r="C1095" s="21" t="s">
        <v>169</v>
      </c>
      <c r="D1095" s="21" t="s">
        <v>264</v>
      </c>
      <c r="E1095" s="21" t="s">
        <v>175</v>
      </c>
      <c r="F1095" s="21"/>
      <c r="G1095" s="27">
        <f t="shared" si="64"/>
        <v>4535.7</v>
      </c>
      <c r="H1095" s="27">
        <f t="shared" si="64"/>
        <v>4517.6</v>
      </c>
      <c r="I1095" s="27">
        <f t="shared" si="61"/>
        <v>99.6009436250193</v>
      </c>
    </row>
    <row r="1096" spans="1:9" ht="47.25">
      <c r="A1096" s="26" t="s">
        <v>628</v>
      </c>
      <c r="B1096" s="17">
        <v>910</v>
      </c>
      <c r="C1096" s="21" t="s">
        <v>169</v>
      </c>
      <c r="D1096" s="21" t="s">
        <v>264</v>
      </c>
      <c r="E1096" s="21" t="s">
        <v>629</v>
      </c>
      <c r="F1096" s="21"/>
      <c r="G1096" s="27">
        <f>G1097+G1099</f>
        <v>4535.7</v>
      </c>
      <c r="H1096" s="27">
        <f>H1097+H1099</f>
        <v>4517.6</v>
      </c>
      <c r="I1096" s="27">
        <f t="shared" si="61"/>
        <v>99.6009436250193</v>
      </c>
    </row>
    <row r="1097" spans="1:9" ht="94.5">
      <c r="A1097" s="26" t="s">
        <v>178</v>
      </c>
      <c r="B1097" s="17">
        <v>910</v>
      </c>
      <c r="C1097" s="21" t="s">
        <v>169</v>
      </c>
      <c r="D1097" s="21" t="s">
        <v>264</v>
      </c>
      <c r="E1097" s="21" t="s">
        <v>629</v>
      </c>
      <c r="F1097" s="21" t="s">
        <v>179</v>
      </c>
      <c r="G1097" s="27">
        <f>G1098</f>
        <v>4535.7</v>
      </c>
      <c r="H1097" s="27">
        <f>H1098</f>
        <v>4517.6</v>
      </c>
      <c r="I1097" s="27">
        <f t="shared" si="61"/>
        <v>99.6009436250193</v>
      </c>
    </row>
    <row r="1098" spans="1:12" ht="31.5">
      <c r="A1098" s="26" t="s">
        <v>180</v>
      </c>
      <c r="B1098" s="17">
        <v>910</v>
      </c>
      <c r="C1098" s="21" t="s">
        <v>169</v>
      </c>
      <c r="D1098" s="21" t="s">
        <v>264</v>
      </c>
      <c r="E1098" s="21" t="s">
        <v>629</v>
      </c>
      <c r="F1098" s="21" t="s">
        <v>181</v>
      </c>
      <c r="G1098" s="28">
        <f>4342.8-21+260-0.1-10-36</f>
        <v>4535.7</v>
      </c>
      <c r="H1098" s="28">
        <v>4517.6</v>
      </c>
      <c r="I1098" s="27">
        <f t="shared" si="61"/>
        <v>99.6009436250193</v>
      </c>
      <c r="K1098" s="282"/>
      <c r="L1098" s="282"/>
    </row>
    <row r="1099" spans="1:9" ht="47.25" customHeight="1" hidden="1">
      <c r="A1099" s="26" t="s">
        <v>249</v>
      </c>
      <c r="B1099" s="17">
        <v>910</v>
      </c>
      <c r="C1099" s="21" t="s">
        <v>169</v>
      </c>
      <c r="D1099" s="21" t="s">
        <v>264</v>
      </c>
      <c r="E1099" s="21" t="s">
        <v>629</v>
      </c>
      <c r="F1099" s="21" t="s">
        <v>183</v>
      </c>
      <c r="G1099" s="27">
        <f>G1100</f>
        <v>0</v>
      </c>
      <c r="H1099" s="27">
        <f>H1100</f>
        <v>0</v>
      </c>
      <c r="I1099" s="27" t="e">
        <f aca="true" t="shared" si="65" ref="I1099:I1147">H1099/G1099*100</f>
        <v>#DIV/0!</v>
      </c>
    </row>
    <row r="1100" spans="1:9" ht="47.25" customHeight="1" hidden="1">
      <c r="A1100" s="26" t="s">
        <v>184</v>
      </c>
      <c r="B1100" s="17">
        <v>910</v>
      </c>
      <c r="C1100" s="21" t="s">
        <v>169</v>
      </c>
      <c r="D1100" s="21" t="s">
        <v>264</v>
      </c>
      <c r="E1100" s="21" t="s">
        <v>629</v>
      </c>
      <c r="F1100" s="21" t="s">
        <v>185</v>
      </c>
      <c r="G1100" s="27">
        <f>21-2.8-18.2</f>
        <v>0</v>
      </c>
      <c r="H1100" s="27"/>
      <c r="I1100" s="27" t="e">
        <f t="shared" si="65"/>
        <v>#DIV/0!</v>
      </c>
    </row>
    <row r="1101" spans="1:9" ht="78.75">
      <c r="A1101" s="24" t="s">
        <v>630</v>
      </c>
      <c r="B1101" s="20">
        <v>910</v>
      </c>
      <c r="C1101" s="25" t="s">
        <v>169</v>
      </c>
      <c r="D1101" s="25" t="s">
        <v>266</v>
      </c>
      <c r="E1101" s="25"/>
      <c r="F1101" s="25"/>
      <c r="G1101" s="22">
        <f aca="true" t="shared" si="66" ref="G1101:H1103">G1102</f>
        <v>1298.6000000000001</v>
      </c>
      <c r="H1101" s="22">
        <f t="shared" si="66"/>
        <v>1287</v>
      </c>
      <c r="I1101" s="22">
        <f t="shared" si="65"/>
        <v>99.10673032496534</v>
      </c>
    </row>
    <row r="1102" spans="1:9" ht="15.75">
      <c r="A1102" s="26" t="s">
        <v>172</v>
      </c>
      <c r="B1102" s="17">
        <v>910</v>
      </c>
      <c r="C1102" s="21" t="s">
        <v>169</v>
      </c>
      <c r="D1102" s="21" t="s">
        <v>266</v>
      </c>
      <c r="E1102" s="21" t="s">
        <v>173</v>
      </c>
      <c r="F1102" s="25"/>
      <c r="G1102" s="27">
        <f t="shared" si="66"/>
        <v>1298.6000000000001</v>
      </c>
      <c r="H1102" s="27">
        <f t="shared" si="66"/>
        <v>1287</v>
      </c>
      <c r="I1102" s="27">
        <f t="shared" si="65"/>
        <v>99.10673032496534</v>
      </c>
    </row>
    <row r="1103" spans="1:9" ht="31.5">
      <c r="A1103" s="26" t="s">
        <v>174</v>
      </c>
      <c r="B1103" s="17">
        <v>910</v>
      </c>
      <c r="C1103" s="21" t="s">
        <v>169</v>
      </c>
      <c r="D1103" s="21" t="s">
        <v>266</v>
      </c>
      <c r="E1103" s="21" t="s">
        <v>175</v>
      </c>
      <c r="F1103" s="25"/>
      <c r="G1103" s="27">
        <f t="shared" si="66"/>
        <v>1298.6000000000001</v>
      </c>
      <c r="H1103" s="27">
        <f t="shared" si="66"/>
        <v>1287</v>
      </c>
      <c r="I1103" s="27">
        <f t="shared" si="65"/>
        <v>99.10673032496534</v>
      </c>
    </row>
    <row r="1104" spans="1:9" ht="47.25">
      <c r="A1104" s="26" t="s">
        <v>631</v>
      </c>
      <c r="B1104" s="17">
        <v>910</v>
      </c>
      <c r="C1104" s="21" t="s">
        <v>169</v>
      </c>
      <c r="D1104" s="21" t="s">
        <v>266</v>
      </c>
      <c r="E1104" s="21" t="s">
        <v>632</v>
      </c>
      <c r="F1104" s="21"/>
      <c r="G1104" s="27">
        <f>G1105+G1107+G1109</f>
        <v>1298.6000000000001</v>
      </c>
      <c r="H1104" s="27">
        <f>H1105+H1107+H1109</f>
        <v>1287</v>
      </c>
      <c r="I1104" s="27">
        <f t="shared" si="65"/>
        <v>99.10673032496534</v>
      </c>
    </row>
    <row r="1105" spans="1:9" ht="94.5">
      <c r="A1105" s="26" t="s">
        <v>178</v>
      </c>
      <c r="B1105" s="17">
        <v>910</v>
      </c>
      <c r="C1105" s="21" t="s">
        <v>169</v>
      </c>
      <c r="D1105" s="21" t="s">
        <v>266</v>
      </c>
      <c r="E1105" s="21" t="s">
        <v>632</v>
      </c>
      <c r="F1105" s="21" t="s">
        <v>179</v>
      </c>
      <c r="G1105" s="27">
        <f>G1106</f>
        <v>1191.7</v>
      </c>
      <c r="H1105" s="27">
        <f>H1106</f>
        <v>1182.2</v>
      </c>
      <c r="I1105" s="27">
        <f t="shared" si="65"/>
        <v>99.20281950155241</v>
      </c>
    </row>
    <row r="1106" spans="1:9" ht="31.5">
      <c r="A1106" s="26" t="s">
        <v>180</v>
      </c>
      <c r="B1106" s="17">
        <v>910</v>
      </c>
      <c r="C1106" s="21" t="s">
        <v>169</v>
      </c>
      <c r="D1106" s="21" t="s">
        <v>266</v>
      </c>
      <c r="E1106" s="21" t="s">
        <v>632</v>
      </c>
      <c r="F1106" s="21" t="s">
        <v>181</v>
      </c>
      <c r="G1106" s="27">
        <f>956.5+125+71+32+7.2</f>
        <v>1191.7</v>
      </c>
      <c r="H1106" s="27">
        <v>1182.2</v>
      </c>
      <c r="I1106" s="27">
        <f t="shared" si="65"/>
        <v>99.20281950155241</v>
      </c>
    </row>
    <row r="1107" spans="1:9" ht="47.25">
      <c r="A1107" s="26" t="s">
        <v>249</v>
      </c>
      <c r="B1107" s="17">
        <v>910</v>
      </c>
      <c r="C1107" s="21" t="s">
        <v>169</v>
      </c>
      <c r="D1107" s="21" t="s">
        <v>266</v>
      </c>
      <c r="E1107" s="21" t="s">
        <v>632</v>
      </c>
      <c r="F1107" s="21" t="s">
        <v>183</v>
      </c>
      <c r="G1107" s="27">
        <f>G1108</f>
        <v>104.89999999999999</v>
      </c>
      <c r="H1107" s="27">
        <f>H1108</f>
        <v>104.8</v>
      </c>
      <c r="I1107" s="27">
        <f t="shared" si="65"/>
        <v>99.90467111534795</v>
      </c>
    </row>
    <row r="1108" spans="1:10" ht="47.25">
      <c r="A1108" s="26" t="s">
        <v>184</v>
      </c>
      <c r="B1108" s="17">
        <v>910</v>
      </c>
      <c r="C1108" s="21" t="s">
        <v>169</v>
      </c>
      <c r="D1108" s="21" t="s">
        <v>266</v>
      </c>
      <c r="E1108" s="21" t="s">
        <v>632</v>
      </c>
      <c r="F1108" s="21" t="s">
        <v>185</v>
      </c>
      <c r="G1108" s="27">
        <f>93+0.8+11+0.1</f>
        <v>104.89999999999999</v>
      </c>
      <c r="H1108" s="27">
        <v>104.8</v>
      </c>
      <c r="I1108" s="27">
        <f t="shared" si="65"/>
        <v>99.90467111534795</v>
      </c>
      <c r="J1108" s="279"/>
    </row>
    <row r="1109" spans="1:10" ht="15.75" customHeight="1">
      <c r="A1109" s="26" t="s">
        <v>186</v>
      </c>
      <c r="B1109" s="17">
        <v>910</v>
      </c>
      <c r="C1109" s="21" t="s">
        <v>169</v>
      </c>
      <c r="D1109" s="21" t="s">
        <v>266</v>
      </c>
      <c r="E1109" s="21" t="s">
        <v>632</v>
      </c>
      <c r="F1109" s="21" t="s">
        <v>196</v>
      </c>
      <c r="G1109" s="27">
        <f>G1110</f>
        <v>2</v>
      </c>
      <c r="H1109" s="27">
        <f>H1110</f>
        <v>0</v>
      </c>
      <c r="I1109" s="27">
        <f t="shared" si="65"/>
        <v>0</v>
      </c>
      <c r="J1109" s="283"/>
    </row>
    <row r="1110" spans="1:10" ht="15.75" customHeight="1">
      <c r="A1110" s="26" t="s">
        <v>620</v>
      </c>
      <c r="B1110" s="17">
        <v>910</v>
      </c>
      <c r="C1110" s="21" t="s">
        <v>169</v>
      </c>
      <c r="D1110" s="21" t="s">
        <v>266</v>
      </c>
      <c r="E1110" s="21" t="s">
        <v>632</v>
      </c>
      <c r="F1110" s="21" t="s">
        <v>189</v>
      </c>
      <c r="G1110" s="27">
        <v>2</v>
      </c>
      <c r="H1110" s="27">
        <v>0</v>
      </c>
      <c r="I1110" s="27">
        <f t="shared" si="65"/>
        <v>0</v>
      </c>
      <c r="J1110" s="279"/>
    </row>
    <row r="1111" spans="1:9" ht="63">
      <c r="A1111" s="24" t="s">
        <v>170</v>
      </c>
      <c r="B1111" s="20">
        <v>910</v>
      </c>
      <c r="C1111" s="25" t="s">
        <v>169</v>
      </c>
      <c r="D1111" s="25" t="s">
        <v>171</v>
      </c>
      <c r="E1111" s="25"/>
      <c r="F1111" s="25"/>
      <c r="G1111" s="22">
        <f aca="true" t="shared" si="67" ref="G1111:H1113">G1112</f>
        <v>1705.7</v>
      </c>
      <c r="H1111" s="22">
        <f t="shared" si="67"/>
        <v>1683.6</v>
      </c>
      <c r="I1111" s="22">
        <f t="shared" si="65"/>
        <v>98.70434425748958</v>
      </c>
    </row>
    <row r="1112" spans="1:18" s="136" customFormat="1" ht="15.75">
      <c r="A1112" s="26" t="s">
        <v>172</v>
      </c>
      <c r="B1112" s="17">
        <v>910</v>
      </c>
      <c r="C1112" s="21" t="s">
        <v>169</v>
      </c>
      <c r="D1112" s="21" t="s">
        <v>171</v>
      </c>
      <c r="E1112" s="21" t="s">
        <v>173</v>
      </c>
      <c r="F1112" s="21"/>
      <c r="G1112" s="27">
        <f t="shared" si="67"/>
        <v>1705.7</v>
      </c>
      <c r="H1112" s="27">
        <f t="shared" si="67"/>
        <v>1683.6</v>
      </c>
      <c r="I1112" s="27">
        <f t="shared" si="65"/>
        <v>98.70434425748958</v>
      </c>
      <c r="J1112" s="207"/>
      <c r="K1112" s="280"/>
      <c r="L1112" s="280"/>
      <c r="M1112" s="280"/>
      <c r="N1112" s="280"/>
      <c r="O1112" s="280"/>
      <c r="P1112" s="280"/>
      <c r="Q1112" s="280"/>
      <c r="R1112" s="154"/>
    </row>
    <row r="1113" spans="1:18" s="136" customFormat="1" ht="31.5">
      <c r="A1113" s="26" t="s">
        <v>174</v>
      </c>
      <c r="B1113" s="17">
        <v>910</v>
      </c>
      <c r="C1113" s="21" t="s">
        <v>169</v>
      </c>
      <c r="D1113" s="21" t="s">
        <v>171</v>
      </c>
      <c r="E1113" s="21" t="s">
        <v>175</v>
      </c>
      <c r="F1113" s="21"/>
      <c r="G1113" s="27">
        <f t="shared" si="67"/>
        <v>1705.7</v>
      </c>
      <c r="H1113" s="27">
        <f t="shared" si="67"/>
        <v>1683.6</v>
      </c>
      <c r="I1113" s="27">
        <f t="shared" si="65"/>
        <v>98.70434425748958</v>
      </c>
      <c r="J1113" s="207"/>
      <c r="K1113" s="280"/>
      <c r="L1113" s="280"/>
      <c r="M1113" s="280"/>
      <c r="N1113" s="280"/>
      <c r="O1113" s="280"/>
      <c r="P1113" s="280"/>
      <c r="Q1113" s="280"/>
      <c r="R1113" s="154"/>
    </row>
    <row r="1114" spans="1:18" s="136" customFormat="1" ht="47.25">
      <c r="A1114" s="26" t="s">
        <v>176</v>
      </c>
      <c r="B1114" s="17">
        <v>910</v>
      </c>
      <c r="C1114" s="21" t="s">
        <v>169</v>
      </c>
      <c r="D1114" s="21" t="s">
        <v>171</v>
      </c>
      <c r="E1114" s="21" t="s">
        <v>177</v>
      </c>
      <c r="F1114" s="21"/>
      <c r="G1114" s="27">
        <f>G1115+G1117</f>
        <v>1705.7</v>
      </c>
      <c r="H1114" s="27">
        <f>H1115+H1117</f>
        <v>1683.6</v>
      </c>
      <c r="I1114" s="27">
        <f t="shared" si="65"/>
        <v>98.70434425748958</v>
      </c>
      <c r="J1114" s="207"/>
      <c r="K1114" s="280"/>
      <c r="L1114" s="280"/>
      <c r="M1114" s="280"/>
      <c r="N1114" s="280"/>
      <c r="O1114" s="280"/>
      <c r="P1114" s="280"/>
      <c r="Q1114" s="280"/>
      <c r="R1114" s="154"/>
    </row>
    <row r="1115" spans="1:9" ht="94.5">
      <c r="A1115" s="26" t="s">
        <v>178</v>
      </c>
      <c r="B1115" s="17">
        <v>910</v>
      </c>
      <c r="C1115" s="21" t="s">
        <v>169</v>
      </c>
      <c r="D1115" s="21" t="s">
        <v>171</v>
      </c>
      <c r="E1115" s="21" t="s">
        <v>177</v>
      </c>
      <c r="F1115" s="21" t="s">
        <v>179</v>
      </c>
      <c r="G1115" s="27">
        <f>G1116</f>
        <v>1687.4</v>
      </c>
      <c r="H1115" s="27">
        <f>H1116</f>
        <v>1683.6</v>
      </c>
      <c r="I1115" s="27">
        <f t="shared" si="65"/>
        <v>99.7748014697167</v>
      </c>
    </row>
    <row r="1116" spans="1:9" ht="31.5">
      <c r="A1116" s="26" t="s">
        <v>180</v>
      </c>
      <c r="B1116" s="17">
        <v>910</v>
      </c>
      <c r="C1116" s="21" t="s">
        <v>169</v>
      </c>
      <c r="D1116" s="21" t="s">
        <v>171</v>
      </c>
      <c r="E1116" s="21" t="s">
        <v>177</v>
      </c>
      <c r="F1116" s="21" t="s">
        <v>181</v>
      </c>
      <c r="G1116" s="27">
        <f>1553.4+75+45-26+40</f>
        <v>1687.4</v>
      </c>
      <c r="H1116" s="27">
        <v>1683.6</v>
      </c>
      <c r="I1116" s="27">
        <f t="shared" si="65"/>
        <v>99.7748014697167</v>
      </c>
    </row>
    <row r="1117" spans="1:9" ht="47.25">
      <c r="A1117" s="26" t="s">
        <v>249</v>
      </c>
      <c r="B1117" s="17">
        <v>910</v>
      </c>
      <c r="C1117" s="21" t="s">
        <v>169</v>
      </c>
      <c r="D1117" s="21" t="s">
        <v>171</v>
      </c>
      <c r="E1117" s="21" t="s">
        <v>177</v>
      </c>
      <c r="F1117" s="21" t="s">
        <v>183</v>
      </c>
      <c r="G1117" s="27">
        <f>G1118</f>
        <v>18.3</v>
      </c>
      <c r="H1117" s="27">
        <f>H1118</f>
        <v>0</v>
      </c>
      <c r="I1117" s="27">
        <f t="shared" si="65"/>
        <v>0</v>
      </c>
    </row>
    <row r="1118" spans="1:9" ht="47.25">
      <c r="A1118" s="26" t="s">
        <v>184</v>
      </c>
      <c r="B1118" s="17">
        <v>910</v>
      </c>
      <c r="C1118" s="21" t="s">
        <v>169</v>
      </c>
      <c r="D1118" s="21" t="s">
        <v>171</v>
      </c>
      <c r="E1118" s="21" t="s">
        <v>177</v>
      </c>
      <c r="F1118" s="21" t="s">
        <v>185</v>
      </c>
      <c r="G1118" s="27">
        <v>18.3</v>
      </c>
      <c r="H1118" s="27">
        <v>0</v>
      </c>
      <c r="I1118" s="27">
        <f t="shared" si="65"/>
        <v>0</v>
      </c>
    </row>
    <row r="1119" spans="1:9" ht="15.75">
      <c r="A1119" s="24" t="s">
        <v>190</v>
      </c>
      <c r="B1119" s="20">
        <v>910</v>
      </c>
      <c r="C1119" s="25" t="s">
        <v>169</v>
      </c>
      <c r="D1119" s="25" t="s">
        <v>191</v>
      </c>
      <c r="E1119" s="25"/>
      <c r="F1119" s="21"/>
      <c r="G1119" s="22">
        <f>G1120+G1124</f>
        <v>21</v>
      </c>
      <c r="H1119" s="22">
        <f>H1120+H1124</f>
        <v>21</v>
      </c>
      <c r="I1119" s="22">
        <f t="shared" si="65"/>
        <v>100</v>
      </c>
    </row>
    <row r="1120" spans="1:9" ht="47.25">
      <c r="A1120" s="26" t="s">
        <v>212</v>
      </c>
      <c r="B1120" s="17">
        <v>910</v>
      </c>
      <c r="C1120" s="21" t="s">
        <v>169</v>
      </c>
      <c r="D1120" s="21" t="s">
        <v>191</v>
      </c>
      <c r="E1120" s="21" t="s">
        <v>213</v>
      </c>
      <c r="F1120" s="21"/>
      <c r="G1120" s="27">
        <f aca="true" t="shared" si="68" ref="G1120:H1122">G1121</f>
        <v>0.5</v>
      </c>
      <c r="H1120" s="27">
        <f t="shared" si="68"/>
        <v>0.5</v>
      </c>
      <c r="I1120" s="27">
        <f t="shared" si="65"/>
        <v>100</v>
      </c>
    </row>
    <row r="1121" spans="1:9" ht="63">
      <c r="A1121" s="33" t="s">
        <v>773</v>
      </c>
      <c r="B1121" s="17">
        <v>910</v>
      </c>
      <c r="C1121" s="21" t="s">
        <v>169</v>
      </c>
      <c r="D1121" s="21" t="s">
        <v>191</v>
      </c>
      <c r="E1121" s="42" t="s">
        <v>774</v>
      </c>
      <c r="F1121" s="21"/>
      <c r="G1121" s="27">
        <f t="shared" si="68"/>
        <v>0.5</v>
      </c>
      <c r="H1121" s="27">
        <f t="shared" si="68"/>
        <v>0.5</v>
      </c>
      <c r="I1121" s="27">
        <f t="shared" si="65"/>
        <v>100</v>
      </c>
    </row>
    <row r="1122" spans="1:9" ht="31.5">
      <c r="A1122" s="26" t="s">
        <v>182</v>
      </c>
      <c r="B1122" s="17">
        <v>910</v>
      </c>
      <c r="C1122" s="21" t="s">
        <v>169</v>
      </c>
      <c r="D1122" s="21" t="s">
        <v>191</v>
      </c>
      <c r="E1122" s="42" t="s">
        <v>774</v>
      </c>
      <c r="F1122" s="21" t="s">
        <v>183</v>
      </c>
      <c r="G1122" s="27">
        <f t="shared" si="68"/>
        <v>0.5</v>
      </c>
      <c r="H1122" s="27">
        <f t="shared" si="68"/>
        <v>0.5</v>
      </c>
      <c r="I1122" s="27">
        <f t="shared" si="65"/>
        <v>100</v>
      </c>
    </row>
    <row r="1123" spans="1:9" ht="47.25">
      <c r="A1123" s="26" t="s">
        <v>184</v>
      </c>
      <c r="B1123" s="17">
        <v>910</v>
      </c>
      <c r="C1123" s="21" t="s">
        <v>169</v>
      </c>
      <c r="D1123" s="21" t="s">
        <v>191</v>
      </c>
      <c r="E1123" s="42" t="s">
        <v>774</v>
      </c>
      <c r="F1123" s="21" t="s">
        <v>185</v>
      </c>
      <c r="G1123" s="27">
        <v>0.5</v>
      </c>
      <c r="H1123" s="27">
        <v>0.5</v>
      </c>
      <c r="I1123" s="27">
        <f t="shared" si="65"/>
        <v>100</v>
      </c>
    </row>
    <row r="1124" spans="1:9" ht="15.75">
      <c r="A1124" s="33" t="s">
        <v>172</v>
      </c>
      <c r="B1124" s="17">
        <v>910</v>
      </c>
      <c r="C1124" s="21" t="s">
        <v>169</v>
      </c>
      <c r="D1124" s="21" t="s">
        <v>191</v>
      </c>
      <c r="E1124" s="21" t="s">
        <v>173</v>
      </c>
      <c r="F1124" s="21"/>
      <c r="G1124" s="27">
        <f aca="true" t="shared" si="69" ref="G1124:H1127">G1125</f>
        <v>20.5</v>
      </c>
      <c r="H1124" s="27">
        <f t="shared" si="69"/>
        <v>20.5</v>
      </c>
      <c r="I1124" s="27">
        <f t="shared" si="65"/>
        <v>100</v>
      </c>
    </row>
    <row r="1125" spans="1:9" ht="31.5">
      <c r="A1125" s="33" t="s">
        <v>236</v>
      </c>
      <c r="B1125" s="17">
        <v>910</v>
      </c>
      <c r="C1125" s="21" t="s">
        <v>169</v>
      </c>
      <c r="D1125" s="21" t="s">
        <v>191</v>
      </c>
      <c r="E1125" s="21" t="s">
        <v>237</v>
      </c>
      <c r="F1125" s="21"/>
      <c r="G1125" s="27">
        <f t="shared" si="69"/>
        <v>20.5</v>
      </c>
      <c r="H1125" s="27">
        <f t="shared" si="69"/>
        <v>20.5</v>
      </c>
      <c r="I1125" s="27">
        <f t="shared" si="65"/>
        <v>100</v>
      </c>
    </row>
    <row r="1126" spans="1:9" ht="63">
      <c r="A1126" s="33" t="s">
        <v>773</v>
      </c>
      <c r="B1126" s="17">
        <v>910</v>
      </c>
      <c r="C1126" s="21" t="s">
        <v>169</v>
      </c>
      <c r="D1126" s="21" t="s">
        <v>191</v>
      </c>
      <c r="E1126" s="21" t="s">
        <v>775</v>
      </c>
      <c r="F1126" s="21"/>
      <c r="G1126" s="27">
        <f t="shared" si="69"/>
        <v>20.5</v>
      </c>
      <c r="H1126" s="27">
        <f t="shared" si="69"/>
        <v>20.5</v>
      </c>
      <c r="I1126" s="27">
        <f t="shared" si="65"/>
        <v>100</v>
      </c>
    </row>
    <row r="1127" spans="1:9" ht="31.5">
      <c r="A1127" s="26" t="s">
        <v>182</v>
      </c>
      <c r="B1127" s="17">
        <v>910</v>
      </c>
      <c r="C1127" s="21" t="s">
        <v>169</v>
      </c>
      <c r="D1127" s="21" t="s">
        <v>191</v>
      </c>
      <c r="E1127" s="21" t="s">
        <v>775</v>
      </c>
      <c r="F1127" s="21" t="s">
        <v>183</v>
      </c>
      <c r="G1127" s="27">
        <f t="shared" si="69"/>
        <v>20.5</v>
      </c>
      <c r="H1127" s="27">
        <f t="shared" si="69"/>
        <v>20.5</v>
      </c>
      <c r="I1127" s="27">
        <f t="shared" si="65"/>
        <v>100</v>
      </c>
    </row>
    <row r="1128" spans="1:9" ht="47.25">
      <c r="A1128" s="26" t="s">
        <v>184</v>
      </c>
      <c r="B1128" s="17">
        <v>910</v>
      </c>
      <c r="C1128" s="21" t="s">
        <v>169</v>
      </c>
      <c r="D1128" s="21" t="s">
        <v>191</v>
      </c>
      <c r="E1128" s="21" t="s">
        <v>775</v>
      </c>
      <c r="F1128" s="21" t="s">
        <v>185</v>
      </c>
      <c r="G1128" s="27">
        <f>50-29.5</f>
        <v>20.5</v>
      </c>
      <c r="H1128" s="27">
        <v>20.5</v>
      </c>
      <c r="I1128" s="27">
        <f t="shared" si="65"/>
        <v>100</v>
      </c>
    </row>
    <row r="1129" spans="1:9" ht="31.5">
      <c r="A1129" s="24" t="s">
        <v>633</v>
      </c>
      <c r="B1129" s="20">
        <v>913</v>
      </c>
      <c r="C1129" s="25"/>
      <c r="D1129" s="25"/>
      <c r="E1129" s="25"/>
      <c r="F1129" s="25"/>
      <c r="G1129" s="22">
        <f>G1136+G1130</f>
        <v>6828.400000000001</v>
      </c>
      <c r="H1129" s="22">
        <f>H1136+H1130</f>
        <v>6762.900000000001</v>
      </c>
      <c r="I1129" s="22">
        <f t="shared" si="65"/>
        <v>99.04077089801417</v>
      </c>
    </row>
    <row r="1130" spans="1:9" ht="15.75">
      <c r="A1130" s="257" t="s">
        <v>168</v>
      </c>
      <c r="B1130" s="20">
        <v>913</v>
      </c>
      <c r="C1130" s="25" t="s">
        <v>169</v>
      </c>
      <c r="D1130" s="255"/>
      <c r="E1130" s="255"/>
      <c r="F1130" s="255"/>
      <c r="G1130" s="256">
        <f aca="true" t="shared" si="70" ref="G1130:H1134">G1131</f>
        <v>63.6</v>
      </c>
      <c r="H1130" s="256">
        <f t="shared" si="70"/>
        <v>63.6</v>
      </c>
      <c r="I1130" s="22">
        <f t="shared" si="65"/>
        <v>100</v>
      </c>
    </row>
    <row r="1131" spans="1:9" ht="15.75">
      <c r="A1131" s="36" t="s">
        <v>190</v>
      </c>
      <c r="B1131" s="20">
        <v>913</v>
      </c>
      <c r="C1131" s="25" t="s">
        <v>169</v>
      </c>
      <c r="D1131" s="25" t="s">
        <v>191</v>
      </c>
      <c r="E1131" s="21"/>
      <c r="F1131" s="21"/>
      <c r="G1131" s="22">
        <f t="shared" si="70"/>
        <v>63.6</v>
      </c>
      <c r="H1131" s="22">
        <f t="shared" si="70"/>
        <v>63.6</v>
      </c>
      <c r="I1131" s="22">
        <f t="shared" si="65"/>
        <v>100</v>
      </c>
    </row>
    <row r="1132" spans="1:9" ht="63">
      <c r="A1132" s="31" t="s">
        <v>797</v>
      </c>
      <c r="B1132" s="17">
        <v>913</v>
      </c>
      <c r="C1132" s="21" t="s">
        <v>169</v>
      </c>
      <c r="D1132" s="21" t="s">
        <v>191</v>
      </c>
      <c r="E1132" s="21" t="s">
        <v>795</v>
      </c>
      <c r="F1132" s="34"/>
      <c r="G1132" s="27">
        <f t="shared" si="70"/>
        <v>63.6</v>
      </c>
      <c r="H1132" s="27">
        <f t="shared" si="70"/>
        <v>63.6</v>
      </c>
      <c r="I1132" s="27">
        <f t="shared" si="65"/>
        <v>100</v>
      </c>
    </row>
    <row r="1133" spans="1:9" ht="31.5">
      <c r="A1133" s="123" t="s">
        <v>929</v>
      </c>
      <c r="B1133" s="17">
        <v>913</v>
      </c>
      <c r="C1133" s="21" t="s">
        <v>169</v>
      </c>
      <c r="D1133" s="21" t="s">
        <v>191</v>
      </c>
      <c r="E1133" s="21" t="s">
        <v>930</v>
      </c>
      <c r="F1133" s="34"/>
      <c r="G1133" s="27">
        <f t="shared" si="70"/>
        <v>63.6</v>
      </c>
      <c r="H1133" s="27">
        <f t="shared" si="70"/>
        <v>63.6</v>
      </c>
      <c r="I1133" s="27">
        <f t="shared" si="65"/>
        <v>100</v>
      </c>
    </row>
    <row r="1134" spans="1:9" ht="31.5">
      <c r="A1134" s="26" t="s">
        <v>182</v>
      </c>
      <c r="B1134" s="17">
        <v>913</v>
      </c>
      <c r="C1134" s="21" t="s">
        <v>169</v>
      </c>
      <c r="D1134" s="21" t="s">
        <v>191</v>
      </c>
      <c r="E1134" s="21" t="s">
        <v>930</v>
      </c>
      <c r="F1134" s="34" t="s">
        <v>183</v>
      </c>
      <c r="G1134" s="27">
        <f t="shared" si="70"/>
        <v>63.6</v>
      </c>
      <c r="H1134" s="27">
        <f t="shared" si="70"/>
        <v>63.6</v>
      </c>
      <c r="I1134" s="27">
        <f t="shared" si="65"/>
        <v>100</v>
      </c>
    </row>
    <row r="1135" spans="1:9" ht="47.25">
      <c r="A1135" s="26" t="s">
        <v>184</v>
      </c>
      <c r="B1135" s="17">
        <v>913</v>
      </c>
      <c r="C1135" s="21" t="s">
        <v>169</v>
      </c>
      <c r="D1135" s="21" t="s">
        <v>191</v>
      </c>
      <c r="E1135" s="21" t="s">
        <v>930</v>
      </c>
      <c r="F1135" s="34" t="s">
        <v>185</v>
      </c>
      <c r="G1135" s="27">
        <f>60+3.6</f>
        <v>63.6</v>
      </c>
      <c r="H1135" s="27">
        <v>63.6</v>
      </c>
      <c r="I1135" s="27">
        <f t="shared" si="65"/>
        <v>100</v>
      </c>
    </row>
    <row r="1136" spans="1:9" ht="15.75">
      <c r="A1136" s="24" t="s">
        <v>634</v>
      </c>
      <c r="B1136" s="20">
        <v>913</v>
      </c>
      <c r="C1136" s="25" t="s">
        <v>289</v>
      </c>
      <c r="D1136" s="21"/>
      <c r="E1136" s="21"/>
      <c r="F1136" s="21"/>
      <c r="G1136" s="27">
        <f aca="true" t="shared" si="71" ref="G1136:H1139">G1137</f>
        <v>6764.8</v>
      </c>
      <c r="H1136" s="27">
        <f t="shared" si="71"/>
        <v>6699.3</v>
      </c>
      <c r="I1136" s="27">
        <f t="shared" si="65"/>
        <v>99.03175260170293</v>
      </c>
    </row>
    <row r="1137" spans="1:9" ht="15.75">
      <c r="A1137" s="24" t="s">
        <v>635</v>
      </c>
      <c r="B1137" s="20">
        <v>913</v>
      </c>
      <c r="C1137" s="25" t="s">
        <v>289</v>
      </c>
      <c r="D1137" s="25" t="s">
        <v>264</v>
      </c>
      <c r="E1137" s="25"/>
      <c r="F1137" s="25"/>
      <c r="G1137" s="27">
        <f t="shared" si="71"/>
        <v>6764.8</v>
      </c>
      <c r="H1137" s="27">
        <f t="shared" si="71"/>
        <v>6699.3</v>
      </c>
      <c r="I1137" s="27">
        <f t="shared" si="65"/>
        <v>99.03175260170293</v>
      </c>
    </row>
    <row r="1138" spans="1:9" ht="15.75">
      <c r="A1138" s="26" t="s">
        <v>172</v>
      </c>
      <c r="B1138" s="17">
        <v>913</v>
      </c>
      <c r="C1138" s="21" t="s">
        <v>289</v>
      </c>
      <c r="D1138" s="21" t="s">
        <v>264</v>
      </c>
      <c r="E1138" s="21" t="s">
        <v>173</v>
      </c>
      <c r="F1138" s="21"/>
      <c r="G1138" s="27">
        <f t="shared" si="71"/>
        <v>6764.8</v>
      </c>
      <c r="H1138" s="27">
        <f t="shared" si="71"/>
        <v>6699.3</v>
      </c>
      <c r="I1138" s="27">
        <f t="shared" si="65"/>
        <v>99.03175260170293</v>
      </c>
    </row>
    <row r="1139" spans="1:9" ht="31.5">
      <c r="A1139" s="26" t="s">
        <v>636</v>
      </c>
      <c r="B1139" s="17">
        <v>913</v>
      </c>
      <c r="C1139" s="21" t="s">
        <v>289</v>
      </c>
      <c r="D1139" s="21" t="s">
        <v>264</v>
      </c>
      <c r="E1139" s="21" t="s">
        <v>637</v>
      </c>
      <c r="F1139" s="21"/>
      <c r="G1139" s="27">
        <f t="shared" si="71"/>
        <v>6764.8</v>
      </c>
      <c r="H1139" s="27">
        <f t="shared" si="71"/>
        <v>6699.3</v>
      </c>
      <c r="I1139" s="27">
        <f t="shared" si="65"/>
        <v>99.03175260170293</v>
      </c>
    </row>
    <row r="1140" spans="1:9" ht="31.5">
      <c r="A1140" s="26" t="s">
        <v>361</v>
      </c>
      <c r="B1140" s="17">
        <v>913</v>
      </c>
      <c r="C1140" s="21" t="s">
        <v>289</v>
      </c>
      <c r="D1140" s="21" t="s">
        <v>264</v>
      </c>
      <c r="E1140" s="21" t="s">
        <v>638</v>
      </c>
      <c r="F1140" s="21"/>
      <c r="G1140" s="27">
        <f>G1141+G1143+G1145</f>
        <v>6764.8</v>
      </c>
      <c r="H1140" s="27">
        <f>H1141+H1143+H1145</f>
        <v>6699.3</v>
      </c>
      <c r="I1140" s="27">
        <f t="shared" si="65"/>
        <v>99.03175260170293</v>
      </c>
    </row>
    <row r="1141" spans="1:9" ht="94.5">
      <c r="A1141" s="26" t="s">
        <v>178</v>
      </c>
      <c r="B1141" s="17">
        <v>913</v>
      </c>
      <c r="C1141" s="21" t="s">
        <v>289</v>
      </c>
      <c r="D1141" s="21" t="s">
        <v>264</v>
      </c>
      <c r="E1141" s="21" t="s">
        <v>638</v>
      </c>
      <c r="F1141" s="21" t="s">
        <v>179</v>
      </c>
      <c r="G1141" s="27">
        <f>G1142</f>
        <v>5889.5</v>
      </c>
      <c r="H1141" s="27">
        <f>H1142</f>
        <v>5882.1</v>
      </c>
      <c r="I1141" s="27">
        <f t="shared" si="65"/>
        <v>99.87435266151627</v>
      </c>
    </row>
    <row r="1142" spans="1:9" ht="31.5">
      <c r="A1142" s="26" t="s">
        <v>259</v>
      </c>
      <c r="B1142" s="17">
        <v>913</v>
      </c>
      <c r="C1142" s="21" t="s">
        <v>289</v>
      </c>
      <c r="D1142" s="21" t="s">
        <v>264</v>
      </c>
      <c r="E1142" s="21" t="s">
        <v>638</v>
      </c>
      <c r="F1142" s="21" t="s">
        <v>260</v>
      </c>
      <c r="G1142" s="28">
        <f>5371.7+481.3-16.5-12.5+65.5</f>
        <v>5889.5</v>
      </c>
      <c r="H1142" s="28">
        <v>5882.1</v>
      </c>
      <c r="I1142" s="27">
        <f t="shared" si="65"/>
        <v>99.87435266151627</v>
      </c>
    </row>
    <row r="1143" spans="1:9" ht="31.5">
      <c r="A1143" s="26" t="s">
        <v>182</v>
      </c>
      <c r="B1143" s="17">
        <v>913</v>
      </c>
      <c r="C1143" s="21" t="s">
        <v>289</v>
      </c>
      <c r="D1143" s="21" t="s">
        <v>264</v>
      </c>
      <c r="E1143" s="21" t="s">
        <v>638</v>
      </c>
      <c r="F1143" s="21" t="s">
        <v>183</v>
      </c>
      <c r="G1143" s="27">
        <f>G1144</f>
        <v>847.8</v>
      </c>
      <c r="H1143" s="27">
        <f>H1144</f>
        <v>789.9</v>
      </c>
      <c r="I1143" s="27">
        <f t="shared" si="65"/>
        <v>93.17055909412598</v>
      </c>
    </row>
    <row r="1144" spans="1:9" ht="47.25">
      <c r="A1144" s="26" t="s">
        <v>184</v>
      </c>
      <c r="B1144" s="17">
        <v>913</v>
      </c>
      <c r="C1144" s="21" t="s">
        <v>289</v>
      </c>
      <c r="D1144" s="21" t="s">
        <v>264</v>
      </c>
      <c r="E1144" s="21" t="s">
        <v>638</v>
      </c>
      <c r="F1144" s="21" t="s">
        <v>185</v>
      </c>
      <c r="G1144" s="28">
        <f>920.6-60-3.6+44.8+797.3-54-797.3</f>
        <v>847.8</v>
      </c>
      <c r="H1144" s="28">
        <v>789.9</v>
      </c>
      <c r="I1144" s="27">
        <f t="shared" si="65"/>
        <v>93.17055909412598</v>
      </c>
    </row>
    <row r="1145" spans="1:9" ht="15.75">
      <c r="A1145" s="26" t="s">
        <v>186</v>
      </c>
      <c r="B1145" s="17">
        <v>913</v>
      </c>
      <c r="C1145" s="21" t="s">
        <v>289</v>
      </c>
      <c r="D1145" s="21" t="s">
        <v>264</v>
      </c>
      <c r="E1145" s="21" t="s">
        <v>638</v>
      </c>
      <c r="F1145" s="21" t="s">
        <v>196</v>
      </c>
      <c r="G1145" s="27">
        <f>G1146</f>
        <v>27.5</v>
      </c>
      <c r="H1145" s="27">
        <f>H1146</f>
        <v>27.3</v>
      </c>
      <c r="I1145" s="27">
        <f t="shared" si="65"/>
        <v>99.27272727272728</v>
      </c>
    </row>
    <row r="1146" spans="1:10" ht="15.75">
      <c r="A1146" s="26" t="s">
        <v>620</v>
      </c>
      <c r="B1146" s="17">
        <v>913</v>
      </c>
      <c r="C1146" s="21" t="s">
        <v>289</v>
      </c>
      <c r="D1146" s="21" t="s">
        <v>264</v>
      </c>
      <c r="E1146" s="21" t="s">
        <v>638</v>
      </c>
      <c r="F1146" s="21" t="s">
        <v>189</v>
      </c>
      <c r="G1146" s="27">
        <f>10+16.5+1</f>
        <v>27.5</v>
      </c>
      <c r="H1146" s="27">
        <v>27.3</v>
      </c>
      <c r="I1146" s="27">
        <f t="shared" si="65"/>
        <v>99.27272727272728</v>
      </c>
      <c r="J1146" s="277"/>
    </row>
    <row r="1147" spans="1:13" ht="18.75">
      <c r="A1147" s="50" t="s">
        <v>639</v>
      </c>
      <c r="B1147" s="50"/>
      <c r="C1147" s="25"/>
      <c r="D1147" s="25"/>
      <c r="E1147" s="25"/>
      <c r="F1147" s="25"/>
      <c r="G1147" s="51">
        <f>G1129+G1091+G873+G782+G578+G528+G243+G27+G10</f>
        <v>777897.5800000001</v>
      </c>
      <c r="H1147" s="51">
        <f>H1129+H1091+H873+H782+H578+H528+H243+H27+H10</f>
        <v>759777.6</v>
      </c>
      <c r="I1147" s="22">
        <f t="shared" si="65"/>
        <v>97.6706470792723</v>
      </c>
      <c r="J1147" s="209"/>
      <c r="M1147" s="281"/>
    </row>
    <row r="1148" spans="1:9" ht="15">
      <c r="A1148" s="52"/>
      <c r="B1148" s="52"/>
      <c r="C1148" s="52"/>
      <c r="D1148" s="52"/>
      <c r="E1148" s="52"/>
      <c r="F1148" s="52"/>
      <c r="G1148" s="52"/>
      <c r="H1148" s="52"/>
      <c r="I1148" s="52"/>
    </row>
    <row r="1149" spans="1:12" ht="18.75" hidden="1">
      <c r="A1149" s="52"/>
      <c r="B1149" s="52"/>
      <c r="C1149" s="53"/>
      <c r="D1149" s="53"/>
      <c r="E1149" s="53"/>
      <c r="F1149" s="126" t="s">
        <v>640</v>
      </c>
      <c r="G1149" s="54">
        <f>G1147-G1150</f>
        <v>487835.60000000015</v>
      </c>
      <c r="H1149" s="54">
        <f>H1147-H1150</f>
        <v>476511.60000000003</v>
      </c>
      <c r="I1149" s="54" t="e">
        <f>I1147-I1150</f>
        <v>#DIV/0!</v>
      </c>
      <c r="J1149" s="284"/>
      <c r="K1149" s="281"/>
      <c r="L1149" s="281"/>
    </row>
    <row r="1150" spans="1:12" ht="18.75" hidden="1">
      <c r="A1150" s="295"/>
      <c r="B1150" s="52"/>
      <c r="C1150" s="53"/>
      <c r="D1150" s="53"/>
      <c r="E1150" s="53"/>
      <c r="F1150" s="126" t="s">
        <v>641</v>
      </c>
      <c r="G1150" s="54">
        <f>G108+G196+G209+G237+G312+G395+G574+G627+G687+G732+G749+G812+G1038+G987+G957+G1015+G1125+G992+G546+G512+G1058+G846+G995+620.6+1525.3+3.3</f>
        <v>290061.9799999999</v>
      </c>
      <c r="H1150" s="54">
        <f>H108+H196+H209+H237+H312+H395+H574+H627+H687+H732+H749+H812+H1038+H987+H957+H1015+H1125+H992+H546+H512+H1058+H846+H995+620.6+1525.3+3.3</f>
        <v>283265.99999999994</v>
      </c>
      <c r="I1150" s="54" t="e">
        <f>I108+I196+I209+I237+I312+I395+I574+I627+I687+I732+I749+I812+I1038+I987+I957+I1015+I1125+I992+I546+I512+I1058+I846+I995+620.6+1525.3+3.3</f>
        <v>#DIV/0!</v>
      </c>
      <c r="K1150" s="285"/>
      <c r="L1150" s="285"/>
    </row>
    <row r="1151" spans="1:14" ht="15.75" hidden="1">
      <c r="A1151" s="52"/>
      <c r="B1151" s="52"/>
      <c r="C1151" s="53"/>
      <c r="D1151" s="55"/>
      <c r="E1151" s="55"/>
      <c r="F1151" s="55"/>
      <c r="G1151" s="127"/>
      <c r="H1151" s="127"/>
      <c r="I1151" s="127"/>
      <c r="N1151" s="281"/>
    </row>
    <row r="1152" spans="1:14" ht="15.75" hidden="1">
      <c r="A1152" s="295"/>
      <c r="B1152" s="52"/>
      <c r="C1152" s="53"/>
      <c r="D1152" s="55"/>
      <c r="E1152" s="55"/>
      <c r="F1152" s="55"/>
      <c r="G1152" s="214"/>
      <c r="H1152" s="214"/>
      <c r="I1152" s="214"/>
      <c r="N1152" s="281"/>
    </row>
    <row r="1153" spans="1:9" ht="15.75" hidden="1">
      <c r="A1153" s="52"/>
      <c r="B1153" s="52"/>
      <c r="C1153" s="53"/>
      <c r="D1153" s="55"/>
      <c r="E1153" s="55"/>
      <c r="F1153" s="55"/>
      <c r="G1153" s="53"/>
      <c r="H1153" s="53"/>
      <c r="I1153" s="53"/>
    </row>
    <row r="1154" spans="1:9" ht="15.75" hidden="1">
      <c r="A1154" s="52"/>
      <c r="B1154" s="52"/>
      <c r="C1154" s="56">
        <v>1</v>
      </c>
      <c r="D1154" s="55"/>
      <c r="E1154" s="55"/>
      <c r="F1154" s="55"/>
      <c r="G1154" s="57">
        <f>G11+G28+G244+G529+G579+G783+G874+G1092+G1130</f>
        <v>148222.00000000003</v>
      </c>
      <c r="H1154" s="57">
        <f>H11+H28+H244+H529+H579+H783+H874+H1092+H1130</f>
        <v>142735.5</v>
      </c>
      <c r="I1154" s="57">
        <f>I11+I28+I244+I529+I579+I783+I874+I1092+I1130</f>
        <v>869.8209986277657</v>
      </c>
    </row>
    <row r="1155" spans="1:12" ht="15.75" hidden="1">
      <c r="A1155" s="52"/>
      <c r="B1155" s="52"/>
      <c r="C1155" s="56" t="s">
        <v>640</v>
      </c>
      <c r="D1155" s="55"/>
      <c r="E1155" s="55"/>
      <c r="F1155" s="55"/>
      <c r="G1155" s="57">
        <f>G11+G29+G53+G66+G78+G97+G135+G244+G530+G541+G550+G579+G783+G875+G1092+G1130-G1125</f>
        <v>144053.1</v>
      </c>
      <c r="H1155" s="57">
        <f>H11+H29+H53+H66+H78+H97+H135+H244+H530+H541+H550+H579+H783+H875+H1092+H1130-H1125</f>
        <v>139092.19999999998</v>
      </c>
      <c r="I1155" s="57">
        <f>I11+I29+I53+I66+I78+I97+I135+I244+I530+I541+I550+I579+I783+I875+I1092+I1130-I1125</f>
        <v>1312.5713530174444</v>
      </c>
      <c r="K1155" s="286"/>
      <c r="L1155" s="286"/>
    </row>
    <row r="1156" spans="1:12" ht="15.75" hidden="1">
      <c r="A1156" s="52"/>
      <c r="B1156" s="52"/>
      <c r="C1156" s="56" t="s">
        <v>641</v>
      </c>
      <c r="D1156" s="55"/>
      <c r="E1156" s="55"/>
      <c r="F1156" s="55"/>
      <c r="G1156" s="57">
        <f>G108+G546+G1124</f>
        <v>4168.9</v>
      </c>
      <c r="H1156" s="57">
        <f>H108+H546+H1124</f>
        <v>3643.2999999999997</v>
      </c>
      <c r="I1156" s="57">
        <f>I108+I546+I1124</f>
        <v>256.7999165854261</v>
      </c>
      <c r="K1156" s="286"/>
      <c r="L1156" s="286"/>
    </row>
    <row r="1157" spans="1:12" ht="15.75" hidden="1">
      <c r="A1157" s="52"/>
      <c r="B1157" s="52"/>
      <c r="C1157" s="56">
        <v>2</v>
      </c>
      <c r="D1157" s="55"/>
      <c r="E1157" s="55"/>
      <c r="F1157" s="55"/>
      <c r="G1157" s="57">
        <f>G161</f>
        <v>0</v>
      </c>
      <c r="H1157" s="57">
        <f>H161</f>
        <v>0</v>
      </c>
      <c r="I1157" s="57" t="e">
        <f>I161</f>
        <v>#DIV/0!</v>
      </c>
      <c r="K1157" s="286"/>
      <c r="L1157" s="286"/>
    </row>
    <row r="1158" spans="1:12" ht="15.75" hidden="1">
      <c r="A1158" s="52"/>
      <c r="B1158" s="52"/>
      <c r="C1158" s="56">
        <v>3</v>
      </c>
      <c r="D1158" s="55"/>
      <c r="E1158" s="55"/>
      <c r="F1158" s="55"/>
      <c r="G1158" s="57">
        <f>G888+G168</f>
        <v>5701.9</v>
      </c>
      <c r="H1158" s="57">
        <f>H888+H168</f>
        <v>5614.1</v>
      </c>
      <c r="I1158" s="57" t="e">
        <f>I888+I168</f>
        <v>#DIV/0!</v>
      </c>
      <c r="K1158" s="286"/>
      <c r="L1158" s="286"/>
    </row>
    <row r="1159" spans="1:12" ht="15.75" hidden="1">
      <c r="A1159" s="52"/>
      <c r="B1159" s="52"/>
      <c r="C1159" s="56">
        <v>4</v>
      </c>
      <c r="D1159" s="55"/>
      <c r="E1159" s="55"/>
      <c r="F1159" s="55"/>
      <c r="G1159" s="57">
        <f>G186+G895</f>
        <v>10825.4</v>
      </c>
      <c r="H1159" s="57">
        <f>H186+H895</f>
        <v>9599.099999999999</v>
      </c>
      <c r="I1159" s="57">
        <f>I186+I895</f>
        <v>179.3450257150099</v>
      </c>
      <c r="K1159" s="286"/>
      <c r="L1159" s="286"/>
    </row>
    <row r="1160" spans="1:12" ht="15.75" hidden="1">
      <c r="A1160" s="52"/>
      <c r="B1160" s="52"/>
      <c r="C1160" s="56" t="s">
        <v>640</v>
      </c>
      <c r="D1160" s="55"/>
      <c r="E1160" s="55"/>
      <c r="F1160" s="55"/>
      <c r="G1160" s="57">
        <f>G1159-G1161</f>
        <v>9075.6</v>
      </c>
      <c r="H1160" s="57">
        <f>H1159-H1161</f>
        <v>7973.799999999998</v>
      </c>
      <c r="I1160" s="57">
        <f>I1159-I1161</f>
        <v>-6.957823668006142</v>
      </c>
      <c r="K1160" s="286"/>
      <c r="L1160" s="286"/>
    </row>
    <row r="1161" spans="1:9" ht="15.75" hidden="1">
      <c r="A1161" s="52"/>
      <c r="B1161" s="52"/>
      <c r="C1161" s="56" t="s">
        <v>641</v>
      </c>
      <c r="D1161" s="55"/>
      <c r="E1161" s="55"/>
      <c r="F1161" s="55"/>
      <c r="G1161" s="57">
        <f>G196+G209</f>
        <v>1749.8</v>
      </c>
      <c r="H1161" s="57">
        <f>H196+H209</f>
        <v>1625.3000000000002</v>
      </c>
      <c r="I1161" s="57">
        <f>I196+I209</f>
        <v>186.30284938301605</v>
      </c>
    </row>
    <row r="1162" spans="1:12" ht="15.75" hidden="1">
      <c r="A1162" s="52"/>
      <c r="B1162" s="52"/>
      <c r="C1162" s="56">
        <v>5</v>
      </c>
      <c r="D1162" s="55"/>
      <c r="E1162" s="55"/>
      <c r="F1162" s="55"/>
      <c r="G1162" s="57">
        <f>G909+G557</f>
        <v>151915.88</v>
      </c>
      <c r="H1162" s="57">
        <f>H909+H557</f>
        <v>144098.4</v>
      </c>
      <c r="I1162" s="57">
        <f>I909+I557</f>
        <v>183.80809978227862</v>
      </c>
      <c r="K1162" s="286"/>
      <c r="L1162" s="286"/>
    </row>
    <row r="1163" spans="1:12" ht="15.75" hidden="1">
      <c r="A1163" s="52"/>
      <c r="B1163" s="52"/>
      <c r="C1163" s="56" t="s">
        <v>640</v>
      </c>
      <c r="D1163" s="55"/>
      <c r="E1163" s="55"/>
      <c r="F1163" s="55"/>
      <c r="G1163" s="57">
        <f>G557+G916+G927+G972-G987-G992-G995+G1002-G1015+G1033+G1051-G1058+G1061-1525.2</f>
        <v>52451.200000000004</v>
      </c>
      <c r="H1163" s="57">
        <f>H557+H916+H927+H972-H987-H992-H995+H1002-H1015+H1033+H1051-H1058+H1061-1525.2</f>
        <v>49456.600000000006</v>
      </c>
      <c r="I1163" s="57">
        <f>I557+I916+I927+I972-I987-I992-I995+I1002-I1015+I1033+I1051-I1058+I1061-1525.2</f>
        <v>-1178.2792857892507</v>
      </c>
      <c r="K1163" s="286"/>
      <c r="L1163" s="286"/>
    </row>
    <row r="1164" spans="1:12" ht="15.75" hidden="1">
      <c r="A1164" s="52"/>
      <c r="B1164" s="52"/>
      <c r="C1164" s="56" t="s">
        <v>641</v>
      </c>
      <c r="D1164" s="55"/>
      <c r="E1164" s="55"/>
      <c r="F1164" s="55"/>
      <c r="G1164" s="57">
        <f>G957+G987+G992+G995+G1015+G1038+G1058+1525.2</f>
        <v>99464.68</v>
      </c>
      <c r="H1164" s="57">
        <f>H957+H987+H992+H995+H1015+H1038+H1058+1525.2</f>
        <v>94641.79999999999</v>
      </c>
      <c r="I1164" s="57">
        <f>I957+I987+I992+I995+I1015+I1038+I1058+1525.2</f>
        <v>2057.509832132166</v>
      </c>
      <c r="J1164" s="209"/>
      <c r="K1164" s="286"/>
      <c r="L1164" s="286"/>
    </row>
    <row r="1165" spans="1:9" ht="15.75" hidden="1">
      <c r="A1165" s="52"/>
      <c r="B1165" s="52"/>
      <c r="C1165" s="56">
        <v>7</v>
      </c>
      <c r="D1165" s="55"/>
      <c r="E1165" s="55"/>
      <c r="F1165" s="55"/>
      <c r="G1165" s="57">
        <f>G789+G597+G283</f>
        <v>324702</v>
      </c>
      <c r="H1165" s="57">
        <f>H789+H597+H283</f>
        <v>322656.2</v>
      </c>
      <c r="I1165" s="57">
        <f>I789+I597+I283</f>
        <v>295.83107238952283</v>
      </c>
    </row>
    <row r="1166" spans="1:12" ht="15.75" hidden="1">
      <c r="A1166" s="52"/>
      <c r="B1166" s="52"/>
      <c r="C1166" s="56" t="s">
        <v>640</v>
      </c>
      <c r="D1166" s="55"/>
      <c r="E1166" s="55"/>
      <c r="F1166" s="55"/>
      <c r="G1166" s="57">
        <f>G1165-G1167</f>
        <v>146295.5</v>
      </c>
      <c r="H1166" s="57">
        <f>H1165-H1167</f>
        <v>145470.30000000002</v>
      </c>
      <c r="I1166" s="57">
        <f>I1165-I1167</f>
        <v>-257.8815209760348</v>
      </c>
      <c r="K1166" s="286"/>
      <c r="L1166" s="286"/>
    </row>
    <row r="1167" spans="1:9" ht="15.75" hidden="1">
      <c r="A1167" s="52"/>
      <c r="B1167" s="52"/>
      <c r="C1167" s="56" t="s">
        <v>641</v>
      </c>
      <c r="D1167" s="55"/>
      <c r="E1167" s="55"/>
      <c r="F1167" s="55"/>
      <c r="G1167" s="57">
        <f>G312+G627+G687+G732+G811+G749</f>
        <v>178406.5</v>
      </c>
      <c r="H1167" s="57">
        <f>H312+H627+H687+H732+H811+H749</f>
        <v>177185.9</v>
      </c>
      <c r="I1167" s="57">
        <f>I312+I627+I687+I732+I811+I749</f>
        <v>553.7125933655576</v>
      </c>
    </row>
    <row r="1168" spans="1:9" ht="15.75" hidden="1">
      <c r="A1168" s="52"/>
      <c r="B1168" s="52"/>
      <c r="C1168" s="56">
        <v>8</v>
      </c>
      <c r="D1168" s="55"/>
      <c r="E1168" s="55"/>
      <c r="F1168" s="55"/>
      <c r="G1168" s="57">
        <f>G328</f>
        <v>63365.399999999994</v>
      </c>
      <c r="H1168" s="57">
        <f>H328</f>
        <v>62963.200000000004</v>
      </c>
      <c r="I1168" s="57">
        <f>I328</f>
        <v>99.36526874287863</v>
      </c>
    </row>
    <row r="1169" spans="1:12" ht="15.75" hidden="1">
      <c r="A1169" s="52"/>
      <c r="B1169" s="52"/>
      <c r="C1169" s="56" t="s">
        <v>640</v>
      </c>
      <c r="D1169" s="55"/>
      <c r="E1169" s="55"/>
      <c r="F1169" s="55"/>
      <c r="G1169" s="57">
        <f>G1168-G1170</f>
        <v>61265.59999999999</v>
      </c>
      <c r="H1169" s="57">
        <f>H1168-H1170</f>
        <v>60883.700000000004</v>
      </c>
      <c r="I1169" s="57">
        <f>I1168-I1170</f>
        <v>0.3320274818061506</v>
      </c>
      <c r="K1169" s="286"/>
      <c r="L1169" s="286"/>
    </row>
    <row r="1170" spans="1:9" ht="15.75" hidden="1">
      <c r="A1170" s="52"/>
      <c r="B1170" s="52"/>
      <c r="C1170" s="56" t="s">
        <v>641</v>
      </c>
      <c r="D1170" s="55"/>
      <c r="E1170" s="55"/>
      <c r="F1170" s="55"/>
      <c r="G1170" s="57">
        <f>G395</f>
        <v>2099.8</v>
      </c>
      <c r="H1170" s="57">
        <f>H395</f>
        <v>2079.5</v>
      </c>
      <c r="I1170" s="57">
        <f>I395</f>
        <v>99.03324126107248</v>
      </c>
    </row>
    <row r="1171" spans="1:9" ht="15.75" hidden="1">
      <c r="A1171" s="52"/>
      <c r="B1171" s="52"/>
      <c r="C1171" s="56">
        <v>10</v>
      </c>
      <c r="D1171" s="55"/>
      <c r="E1171" s="55"/>
      <c r="F1171" s="55"/>
      <c r="G1171" s="57">
        <f>G1080+G572+G454+G218</f>
        <v>16611.2</v>
      </c>
      <c r="H1171" s="57">
        <f>H1080+H572+H454+H218</f>
        <v>15948.2</v>
      </c>
      <c r="I1171" s="57" t="e">
        <f>I1080+I572+I454+I218</f>
        <v>#DIV/0!</v>
      </c>
    </row>
    <row r="1172" spans="1:12" ht="15.75" hidden="1">
      <c r="A1172" s="52"/>
      <c r="B1172" s="52"/>
      <c r="C1172" s="56" t="s">
        <v>640</v>
      </c>
      <c r="D1172" s="55"/>
      <c r="E1172" s="55"/>
      <c r="F1172" s="55"/>
      <c r="G1172" s="57">
        <f>G1081+G456+G225+G219-620.6</f>
        <v>12942.300000000001</v>
      </c>
      <c r="H1172" s="57">
        <f>H1081+H456+H225+H219-620.6</f>
        <v>12361.300000000001</v>
      </c>
      <c r="I1172" s="57" t="e">
        <f>I1081+I456+I225+I219-620.6</f>
        <v>#DIV/0!</v>
      </c>
      <c r="K1172" s="286"/>
      <c r="L1172" s="286"/>
    </row>
    <row r="1173" spans="1:9" ht="15.75" hidden="1">
      <c r="A1173" s="52"/>
      <c r="B1173" s="52"/>
      <c r="C1173" s="56" t="s">
        <v>641</v>
      </c>
      <c r="D1173" s="55"/>
      <c r="E1173" s="55"/>
      <c r="F1173" s="55"/>
      <c r="G1173" s="57">
        <f>G513+G237+G574+620.6</f>
        <v>3668.9</v>
      </c>
      <c r="H1173" s="57">
        <f>H513+H237+H574+620.6</f>
        <v>3586.8999999999996</v>
      </c>
      <c r="I1173" s="57" t="e">
        <f>I513+I237+I574+620.6</f>
        <v>#DIV/0!</v>
      </c>
    </row>
    <row r="1174" spans="1:12" ht="15.75" hidden="1">
      <c r="A1174" s="52"/>
      <c r="B1174" s="52"/>
      <c r="C1174" s="56">
        <v>11</v>
      </c>
      <c r="D1174" s="55"/>
      <c r="E1174" s="55"/>
      <c r="F1174" s="55"/>
      <c r="G1174" s="57">
        <f>G822</f>
        <v>49789</v>
      </c>
      <c r="H1174" s="57">
        <f>H822</f>
        <v>49463.600000000006</v>
      </c>
      <c r="I1174" s="57">
        <f>I822</f>
        <v>99.34644198517746</v>
      </c>
      <c r="K1174" s="286"/>
      <c r="L1174" s="286"/>
    </row>
    <row r="1175" spans="1:12" ht="15.75" hidden="1">
      <c r="A1175" s="52"/>
      <c r="B1175" s="52"/>
      <c r="C1175" s="56" t="s">
        <v>640</v>
      </c>
      <c r="D1175" s="55"/>
      <c r="E1175" s="55"/>
      <c r="F1175" s="55"/>
      <c r="G1175" s="57">
        <f>G1174-G1176</f>
        <v>49289</v>
      </c>
      <c r="H1175" s="57">
        <f>H1174-H1176</f>
        <v>48963.700000000004</v>
      </c>
      <c r="I1175" s="57">
        <f>I1174-I1176</f>
        <v>-0.6335580148225262</v>
      </c>
      <c r="K1175" s="286"/>
      <c r="L1175" s="286"/>
    </row>
    <row r="1176" spans="1:12" ht="15.75" hidden="1">
      <c r="A1176" s="52"/>
      <c r="B1176" s="52"/>
      <c r="C1176" s="56" t="s">
        <v>641</v>
      </c>
      <c r="D1176" s="55"/>
      <c r="E1176" s="55"/>
      <c r="F1176" s="55"/>
      <c r="G1176" s="57">
        <f>G846</f>
        <v>500</v>
      </c>
      <c r="H1176" s="57">
        <f>H846</f>
        <v>499.9</v>
      </c>
      <c r="I1176" s="57">
        <f>I846</f>
        <v>99.97999999999999</v>
      </c>
      <c r="K1176" s="286"/>
      <c r="L1176" s="286"/>
    </row>
    <row r="1177" spans="1:12" ht="15.75" hidden="1">
      <c r="A1177" s="52"/>
      <c r="B1177" s="52"/>
      <c r="C1177" s="56">
        <v>12</v>
      </c>
      <c r="D1177" s="55"/>
      <c r="E1177" s="55"/>
      <c r="F1177" s="55"/>
      <c r="G1177" s="57">
        <f>G1136</f>
        <v>6764.8</v>
      </c>
      <c r="H1177" s="57">
        <f>H1136</f>
        <v>6699.3</v>
      </c>
      <c r="I1177" s="57">
        <f>I1136</f>
        <v>99.03175260170293</v>
      </c>
      <c r="K1177" s="286"/>
      <c r="L1177" s="286"/>
    </row>
    <row r="1178" spans="1:10" ht="15.75" hidden="1">
      <c r="A1178" s="52"/>
      <c r="B1178" s="52"/>
      <c r="C1178" s="57"/>
      <c r="D1178" s="55"/>
      <c r="E1178" s="55"/>
      <c r="F1178" s="55"/>
      <c r="G1178" s="128">
        <f>G1154+G1157+G1158+G1159+G1162+G1165+G1168+G1171+G1174+G1177</f>
        <v>777897.5800000001</v>
      </c>
      <c r="H1178" s="128">
        <f>H1154+H1157+H1158+H1159+H1162+H1165+H1168+H1171+H1174+H1177</f>
        <v>759777.6</v>
      </c>
      <c r="I1178" s="128" t="e">
        <f>I1154+I1157+I1158+I1159+I1162+I1165+I1168+I1171+I1174+I1177</f>
        <v>#DIV/0!</v>
      </c>
      <c r="J1178" s="287"/>
    </row>
    <row r="1179" spans="1:10" ht="15.75" hidden="1">
      <c r="A1179" s="52"/>
      <c r="B1179" s="52"/>
      <c r="C1179" s="56" t="s">
        <v>640</v>
      </c>
      <c r="D1179" s="55"/>
      <c r="E1179" s="55"/>
      <c r="F1179" s="55"/>
      <c r="G1179" s="128">
        <f>G1155+G1157+G1158+G1160+G1163+G1166+G1169+G1172+G1175+G1177</f>
        <v>487839</v>
      </c>
      <c r="H1179" s="128">
        <f>H1155+H1157+H1158+H1160+H1163+H1166+H1169+H1172+H1175+H1177</f>
        <v>476515</v>
      </c>
      <c r="I1179" s="128" t="e">
        <f>I1155+I1157+I1158+I1160+I1163+I1166+I1169+I1172+I1175+I1177</f>
        <v>#DIV/0!</v>
      </c>
      <c r="J1179" s="287"/>
    </row>
    <row r="1180" spans="1:10" ht="15.75" hidden="1">
      <c r="A1180" s="52"/>
      <c r="B1180" s="52"/>
      <c r="C1180" s="56" t="s">
        <v>641</v>
      </c>
      <c r="D1180" s="55"/>
      <c r="E1180" s="55"/>
      <c r="F1180" s="55"/>
      <c r="G1180" s="128">
        <f>G1178-G1179</f>
        <v>290058.5800000001</v>
      </c>
      <c r="H1180" s="128">
        <f>H1178-H1179</f>
        <v>283262.6</v>
      </c>
      <c r="I1180" s="128" t="e">
        <f>I1178-I1179</f>
        <v>#DIV/0!</v>
      </c>
      <c r="J1180" s="287"/>
    </row>
    <row r="1181" spans="7:9" ht="15" hidden="1">
      <c r="G1181" s="129"/>
      <c r="H1181" s="129"/>
      <c r="I1181" s="129"/>
    </row>
    <row r="1182" spans="4:9" ht="15" hidden="1">
      <c r="D1182" s="1" t="s">
        <v>642</v>
      </c>
      <c r="E1182" s="1">
        <v>50</v>
      </c>
      <c r="G1182" s="129">
        <f>G903</f>
        <v>5347.3</v>
      </c>
      <c r="H1182" s="129">
        <f>H903</f>
        <v>4338</v>
      </c>
      <c r="I1182" s="129">
        <f>I903</f>
        <v>81.12505376545171</v>
      </c>
    </row>
    <row r="1183" spans="5:9" ht="15" hidden="1">
      <c r="E1183" s="1">
        <v>51</v>
      </c>
      <c r="G1183" s="129">
        <f>G456</f>
        <v>4342.7</v>
      </c>
      <c r="H1183" s="129">
        <f>H456</f>
        <v>3770.6000000000004</v>
      </c>
      <c r="I1183" s="129">
        <f>I456</f>
        <v>86.82616805213348</v>
      </c>
    </row>
    <row r="1184" spans="5:9" ht="15" hidden="1">
      <c r="E1184" s="1">
        <v>52</v>
      </c>
      <c r="G1184" s="129">
        <f>G599+G650+G743+G719</f>
        <v>100407.09999999999</v>
      </c>
      <c r="H1184" s="129">
        <f>H599+H650+H743+H719</f>
        <v>100039.6</v>
      </c>
      <c r="I1184" s="129">
        <f>I599+I650+I743+I719</f>
        <v>398.88364789417096</v>
      </c>
    </row>
    <row r="1185" spans="5:9" ht="15" hidden="1">
      <c r="E1185" s="1">
        <v>53</v>
      </c>
      <c r="G1185" s="129">
        <f>G204</f>
        <v>350</v>
      </c>
      <c r="H1185" s="129">
        <f>H204</f>
        <v>349.9</v>
      </c>
      <c r="I1185" s="129">
        <f>I204</f>
        <v>99.97142857142856</v>
      </c>
    </row>
    <row r="1186" spans="5:9" ht="15" hidden="1">
      <c r="E1186" s="1">
        <v>54</v>
      </c>
      <c r="G1186" s="129">
        <f>G66+G1120</f>
        <v>741</v>
      </c>
      <c r="H1186" s="129">
        <f>H66+H1120</f>
        <v>653.0999999999999</v>
      </c>
      <c r="I1186" s="129">
        <f>I66+I1120</f>
        <v>188.12964213369344</v>
      </c>
    </row>
    <row r="1187" spans="5:9" ht="15" hidden="1">
      <c r="E1187" s="1">
        <v>55</v>
      </c>
      <c r="G1187" s="129">
        <f>G226</f>
        <v>0</v>
      </c>
      <c r="H1187" s="129">
        <f>H226</f>
        <v>0</v>
      </c>
      <c r="I1187" s="129" t="e">
        <f>I226</f>
        <v>#DIV/0!</v>
      </c>
    </row>
    <row r="1188" spans="5:9" ht="15" hidden="1">
      <c r="E1188" s="1">
        <v>56</v>
      </c>
      <c r="G1188" s="129">
        <f>G78+G246</f>
        <v>120</v>
      </c>
      <c r="H1188" s="129">
        <f>H78+H246</f>
        <v>49.5</v>
      </c>
      <c r="I1188" s="129">
        <f>I78+I246</f>
        <v>125.78947368421052</v>
      </c>
    </row>
    <row r="1189" spans="5:9" ht="15" hidden="1">
      <c r="E1189" s="1">
        <v>57</v>
      </c>
      <c r="G1189" s="129">
        <f>G851+G824+G791</f>
        <v>51547.2</v>
      </c>
      <c r="H1189" s="129">
        <f>H851+H824+H791</f>
        <v>51308.899999999994</v>
      </c>
      <c r="I1189" s="129">
        <f>I851+I824+I791</f>
        <v>297.97668355598205</v>
      </c>
    </row>
    <row r="1190" spans="5:9" ht="15" hidden="1">
      <c r="E1190" s="1">
        <v>58</v>
      </c>
      <c r="G1190" s="129">
        <f>G330+G285</f>
        <v>57140.09999999999</v>
      </c>
      <c r="H1190" s="129">
        <f>H330+H285</f>
        <v>56719.100000000006</v>
      </c>
      <c r="I1190" s="129">
        <f>I330+I285</f>
        <v>198.83153077141665</v>
      </c>
    </row>
    <row r="1191" spans="5:9" ht="15" hidden="1">
      <c r="E1191" s="1">
        <v>59</v>
      </c>
      <c r="G1191" s="129">
        <f>G841</f>
        <v>545</v>
      </c>
      <c r="H1191" s="129">
        <f>H841</f>
        <v>545</v>
      </c>
      <c r="I1191" s="129">
        <f>I841</f>
        <v>100</v>
      </c>
    </row>
    <row r="1192" spans="5:9" ht="15" hidden="1">
      <c r="E1192" s="1">
        <v>60</v>
      </c>
      <c r="G1192" s="129">
        <f>G1002</f>
        <v>7436.299999999999</v>
      </c>
      <c r="H1192" s="129">
        <f>H1002</f>
        <v>5578.299999999999</v>
      </c>
      <c r="I1192" s="129">
        <f>I1002</f>
        <v>75.01445611392762</v>
      </c>
    </row>
    <row r="1193" spans="5:9" ht="15" hidden="1">
      <c r="E1193" s="1">
        <v>61</v>
      </c>
      <c r="G1193" s="129">
        <f>G188</f>
        <v>120</v>
      </c>
      <c r="H1193" s="129">
        <f>H188</f>
        <v>53</v>
      </c>
      <c r="I1193" s="129">
        <f>I188</f>
        <v>44.166666666666664</v>
      </c>
    </row>
    <row r="1194" spans="5:9" ht="15" hidden="1">
      <c r="E1194" s="1">
        <v>62</v>
      </c>
      <c r="G1194" s="129">
        <f>G927</f>
        <v>6712</v>
      </c>
      <c r="H1194" s="129">
        <f>H927</f>
        <v>6168.099999999999</v>
      </c>
      <c r="I1194" s="129">
        <f>I927</f>
        <v>91.89660309892729</v>
      </c>
    </row>
    <row r="1195" spans="5:9" ht="15" hidden="1">
      <c r="E1195" s="1">
        <v>63</v>
      </c>
      <c r="G1195" s="129">
        <f>G416+G755+G581+G251</f>
        <v>180</v>
      </c>
      <c r="H1195" s="129">
        <f>H416+H755+H581+H251</f>
        <v>128.79999999999998</v>
      </c>
      <c r="I1195" s="129" t="e">
        <f>I416+I755+I581+I251</f>
        <v>#DIV/0!</v>
      </c>
    </row>
    <row r="1196" spans="5:9" ht="15" hidden="1">
      <c r="E1196" s="1">
        <v>64</v>
      </c>
      <c r="G1196" s="129">
        <f>G97+G435+G1132+G785+G593+G276</f>
        <v>4725.1</v>
      </c>
      <c r="H1196" s="129">
        <f>H97+H435+H1132+H785+H593+H276</f>
        <v>4574.1</v>
      </c>
      <c r="I1196" s="129" t="e">
        <f>I97+I435+I1132+I785+I593+I276</f>
        <v>#DIV/0!</v>
      </c>
    </row>
    <row r="1197" spans="5:9" ht="15" hidden="1">
      <c r="E1197" s="1">
        <v>65</v>
      </c>
      <c r="G1197" s="129">
        <f>G1033</f>
        <v>1979.6</v>
      </c>
      <c r="H1197" s="129">
        <f>H1033</f>
        <v>1979.5</v>
      </c>
      <c r="I1197" s="129">
        <f>I1033</f>
        <v>99.99494847443928</v>
      </c>
    </row>
    <row r="1198" spans="5:9" ht="15" hidden="1">
      <c r="E1198" s="1">
        <v>66</v>
      </c>
      <c r="G1198" s="129">
        <f>G541</f>
        <v>67</v>
      </c>
      <c r="H1198" s="129">
        <f>H541</f>
        <v>43.7</v>
      </c>
      <c r="I1198" s="129">
        <f>I541</f>
        <v>65.22388059701493</v>
      </c>
    </row>
    <row r="1199" spans="7:9" ht="15" hidden="1">
      <c r="G1199" s="129">
        <f>SUM(G1182:G1198)</f>
        <v>241760.39999999997</v>
      </c>
      <c r="H1199" s="129">
        <f>SUM(H1182:H1198)</f>
        <v>236299.2</v>
      </c>
      <c r="I1199" s="129" t="e">
        <f>SUM(I1182:I1198)</f>
        <v>#DIV/0!</v>
      </c>
    </row>
  </sheetData>
  <mergeCells count="11">
    <mergeCell ref="H3:J3"/>
    <mergeCell ref="O829:P829"/>
    <mergeCell ref="K655:N655"/>
    <mergeCell ref="K604:M604"/>
    <mergeCell ref="K17:N17"/>
    <mergeCell ref="K21:M21"/>
    <mergeCell ref="K946:L946"/>
    <mergeCell ref="K841:M841"/>
    <mergeCell ref="K686:M686"/>
    <mergeCell ref="A4:F4"/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0" r:id="rId1"/>
  <rowBreaks count="1" manualBreakCount="1">
    <brk id="11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3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4" t="s">
        <v>159</v>
      </c>
      <c r="G1" s="74"/>
      <c r="H1" s="207"/>
    </row>
    <row r="2" spans="1:8" ht="18.75">
      <c r="A2" s="74"/>
      <c r="B2" s="74"/>
      <c r="C2" s="74"/>
      <c r="D2" s="74"/>
      <c r="E2" s="73"/>
      <c r="F2" s="184" t="s">
        <v>1</v>
      </c>
      <c r="G2" s="74"/>
      <c r="H2" s="207"/>
    </row>
    <row r="3" spans="1:8" ht="18.75">
      <c r="A3" s="74"/>
      <c r="B3" s="74"/>
      <c r="C3" s="74"/>
      <c r="D3" s="74"/>
      <c r="E3" s="73"/>
      <c r="F3" s="184" t="s">
        <v>827</v>
      </c>
      <c r="G3" s="74"/>
      <c r="H3" s="207"/>
    </row>
    <row r="4" spans="1:8" ht="15.75">
      <c r="A4" s="403"/>
      <c r="B4" s="403"/>
      <c r="C4" s="403"/>
      <c r="D4" s="403"/>
      <c r="E4" s="403"/>
      <c r="F4" s="403"/>
      <c r="G4" s="403"/>
      <c r="H4" s="207"/>
    </row>
    <row r="5" spans="1:8" ht="15.75">
      <c r="A5" s="405" t="s">
        <v>160</v>
      </c>
      <c r="B5" s="405"/>
      <c r="C5" s="405"/>
      <c r="D5" s="405"/>
      <c r="E5" s="405"/>
      <c r="F5" s="405"/>
      <c r="G5" s="405"/>
      <c r="H5" s="207"/>
    </row>
    <row r="6" spans="1:8" ht="15.75">
      <c r="A6" s="204"/>
      <c r="B6" s="204"/>
      <c r="C6" s="204"/>
      <c r="D6" s="204"/>
      <c r="E6" s="204"/>
      <c r="F6" s="204"/>
      <c r="G6" s="204"/>
      <c r="H6" s="207"/>
    </row>
    <row r="7" spans="1:8" ht="15.75">
      <c r="A7" s="14"/>
      <c r="B7" s="14"/>
      <c r="C7" s="14"/>
      <c r="D7" s="14"/>
      <c r="E7" s="14"/>
      <c r="F7" s="14"/>
      <c r="G7" s="125" t="s">
        <v>2</v>
      </c>
      <c r="H7" s="207"/>
    </row>
    <row r="8" spans="1:8" ht="47.25">
      <c r="A8" s="15" t="s">
        <v>161</v>
      </c>
      <c r="B8" s="15" t="s">
        <v>162</v>
      </c>
      <c r="C8" s="16" t="s">
        <v>163</v>
      </c>
      <c r="D8" s="16" t="s">
        <v>164</v>
      </c>
      <c r="E8" s="16" t="s">
        <v>165</v>
      </c>
      <c r="F8" s="16" t="s">
        <v>166</v>
      </c>
      <c r="G8" s="15" t="s">
        <v>5</v>
      </c>
      <c r="H8" s="207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7"/>
    </row>
    <row r="10" spans="1:9" ht="31.5">
      <c r="A10" s="20" t="s">
        <v>167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7"/>
      <c r="I10" s="138"/>
    </row>
    <row r="11" spans="1:8" ht="15.75">
      <c r="A11" s="24" t="s">
        <v>168</v>
      </c>
      <c r="B11" s="20">
        <v>901</v>
      </c>
      <c r="C11" s="25" t="s">
        <v>169</v>
      </c>
      <c r="D11" s="21"/>
      <c r="E11" s="21"/>
      <c r="F11" s="21"/>
      <c r="G11" s="22">
        <f>G12+G22</f>
        <v>14164.460000000001</v>
      </c>
      <c r="H11" s="207"/>
    </row>
    <row r="12" spans="1:8" ht="63">
      <c r="A12" s="24" t="s">
        <v>170</v>
      </c>
      <c r="B12" s="20">
        <v>901</v>
      </c>
      <c r="C12" s="25" t="s">
        <v>169</v>
      </c>
      <c r="D12" s="25" t="s">
        <v>171</v>
      </c>
      <c r="E12" s="25"/>
      <c r="F12" s="25"/>
      <c r="G12" s="22">
        <f>G13</f>
        <v>14114.460000000001</v>
      </c>
      <c r="H12" s="207"/>
    </row>
    <row r="13" spans="1:8" ht="15.75">
      <c r="A13" s="26" t="s">
        <v>172</v>
      </c>
      <c r="B13" s="17">
        <v>901</v>
      </c>
      <c r="C13" s="21" t="s">
        <v>169</v>
      </c>
      <c r="D13" s="21" t="s">
        <v>171</v>
      </c>
      <c r="E13" s="21" t="s">
        <v>173</v>
      </c>
      <c r="F13" s="21"/>
      <c r="G13" s="27">
        <f>G14</f>
        <v>14114.460000000001</v>
      </c>
      <c r="H13" s="207"/>
    </row>
    <row r="14" spans="1:8" ht="31.5">
      <c r="A14" s="26" t="s">
        <v>174</v>
      </c>
      <c r="B14" s="17">
        <v>901</v>
      </c>
      <c r="C14" s="21" t="s">
        <v>169</v>
      </c>
      <c r="D14" s="21" t="s">
        <v>171</v>
      </c>
      <c r="E14" s="21" t="s">
        <v>175</v>
      </c>
      <c r="F14" s="21"/>
      <c r="G14" s="27">
        <f>G15</f>
        <v>14114.460000000001</v>
      </c>
      <c r="H14" s="207"/>
    </row>
    <row r="15" spans="1:8" ht="47.25">
      <c r="A15" s="26" t="s">
        <v>176</v>
      </c>
      <c r="B15" s="17">
        <v>901</v>
      </c>
      <c r="C15" s="21" t="s">
        <v>169</v>
      </c>
      <c r="D15" s="21" t="s">
        <v>171</v>
      </c>
      <c r="E15" s="21" t="s">
        <v>177</v>
      </c>
      <c r="F15" s="21"/>
      <c r="G15" s="27">
        <f>G16+G18+G20</f>
        <v>14114.460000000001</v>
      </c>
      <c r="H15" s="207"/>
    </row>
    <row r="16" spans="1:8" ht="94.5">
      <c r="A16" s="26" t="s">
        <v>178</v>
      </c>
      <c r="B16" s="17">
        <v>901</v>
      </c>
      <c r="C16" s="21" t="s">
        <v>169</v>
      </c>
      <c r="D16" s="21" t="s">
        <v>171</v>
      </c>
      <c r="E16" s="21" t="s">
        <v>177</v>
      </c>
      <c r="F16" s="21" t="s">
        <v>179</v>
      </c>
      <c r="G16" s="27">
        <f>G17</f>
        <v>12784.1</v>
      </c>
      <c r="H16" s="207"/>
    </row>
    <row r="17" spans="1:8" ht="31.5">
      <c r="A17" s="26" t="s">
        <v>180</v>
      </c>
      <c r="B17" s="17">
        <v>901</v>
      </c>
      <c r="C17" s="21" t="s">
        <v>169</v>
      </c>
      <c r="D17" s="21" t="s">
        <v>171</v>
      </c>
      <c r="E17" s="21" t="s">
        <v>177</v>
      </c>
      <c r="F17" s="21" t="s">
        <v>181</v>
      </c>
      <c r="G17" s="28">
        <v>12784.1</v>
      </c>
      <c r="H17" s="207"/>
    </row>
    <row r="18" spans="1:8" ht="31.5">
      <c r="A18" s="26" t="s">
        <v>182</v>
      </c>
      <c r="B18" s="17">
        <v>901</v>
      </c>
      <c r="C18" s="21" t="s">
        <v>169</v>
      </c>
      <c r="D18" s="21" t="s">
        <v>171</v>
      </c>
      <c r="E18" s="21" t="s">
        <v>177</v>
      </c>
      <c r="F18" s="21" t="s">
        <v>183</v>
      </c>
      <c r="G18" s="27">
        <f>G19</f>
        <v>1302.36</v>
      </c>
      <c r="H18" s="207"/>
    </row>
    <row r="19" spans="1:8" ht="47.25">
      <c r="A19" s="26" t="s">
        <v>184</v>
      </c>
      <c r="B19" s="17">
        <v>901</v>
      </c>
      <c r="C19" s="21" t="s">
        <v>169</v>
      </c>
      <c r="D19" s="21" t="s">
        <v>171</v>
      </c>
      <c r="E19" s="21" t="s">
        <v>177</v>
      </c>
      <c r="F19" s="21" t="s">
        <v>185</v>
      </c>
      <c r="G19" s="28">
        <v>1302.36</v>
      </c>
      <c r="H19" s="207"/>
    </row>
    <row r="20" spans="1:8" ht="15.75">
      <c r="A20" s="26" t="s">
        <v>186</v>
      </c>
      <c r="B20" s="17">
        <v>901</v>
      </c>
      <c r="C20" s="21" t="s">
        <v>169</v>
      </c>
      <c r="D20" s="21" t="s">
        <v>171</v>
      </c>
      <c r="E20" s="21" t="s">
        <v>177</v>
      </c>
      <c r="F20" s="21" t="s">
        <v>187</v>
      </c>
      <c r="G20" s="27">
        <f>G21</f>
        <v>28</v>
      </c>
      <c r="H20" s="207"/>
    </row>
    <row r="21" spans="1:8" ht="15.75">
      <c r="A21" s="26" t="s">
        <v>620</v>
      </c>
      <c r="B21" s="17">
        <v>901</v>
      </c>
      <c r="C21" s="21" t="s">
        <v>169</v>
      </c>
      <c r="D21" s="21" t="s">
        <v>171</v>
      </c>
      <c r="E21" s="21" t="s">
        <v>177</v>
      </c>
      <c r="F21" s="21" t="s">
        <v>189</v>
      </c>
      <c r="G21" s="27">
        <v>28</v>
      </c>
      <c r="H21" s="207"/>
    </row>
    <row r="22" spans="1:8" ht="31.5" customHeight="1">
      <c r="A22" s="24" t="s">
        <v>190</v>
      </c>
      <c r="B22" s="20">
        <v>901</v>
      </c>
      <c r="C22" s="25" t="s">
        <v>169</v>
      </c>
      <c r="D22" s="25" t="s">
        <v>191</v>
      </c>
      <c r="E22" s="25"/>
      <c r="F22" s="25"/>
      <c r="G22" s="22">
        <f>G23</f>
        <v>50</v>
      </c>
      <c r="H22" s="207"/>
    </row>
    <row r="23" spans="1:8" ht="15.75">
      <c r="A23" s="26" t="s">
        <v>192</v>
      </c>
      <c r="B23" s="17">
        <v>901</v>
      </c>
      <c r="C23" s="21" t="s">
        <v>169</v>
      </c>
      <c r="D23" s="21" t="s">
        <v>191</v>
      </c>
      <c r="E23" s="21" t="s">
        <v>193</v>
      </c>
      <c r="F23" s="21"/>
      <c r="G23" s="27">
        <f>G24</f>
        <v>50</v>
      </c>
      <c r="H23" s="207"/>
    </row>
    <row r="24" spans="1:8" ht="15.75">
      <c r="A24" s="26" t="s">
        <v>194</v>
      </c>
      <c r="B24" s="17">
        <v>901</v>
      </c>
      <c r="C24" s="21" t="s">
        <v>169</v>
      </c>
      <c r="D24" s="21" t="s">
        <v>191</v>
      </c>
      <c r="E24" s="21" t="s">
        <v>195</v>
      </c>
      <c r="F24" s="21"/>
      <c r="G24" s="27">
        <f>G25</f>
        <v>50</v>
      </c>
      <c r="H24" s="207"/>
    </row>
    <row r="25" spans="1:8" ht="15.75">
      <c r="A25" s="26" t="s">
        <v>186</v>
      </c>
      <c r="B25" s="17">
        <v>901</v>
      </c>
      <c r="C25" s="21" t="s">
        <v>169</v>
      </c>
      <c r="D25" s="21" t="s">
        <v>191</v>
      </c>
      <c r="E25" s="21" t="s">
        <v>195</v>
      </c>
      <c r="F25" s="21" t="s">
        <v>196</v>
      </c>
      <c r="G25" s="27">
        <f>G26</f>
        <v>50</v>
      </c>
      <c r="H25" s="207"/>
    </row>
    <row r="26" spans="1:8" ht="15.75">
      <c r="A26" s="26" t="s">
        <v>197</v>
      </c>
      <c r="B26" s="17">
        <v>901</v>
      </c>
      <c r="C26" s="21" t="s">
        <v>169</v>
      </c>
      <c r="D26" s="21" t="s">
        <v>191</v>
      </c>
      <c r="E26" s="21" t="s">
        <v>195</v>
      </c>
      <c r="F26" s="21" t="s">
        <v>198</v>
      </c>
      <c r="G26" s="27">
        <v>50</v>
      </c>
      <c r="H26" s="207"/>
    </row>
    <row r="27" spans="1:8" ht="31.5">
      <c r="A27" s="20" t="s">
        <v>199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7"/>
    </row>
    <row r="28" spans="1:8" ht="15.75">
      <c r="A28" s="24" t="s">
        <v>168</v>
      </c>
      <c r="B28" s="20">
        <v>902</v>
      </c>
      <c r="C28" s="25" t="s">
        <v>169</v>
      </c>
      <c r="D28" s="21"/>
      <c r="E28" s="21"/>
      <c r="F28" s="21"/>
      <c r="G28" s="22">
        <f>G29+G48+G56</f>
        <v>66062.7</v>
      </c>
      <c r="H28" s="207"/>
    </row>
    <row r="29" spans="1:8" ht="78.75">
      <c r="A29" s="24" t="s">
        <v>200</v>
      </c>
      <c r="B29" s="20">
        <v>902</v>
      </c>
      <c r="C29" s="25" t="s">
        <v>169</v>
      </c>
      <c r="D29" s="25" t="s">
        <v>201</v>
      </c>
      <c r="E29" s="25"/>
      <c r="F29" s="25"/>
      <c r="G29" s="22">
        <f>G30</f>
        <v>51508.2</v>
      </c>
      <c r="H29" s="207"/>
    </row>
    <row r="30" spans="1:8" ht="15.75">
      <c r="A30" s="26" t="s">
        <v>172</v>
      </c>
      <c r="B30" s="17">
        <v>902</v>
      </c>
      <c r="C30" s="21" t="s">
        <v>169</v>
      </c>
      <c r="D30" s="21" t="s">
        <v>201</v>
      </c>
      <c r="E30" s="21" t="s">
        <v>173</v>
      </c>
      <c r="F30" s="21"/>
      <c r="G30" s="28">
        <f>G31+G42</f>
        <v>51508.2</v>
      </c>
      <c r="H30" s="207"/>
    </row>
    <row r="31" spans="1:8" ht="31.5">
      <c r="A31" s="26" t="s">
        <v>174</v>
      </c>
      <c r="B31" s="17">
        <v>902</v>
      </c>
      <c r="C31" s="21" t="s">
        <v>169</v>
      </c>
      <c r="D31" s="21" t="s">
        <v>201</v>
      </c>
      <c r="E31" s="21" t="s">
        <v>175</v>
      </c>
      <c r="F31" s="21"/>
      <c r="G31" s="28">
        <f>G32+G39</f>
        <v>43489.2</v>
      </c>
      <c r="H31" s="207"/>
    </row>
    <row r="32" spans="1:8" ht="47.25">
      <c r="A32" s="26" t="s">
        <v>176</v>
      </c>
      <c r="B32" s="17">
        <v>902</v>
      </c>
      <c r="C32" s="21" t="s">
        <v>169</v>
      </c>
      <c r="D32" s="21" t="s">
        <v>201</v>
      </c>
      <c r="E32" s="21" t="s">
        <v>177</v>
      </c>
      <c r="F32" s="21"/>
      <c r="G32" s="27">
        <f>G33+G35+G37</f>
        <v>39943.6</v>
      </c>
      <c r="H32" s="207"/>
    </row>
    <row r="33" spans="1:8" ht="94.5">
      <c r="A33" s="26" t="s">
        <v>178</v>
      </c>
      <c r="B33" s="17">
        <v>902</v>
      </c>
      <c r="C33" s="21" t="s">
        <v>169</v>
      </c>
      <c r="D33" s="21" t="s">
        <v>201</v>
      </c>
      <c r="E33" s="21" t="s">
        <v>177</v>
      </c>
      <c r="F33" s="21" t="s">
        <v>179</v>
      </c>
      <c r="G33" s="27">
        <f>G34</f>
        <v>34230.5</v>
      </c>
      <c r="H33" s="207"/>
    </row>
    <row r="34" spans="1:10" ht="31.5">
      <c r="A34" s="26" t="s">
        <v>180</v>
      </c>
      <c r="B34" s="17">
        <v>902</v>
      </c>
      <c r="C34" s="21" t="s">
        <v>169</v>
      </c>
      <c r="D34" s="21" t="s">
        <v>201</v>
      </c>
      <c r="E34" s="21" t="s">
        <v>177</v>
      </c>
      <c r="F34" s="21" t="s">
        <v>181</v>
      </c>
      <c r="G34" s="185">
        <f>36517.7-553.5-1733.7</f>
        <v>34230.5</v>
      </c>
      <c r="H34" s="186" t="s">
        <v>805</v>
      </c>
      <c r="J34" s="202" t="s">
        <v>849</v>
      </c>
    </row>
    <row r="35" spans="1:8" ht="31.5">
      <c r="A35" s="26" t="s">
        <v>182</v>
      </c>
      <c r="B35" s="17">
        <v>902</v>
      </c>
      <c r="C35" s="21" t="s">
        <v>169</v>
      </c>
      <c r="D35" s="21" t="s">
        <v>201</v>
      </c>
      <c r="E35" s="21" t="s">
        <v>177</v>
      </c>
      <c r="F35" s="21" t="s">
        <v>183</v>
      </c>
      <c r="G35" s="27">
        <f>G36</f>
        <v>5592.4</v>
      </c>
      <c r="H35" s="207"/>
    </row>
    <row r="36" spans="1:9" ht="47.25">
      <c r="A36" s="26" t="s">
        <v>184</v>
      </c>
      <c r="B36" s="17">
        <v>902</v>
      </c>
      <c r="C36" s="21" t="s">
        <v>169</v>
      </c>
      <c r="D36" s="21" t="s">
        <v>201</v>
      </c>
      <c r="E36" s="21" t="s">
        <v>177</v>
      </c>
      <c r="F36" s="21" t="s">
        <v>185</v>
      </c>
      <c r="G36" s="28">
        <f>3962.7+1800-140.3-30</f>
        <v>5592.4</v>
      </c>
      <c r="H36" s="130"/>
      <c r="I36" s="151"/>
    </row>
    <row r="37" spans="1:8" ht="15.75">
      <c r="A37" s="26" t="s">
        <v>186</v>
      </c>
      <c r="B37" s="17">
        <v>902</v>
      </c>
      <c r="C37" s="21" t="s">
        <v>169</v>
      </c>
      <c r="D37" s="21" t="s">
        <v>201</v>
      </c>
      <c r="E37" s="21" t="s">
        <v>177</v>
      </c>
      <c r="F37" s="21" t="s">
        <v>196</v>
      </c>
      <c r="G37" s="27">
        <f>G38</f>
        <v>120.7</v>
      </c>
      <c r="H37" s="207"/>
    </row>
    <row r="38" spans="1:9" ht="15.75">
      <c r="A38" s="26" t="s">
        <v>620</v>
      </c>
      <c r="B38" s="17">
        <v>902</v>
      </c>
      <c r="C38" s="21" t="s">
        <v>169</v>
      </c>
      <c r="D38" s="21" t="s">
        <v>201</v>
      </c>
      <c r="E38" s="21" t="s">
        <v>177</v>
      </c>
      <c r="F38" s="21" t="s">
        <v>189</v>
      </c>
      <c r="G38" s="28">
        <f>90.7+30</f>
        <v>120.7</v>
      </c>
      <c r="H38" s="130"/>
      <c r="I38" s="150"/>
    </row>
    <row r="39" spans="1:8" ht="31.5">
      <c r="A39" s="26" t="s">
        <v>202</v>
      </c>
      <c r="B39" s="17">
        <v>902</v>
      </c>
      <c r="C39" s="21" t="s">
        <v>169</v>
      </c>
      <c r="D39" s="21" t="s">
        <v>201</v>
      </c>
      <c r="E39" s="21" t="s">
        <v>203</v>
      </c>
      <c r="F39" s="21"/>
      <c r="G39" s="27">
        <f>G40</f>
        <v>3545.6</v>
      </c>
      <c r="H39" s="207"/>
    </row>
    <row r="40" spans="1:8" ht="94.5">
      <c r="A40" s="26" t="s">
        <v>178</v>
      </c>
      <c r="B40" s="17">
        <v>902</v>
      </c>
      <c r="C40" s="21" t="s">
        <v>169</v>
      </c>
      <c r="D40" s="21" t="s">
        <v>201</v>
      </c>
      <c r="E40" s="21" t="s">
        <v>203</v>
      </c>
      <c r="F40" s="21" t="s">
        <v>179</v>
      </c>
      <c r="G40" s="27">
        <f>G41</f>
        <v>3545.6</v>
      </c>
      <c r="H40" s="207"/>
    </row>
    <row r="41" spans="1:8" ht="31.5">
      <c r="A41" s="26" t="s">
        <v>180</v>
      </c>
      <c r="B41" s="17">
        <v>902</v>
      </c>
      <c r="C41" s="21" t="s">
        <v>169</v>
      </c>
      <c r="D41" s="21" t="s">
        <v>201</v>
      </c>
      <c r="E41" s="21" t="s">
        <v>203</v>
      </c>
      <c r="F41" s="21" t="s">
        <v>181</v>
      </c>
      <c r="G41" s="28">
        <v>3545.6</v>
      </c>
      <c r="H41" s="207"/>
    </row>
    <row r="42" spans="1:8" ht="15.75">
      <c r="A42" s="26" t="s">
        <v>192</v>
      </c>
      <c r="B42" s="17">
        <v>902</v>
      </c>
      <c r="C42" s="21" t="s">
        <v>169</v>
      </c>
      <c r="D42" s="21" t="s">
        <v>201</v>
      </c>
      <c r="E42" s="21" t="s">
        <v>193</v>
      </c>
      <c r="F42" s="21"/>
      <c r="G42" s="30">
        <f>G43</f>
        <v>8019</v>
      </c>
      <c r="H42" s="207"/>
    </row>
    <row r="43" spans="1:8" ht="31.5">
      <c r="A43" s="26" t="s">
        <v>204</v>
      </c>
      <c r="B43" s="17">
        <v>902</v>
      </c>
      <c r="C43" s="21" t="s">
        <v>169</v>
      </c>
      <c r="D43" s="21" t="s">
        <v>201</v>
      </c>
      <c r="E43" s="21" t="s">
        <v>205</v>
      </c>
      <c r="F43" s="21"/>
      <c r="G43" s="27">
        <f>G44+G46</f>
        <v>8019</v>
      </c>
      <c r="H43" s="207"/>
    </row>
    <row r="44" spans="1:8" ht="94.5">
      <c r="A44" s="26" t="s">
        <v>178</v>
      </c>
      <c r="B44" s="17">
        <v>902</v>
      </c>
      <c r="C44" s="21" t="s">
        <v>169</v>
      </c>
      <c r="D44" s="21" t="s">
        <v>201</v>
      </c>
      <c r="E44" s="21" t="s">
        <v>205</v>
      </c>
      <c r="F44" s="21" t="s">
        <v>179</v>
      </c>
      <c r="G44" s="27">
        <f>G45</f>
        <v>5761.2</v>
      </c>
      <c r="H44" s="207"/>
    </row>
    <row r="45" spans="1:10" ht="31.5">
      <c r="A45" s="26" t="s">
        <v>180</v>
      </c>
      <c r="B45" s="17">
        <v>902</v>
      </c>
      <c r="C45" s="21" t="s">
        <v>169</v>
      </c>
      <c r="D45" s="21" t="s">
        <v>201</v>
      </c>
      <c r="E45" s="21" t="s">
        <v>205</v>
      </c>
      <c r="F45" s="21" t="s">
        <v>181</v>
      </c>
      <c r="G45" s="185">
        <f>6958.6+88.4-2398.3+1112.5</f>
        <v>5761.2</v>
      </c>
      <c r="H45" s="130" t="s">
        <v>806</v>
      </c>
      <c r="I45" s="150"/>
      <c r="J45" s="201" t="s">
        <v>850</v>
      </c>
    </row>
    <row r="46" spans="1:8" ht="31.5">
      <c r="A46" s="26" t="s">
        <v>182</v>
      </c>
      <c r="B46" s="17">
        <v>902</v>
      </c>
      <c r="C46" s="21" t="s">
        <v>169</v>
      </c>
      <c r="D46" s="21" t="s">
        <v>201</v>
      </c>
      <c r="E46" s="21" t="s">
        <v>205</v>
      </c>
      <c r="F46" s="21" t="s">
        <v>183</v>
      </c>
      <c r="G46" s="27">
        <f>G47</f>
        <v>2257.8</v>
      </c>
      <c r="H46" s="207"/>
    </row>
    <row r="47" spans="1:9" ht="47.25">
      <c r="A47" s="26" t="s">
        <v>184</v>
      </c>
      <c r="B47" s="17">
        <v>902</v>
      </c>
      <c r="C47" s="21" t="s">
        <v>169</v>
      </c>
      <c r="D47" s="21" t="s">
        <v>201</v>
      </c>
      <c r="E47" s="21" t="s">
        <v>205</v>
      </c>
      <c r="F47" s="21" t="s">
        <v>185</v>
      </c>
      <c r="G47" s="185">
        <f>2109.3+129.9+835.5-1438.1+621.2</f>
        <v>2257.8</v>
      </c>
      <c r="H47" s="130" t="s">
        <v>807</v>
      </c>
      <c r="I47" s="151"/>
    </row>
    <row r="48" spans="1:8" ht="63">
      <c r="A48" s="24" t="s">
        <v>170</v>
      </c>
      <c r="B48" s="20">
        <v>902</v>
      </c>
      <c r="C48" s="25" t="s">
        <v>169</v>
      </c>
      <c r="D48" s="25" t="s">
        <v>171</v>
      </c>
      <c r="E48" s="25"/>
      <c r="F48" s="21"/>
      <c r="G48" s="22">
        <f>G49</f>
        <v>1081.7</v>
      </c>
      <c r="H48" s="207"/>
    </row>
    <row r="49" spans="1:8" ht="21" customHeight="1">
      <c r="A49" s="26" t="s">
        <v>172</v>
      </c>
      <c r="B49" s="17">
        <v>902</v>
      </c>
      <c r="C49" s="21" t="s">
        <v>169</v>
      </c>
      <c r="D49" s="21" t="s">
        <v>171</v>
      </c>
      <c r="E49" s="21" t="s">
        <v>173</v>
      </c>
      <c r="F49" s="21"/>
      <c r="G49" s="27">
        <f>G50</f>
        <v>1081.7</v>
      </c>
      <c r="H49" s="207"/>
    </row>
    <row r="50" spans="1:11" ht="31.5">
      <c r="A50" s="26" t="s">
        <v>174</v>
      </c>
      <c r="B50" s="17">
        <v>902</v>
      </c>
      <c r="C50" s="21" t="s">
        <v>169</v>
      </c>
      <c r="D50" s="21" t="s">
        <v>171</v>
      </c>
      <c r="E50" s="21" t="s">
        <v>175</v>
      </c>
      <c r="F50" s="21"/>
      <c r="G50" s="27">
        <f>G51</f>
        <v>1081.7</v>
      </c>
      <c r="H50" s="207"/>
      <c r="K50" s="27"/>
    </row>
    <row r="51" spans="1:11" ht="47.25">
      <c r="A51" s="26" t="s">
        <v>176</v>
      </c>
      <c r="B51" s="17">
        <v>902</v>
      </c>
      <c r="C51" s="21" t="s">
        <v>169</v>
      </c>
      <c r="D51" s="21" t="s">
        <v>171</v>
      </c>
      <c r="E51" s="21" t="s">
        <v>177</v>
      </c>
      <c r="F51" s="21"/>
      <c r="G51" s="27">
        <f>G52+G54</f>
        <v>1081.7</v>
      </c>
      <c r="H51" s="207"/>
      <c r="K51" s="27"/>
    </row>
    <row r="52" spans="1:11" ht="94.5">
      <c r="A52" s="26" t="s">
        <v>178</v>
      </c>
      <c r="B52" s="17">
        <v>902</v>
      </c>
      <c r="C52" s="21" t="s">
        <v>169</v>
      </c>
      <c r="D52" s="21" t="s">
        <v>171</v>
      </c>
      <c r="E52" s="21" t="s">
        <v>177</v>
      </c>
      <c r="F52" s="21" t="s">
        <v>179</v>
      </c>
      <c r="G52" s="27">
        <f>G53</f>
        <v>1081.7</v>
      </c>
      <c r="H52" s="207"/>
      <c r="K52" s="28"/>
    </row>
    <row r="53" spans="1:11" ht="31.5">
      <c r="A53" s="26" t="s">
        <v>180</v>
      </c>
      <c r="B53" s="17">
        <v>902</v>
      </c>
      <c r="C53" s="21" t="s">
        <v>169</v>
      </c>
      <c r="D53" s="21" t="s">
        <v>171</v>
      </c>
      <c r="E53" s="21" t="s">
        <v>177</v>
      </c>
      <c r="F53" s="21" t="s">
        <v>181</v>
      </c>
      <c r="G53" s="28">
        <f>1081.7</f>
        <v>1081.7</v>
      </c>
      <c r="H53" s="207"/>
      <c r="I53" s="139"/>
      <c r="K53" s="27"/>
    </row>
    <row r="54" spans="1:11" ht="31.5" hidden="1">
      <c r="A54" s="26" t="s">
        <v>182</v>
      </c>
      <c r="B54" s="17">
        <v>902</v>
      </c>
      <c r="C54" s="21" t="s">
        <v>169</v>
      </c>
      <c r="D54" s="21" t="s">
        <v>171</v>
      </c>
      <c r="E54" s="21" t="s">
        <v>177</v>
      </c>
      <c r="F54" s="21" t="s">
        <v>183</v>
      </c>
      <c r="G54" s="28">
        <f>G55</f>
        <v>0</v>
      </c>
      <c r="H54" s="207"/>
      <c r="K54" s="27"/>
    </row>
    <row r="55" spans="1:11" ht="47.25" hidden="1">
      <c r="A55" s="26" t="s">
        <v>184</v>
      </c>
      <c r="B55" s="17">
        <v>902</v>
      </c>
      <c r="C55" s="21" t="s">
        <v>169</v>
      </c>
      <c r="D55" s="21" t="s">
        <v>171</v>
      </c>
      <c r="E55" s="21" t="s">
        <v>177</v>
      </c>
      <c r="F55" s="21" t="s">
        <v>185</v>
      </c>
      <c r="G55" s="28"/>
      <c r="H55" s="207"/>
      <c r="I55" s="139"/>
      <c r="K55" s="27"/>
    </row>
    <row r="56" spans="1:11" ht="15.75">
      <c r="A56" s="24" t="s">
        <v>190</v>
      </c>
      <c r="B56" s="20">
        <v>902</v>
      </c>
      <c r="C56" s="25" t="s">
        <v>169</v>
      </c>
      <c r="D56" s="25" t="s">
        <v>191</v>
      </c>
      <c r="E56" s="25"/>
      <c r="F56" s="25"/>
      <c r="G56" s="22">
        <f>G57+G61+G73+G86+G97+G90</f>
        <v>13472.8</v>
      </c>
      <c r="H56" s="207"/>
      <c r="I56" s="138"/>
      <c r="K56" s="27"/>
    </row>
    <row r="57" spans="1:8" ht="63">
      <c r="A57" s="26" t="s">
        <v>206</v>
      </c>
      <c r="B57" s="17">
        <v>902</v>
      </c>
      <c r="C57" s="21" t="s">
        <v>169</v>
      </c>
      <c r="D57" s="21" t="s">
        <v>191</v>
      </c>
      <c r="E57" s="21" t="s">
        <v>207</v>
      </c>
      <c r="F57" s="21"/>
      <c r="G57" s="27">
        <f>G58</f>
        <v>250</v>
      </c>
      <c r="H57" s="207"/>
    </row>
    <row r="58" spans="1:8" ht="31.5">
      <c r="A58" s="26" t="s">
        <v>208</v>
      </c>
      <c r="B58" s="17">
        <v>902</v>
      </c>
      <c r="C58" s="21" t="s">
        <v>169</v>
      </c>
      <c r="D58" s="21" t="s">
        <v>191</v>
      </c>
      <c r="E58" s="21" t="s">
        <v>209</v>
      </c>
      <c r="F58" s="21"/>
      <c r="G58" s="27">
        <f>G59</f>
        <v>250</v>
      </c>
      <c r="H58" s="207"/>
    </row>
    <row r="59" spans="1:8" ht="15.75">
      <c r="A59" s="26" t="s">
        <v>186</v>
      </c>
      <c r="B59" s="17">
        <v>902</v>
      </c>
      <c r="C59" s="21" t="s">
        <v>169</v>
      </c>
      <c r="D59" s="21" t="s">
        <v>191</v>
      </c>
      <c r="E59" s="21" t="s">
        <v>209</v>
      </c>
      <c r="F59" s="21" t="s">
        <v>196</v>
      </c>
      <c r="G59" s="27">
        <f>G60</f>
        <v>250</v>
      </c>
      <c r="H59" s="207"/>
    </row>
    <row r="60" spans="1:9" ht="78.75">
      <c r="A60" s="26" t="s">
        <v>210</v>
      </c>
      <c r="B60" s="17">
        <v>902</v>
      </c>
      <c r="C60" s="21" t="s">
        <v>169</v>
      </c>
      <c r="D60" s="21" t="s">
        <v>191</v>
      </c>
      <c r="E60" s="21" t="s">
        <v>209</v>
      </c>
      <c r="F60" s="21" t="s">
        <v>211</v>
      </c>
      <c r="G60" s="27">
        <f>100+150</f>
        <v>250</v>
      </c>
      <c r="H60" s="207"/>
      <c r="I60" s="139"/>
    </row>
    <row r="61" spans="1:8" ht="47.25">
      <c r="A61" s="26" t="s">
        <v>212</v>
      </c>
      <c r="B61" s="17">
        <v>902</v>
      </c>
      <c r="C61" s="21" t="s">
        <v>169</v>
      </c>
      <c r="D61" s="21" t="s">
        <v>191</v>
      </c>
      <c r="E61" s="21" t="s">
        <v>213</v>
      </c>
      <c r="F61" s="21"/>
      <c r="G61" s="27">
        <f>G62+G65+G70</f>
        <v>653.5</v>
      </c>
      <c r="H61" s="207"/>
    </row>
    <row r="62" spans="1:8" ht="31.5">
      <c r="A62" s="31" t="s">
        <v>214</v>
      </c>
      <c r="B62" s="17">
        <v>902</v>
      </c>
      <c r="C62" s="21" t="s">
        <v>169</v>
      </c>
      <c r="D62" s="21" t="s">
        <v>191</v>
      </c>
      <c r="E62" s="42" t="s">
        <v>215</v>
      </c>
      <c r="F62" s="21"/>
      <c r="G62" s="27">
        <f>G63</f>
        <v>428.1</v>
      </c>
      <c r="H62" s="207"/>
    </row>
    <row r="63" spans="1:8" ht="31.5">
      <c r="A63" s="26" t="s">
        <v>182</v>
      </c>
      <c r="B63" s="17">
        <v>902</v>
      </c>
      <c r="C63" s="21" t="s">
        <v>169</v>
      </c>
      <c r="D63" s="21" t="s">
        <v>191</v>
      </c>
      <c r="E63" s="42" t="s">
        <v>215</v>
      </c>
      <c r="F63" s="21" t="s">
        <v>183</v>
      </c>
      <c r="G63" s="27">
        <f>G64</f>
        <v>428.1</v>
      </c>
      <c r="H63" s="207"/>
    </row>
    <row r="64" spans="1:8" ht="47.25">
      <c r="A64" s="26" t="s">
        <v>184</v>
      </c>
      <c r="B64" s="17">
        <v>902</v>
      </c>
      <c r="C64" s="21" t="s">
        <v>169</v>
      </c>
      <c r="D64" s="21" t="s">
        <v>191</v>
      </c>
      <c r="E64" s="42" t="s">
        <v>215</v>
      </c>
      <c r="F64" s="21" t="s">
        <v>185</v>
      </c>
      <c r="G64" s="27">
        <f>494.3-66.2</f>
        <v>428.1</v>
      </c>
      <c r="H64" s="207"/>
    </row>
    <row r="65" spans="1:8" ht="63">
      <c r="A65" s="208" t="s">
        <v>216</v>
      </c>
      <c r="B65" s="17">
        <v>902</v>
      </c>
      <c r="C65" s="21" t="s">
        <v>169</v>
      </c>
      <c r="D65" s="21" t="s">
        <v>191</v>
      </c>
      <c r="E65" s="42" t="s">
        <v>217</v>
      </c>
      <c r="F65" s="21"/>
      <c r="G65" s="27">
        <f>G66+G68</f>
        <v>224.89999999999998</v>
      </c>
      <c r="H65" s="207"/>
    </row>
    <row r="66" spans="1:8" ht="94.5">
      <c r="A66" s="26" t="s">
        <v>178</v>
      </c>
      <c r="B66" s="17">
        <v>902</v>
      </c>
      <c r="C66" s="21" t="s">
        <v>169</v>
      </c>
      <c r="D66" s="21" t="s">
        <v>191</v>
      </c>
      <c r="E66" s="42" t="s">
        <v>217</v>
      </c>
      <c r="F66" s="21" t="s">
        <v>179</v>
      </c>
      <c r="G66" s="27">
        <f>G67</f>
        <v>159.7</v>
      </c>
      <c r="H66" s="207"/>
    </row>
    <row r="67" spans="1:8" ht="31.5">
      <c r="A67" s="26" t="s">
        <v>180</v>
      </c>
      <c r="B67" s="17">
        <v>902</v>
      </c>
      <c r="C67" s="21" t="s">
        <v>169</v>
      </c>
      <c r="D67" s="21" t="s">
        <v>191</v>
      </c>
      <c r="E67" s="42" t="s">
        <v>217</v>
      </c>
      <c r="F67" s="21" t="s">
        <v>181</v>
      </c>
      <c r="G67" s="27">
        <v>159.7</v>
      </c>
      <c r="H67" s="207"/>
    </row>
    <row r="68" spans="1:8" ht="31.5">
      <c r="A68" s="26" t="s">
        <v>182</v>
      </c>
      <c r="B68" s="17">
        <v>902</v>
      </c>
      <c r="C68" s="21" t="s">
        <v>169</v>
      </c>
      <c r="D68" s="21" t="s">
        <v>191</v>
      </c>
      <c r="E68" s="42" t="s">
        <v>217</v>
      </c>
      <c r="F68" s="21" t="s">
        <v>183</v>
      </c>
      <c r="G68" s="27">
        <f>G69</f>
        <v>65.2</v>
      </c>
      <c r="H68" s="207"/>
    </row>
    <row r="69" spans="1:8" ht="47.25">
      <c r="A69" s="26" t="s">
        <v>184</v>
      </c>
      <c r="B69" s="17">
        <v>902</v>
      </c>
      <c r="C69" s="21" t="s">
        <v>169</v>
      </c>
      <c r="D69" s="21" t="s">
        <v>191</v>
      </c>
      <c r="E69" s="42" t="s">
        <v>217</v>
      </c>
      <c r="F69" s="21" t="s">
        <v>185</v>
      </c>
      <c r="G69" s="27">
        <f>66.2-0.5-0.5</f>
        <v>65.2</v>
      </c>
      <c r="H69" s="130"/>
    </row>
    <row r="70" spans="1:8" ht="47.25">
      <c r="A70" s="35" t="s">
        <v>242</v>
      </c>
      <c r="B70" s="17">
        <v>902</v>
      </c>
      <c r="C70" s="21" t="s">
        <v>169</v>
      </c>
      <c r="D70" s="21" t="s">
        <v>191</v>
      </c>
      <c r="E70" s="42" t="s">
        <v>760</v>
      </c>
      <c r="F70" s="21"/>
      <c r="G70" s="27">
        <f>G71</f>
        <v>0.5</v>
      </c>
      <c r="H70" s="132"/>
    </row>
    <row r="71" spans="1:8" ht="31.5">
      <c r="A71" s="26" t="s">
        <v>182</v>
      </c>
      <c r="B71" s="17">
        <v>902</v>
      </c>
      <c r="C71" s="21" t="s">
        <v>169</v>
      </c>
      <c r="D71" s="21" t="s">
        <v>191</v>
      </c>
      <c r="E71" s="42" t="s">
        <v>760</v>
      </c>
      <c r="F71" s="21" t="s">
        <v>183</v>
      </c>
      <c r="G71" s="27">
        <f>G72</f>
        <v>0.5</v>
      </c>
      <c r="H71" s="207"/>
    </row>
    <row r="72" spans="1:8" ht="47.25">
      <c r="A72" s="26" t="s">
        <v>184</v>
      </c>
      <c r="B72" s="17">
        <v>902</v>
      </c>
      <c r="C72" s="21" t="s">
        <v>169</v>
      </c>
      <c r="D72" s="21" t="s">
        <v>191</v>
      </c>
      <c r="E72" s="42" t="s">
        <v>760</v>
      </c>
      <c r="F72" s="21" t="s">
        <v>185</v>
      </c>
      <c r="G72" s="27">
        <v>0.5</v>
      </c>
      <c r="H72" s="130"/>
    </row>
    <row r="73" spans="1:8" ht="94.5">
      <c r="A73" s="31" t="s">
        <v>218</v>
      </c>
      <c r="B73" s="17">
        <v>902</v>
      </c>
      <c r="C73" s="10" t="s">
        <v>169</v>
      </c>
      <c r="D73" s="10" t="s">
        <v>191</v>
      </c>
      <c r="E73" s="6" t="s">
        <v>219</v>
      </c>
      <c r="F73" s="10"/>
      <c r="G73" s="27">
        <f>G74+G78+G82</f>
        <v>80</v>
      </c>
      <c r="H73" s="207"/>
    </row>
    <row r="74" spans="1:8" ht="78.75">
      <c r="A74" s="31" t="s">
        <v>220</v>
      </c>
      <c r="B74" s="17">
        <v>902</v>
      </c>
      <c r="C74" s="10" t="s">
        <v>169</v>
      </c>
      <c r="D74" s="10" t="s">
        <v>191</v>
      </c>
      <c r="E74" s="32" t="s">
        <v>221</v>
      </c>
      <c r="F74" s="10"/>
      <c r="G74" s="27">
        <f>G75</f>
        <v>15</v>
      </c>
      <c r="H74" s="207"/>
    </row>
    <row r="75" spans="1:8" ht="31.5">
      <c r="A75" s="208" t="s">
        <v>222</v>
      </c>
      <c r="B75" s="17">
        <v>902</v>
      </c>
      <c r="C75" s="10" t="s">
        <v>169</v>
      </c>
      <c r="D75" s="10" t="s">
        <v>191</v>
      </c>
      <c r="E75" s="6" t="s">
        <v>223</v>
      </c>
      <c r="F75" s="10"/>
      <c r="G75" s="27">
        <f>G76</f>
        <v>15</v>
      </c>
      <c r="H75" s="207"/>
    </row>
    <row r="76" spans="1:8" ht="31.5">
      <c r="A76" s="26" t="s">
        <v>182</v>
      </c>
      <c r="B76" s="17">
        <v>902</v>
      </c>
      <c r="C76" s="10" t="s">
        <v>169</v>
      </c>
      <c r="D76" s="10" t="s">
        <v>191</v>
      </c>
      <c r="E76" s="6" t="s">
        <v>223</v>
      </c>
      <c r="F76" s="10" t="s">
        <v>183</v>
      </c>
      <c r="G76" s="27">
        <f>G77</f>
        <v>15</v>
      </c>
      <c r="H76" s="207"/>
    </row>
    <row r="77" spans="1:8" ht="47.25">
      <c r="A77" s="26" t="s">
        <v>184</v>
      </c>
      <c r="B77" s="17">
        <v>902</v>
      </c>
      <c r="C77" s="10" t="s">
        <v>169</v>
      </c>
      <c r="D77" s="10" t="s">
        <v>191</v>
      </c>
      <c r="E77" s="6" t="s">
        <v>223</v>
      </c>
      <c r="F77" s="10" t="s">
        <v>185</v>
      </c>
      <c r="G77" s="27">
        <v>15</v>
      </c>
      <c r="H77" s="207"/>
    </row>
    <row r="78" spans="1:8" ht="63">
      <c r="A78" s="31" t="s">
        <v>224</v>
      </c>
      <c r="B78" s="17">
        <v>902</v>
      </c>
      <c r="C78" s="10" t="s">
        <v>169</v>
      </c>
      <c r="D78" s="10" t="s">
        <v>191</v>
      </c>
      <c r="E78" s="32" t="s">
        <v>225</v>
      </c>
      <c r="F78" s="10"/>
      <c r="G78" s="27">
        <f>G79</f>
        <v>50</v>
      </c>
      <c r="H78" s="207"/>
    </row>
    <row r="79" spans="1:8" ht="31.5">
      <c r="A79" s="47" t="s">
        <v>226</v>
      </c>
      <c r="B79" s="17">
        <v>902</v>
      </c>
      <c r="C79" s="10" t="s">
        <v>169</v>
      </c>
      <c r="D79" s="10" t="s">
        <v>191</v>
      </c>
      <c r="E79" s="6" t="s">
        <v>227</v>
      </c>
      <c r="F79" s="10"/>
      <c r="G79" s="27">
        <f>G80</f>
        <v>50</v>
      </c>
      <c r="H79" s="207"/>
    </row>
    <row r="80" spans="1:8" ht="31.5">
      <c r="A80" s="26" t="s">
        <v>182</v>
      </c>
      <c r="B80" s="17">
        <v>902</v>
      </c>
      <c r="C80" s="10" t="s">
        <v>169</v>
      </c>
      <c r="D80" s="10" t="s">
        <v>191</v>
      </c>
      <c r="E80" s="6" t="s">
        <v>227</v>
      </c>
      <c r="F80" s="10" t="s">
        <v>183</v>
      </c>
      <c r="G80" s="27">
        <f>G81</f>
        <v>50</v>
      </c>
      <c r="H80" s="207"/>
    </row>
    <row r="81" spans="1:8" ht="47.25">
      <c r="A81" s="26" t="s">
        <v>184</v>
      </c>
      <c r="B81" s="17">
        <v>902</v>
      </c>
      <c r="C81" s="10" t="s">
        <v>169</v>
      </c>
      <c r="D81" s="10" t="s">
        <v>191</v>
      </c>
      <c r="E81" s="6" t="s">
        <v>227</v>
      </c>
      <c r="F81" s="10" t="s">
        <v>185</v>
      </c>
      <c r="G81" s="27">
        <v>50</v>
      </c>
      <c r="H81" s="207"/>
    </row>
    <row r="82" spans="1:8" ht="47.25">
      <c r="A82" s="26" t="s">
        <v>228</v>
      </c>
      <c r="B82" s="17">
        <v>902</v>
      </c>
      <c r="C82" s="10" t="s">
        <v>169</v>
      </c>
      <c r="D82" s="10" t="s">
        <v>191</v>
      </c>
      <c r="E82" s="6" t="s">
        <v>229</v>
      </c>
      <c r="F82" s="10"/>
      <c r="G82" s="27">
        <f>G83</f>
        <v>15</v>
      </c>
      <c r="H82" s="207"/>
    </row>
    <row r="83" spans="1:8" ht="15.75">
      <c r="A83" s="47" t="s">
        <v>230</v>
      </c>
      <c r="B83" s="17">
        <v>902</v>
      </c>
      <c r="C83" s="10" t="s">
        <v>169</v>
      </c>
      <c r="D83" s="10" t="s">
        <v>191</v>
      </c>
      <c r="E83" s="6" t="s">
        <v>231</v>
      </c>
      <c r="F83" s="10"/>
      <c r="G83" s="27">
        <f>G84</f>
        <v>15</v>
      </c>
      <c r="H83" s="207"/>
    </row>
    <row r="84" spans="1:8" ht="31.5">
      <c r="A84" s="26" t="s">
        <v>182</v>
      </c>
      <c r="B84" s="17">
        <v>902</v>
      </c>
      <c r="C84" s="10" t="s">
        <v>169</v>
      </c>
      <c r="D84" s="10" t="s">
        <v>191</v>
      </c>
      <c r="E84" s="6" t="s">
        <v>231</v>
      </c>
      <c r="F84" s="10" t="s">
        <v>183</v>
      </c>
      <c r="G84" s="27">
        <f>G85</f>
        <v>15</v>
      </c>
      <c r="H84" s="207"/>
    </row>
    <row r="85" spans="1:8" ht="47.25">
      <c r="A85" s="26" t="s">
        <v>184</v>
      </c>
      <c r="B85" s="17">
        <v>902</v>
      </c>
      <c r="C85" s="10" t="s">
        <v>169</v>
      </c>
      <c r="D85" s="10" t="s">
        <v>191</v>
      </c>
      <c r="E85" s="6" t="s">
        <v>231</v>
      </c>
      <c r="F85" s="10" t="s">
        <v>185</v>
      </c>
      <c r="G85" s="27">
        <v>15</v>
      </c>
      <c r="H85" s="207"/>
    </row>
    <row r="86" spans="1:8" ht="47.25">
      <c r="A86" s="33" t="s">
        <v>232</v>
      </c>
      <c r="B86" s="17">
        <v>902</v>
      </c>
      <c r="C86" s="21" t="s">
        <v>169</v>
      </c>
      <c r="D86" s="21" t="s">
        <v>191</v>
      </c>
      <c r="E86" s="32" t="s">
        <v>233</v>
      </c>
      <c r="F86" s="34"/>
      <c r="G86" s="27">
        <f>G87</f>
        <v>120</v>
      </c>
      <c r="H86" s="207"/>
    </row>
    <row r="87" spans="1:8" ht="31.5">
      <c r="A87" s="26" t="s">
        <v>208</v>
      </c>
      <c r="B87" s="17">
        <v>902</v>
      </c>
      <c r="C87" s="21" t="s">
        <v>169</v>
      </c>
      <c r="D87" s="21" t="s">
        <v>191</v>
      </c>
      <c r="E87" s="21" t="s">
        <v>234</v>
      </c>
      <c r="F87" s="34"/>
      <c r="G87" s="27">
        <f>G88</f>
        <v>120</v>
      </c>
      <c r="H87" s="207"/>
    </row>
    <row r="88" spans="1:8" ht="15.75">
      <c r="A88" s="31" t="s">
        <v>186</v>
      </c>
      <c r="B88" s="17">
        <v>902</v>
      </c>
      <c r="C88" s="21" t="s">
        <v>169</v>
      </c>
      <c r="D88" s="21" t="s">
        <v>191</v>
      </c>
      <c r="E88" s="21" t="s">
        <v>234</v>
      </c>
      <c r="F88" s="34" t="s">
        <v>196</v>
      </c>
      <c r="G88" s="27">
        <f>G89</f>
        <v>120</v>
      </c>
      <c r="H88" s="207"/>
    </row>
    <row r="89" spans="1:9" ht="63">
      <c r="A89" s="31" t="s">
        <v>235</v>
      </c>
      <c r="B89" s="17">
        <v>902</v>
      </c>
      <c r="C89" s="21" t="s">
        <v>169</v>
      </c>
      <c r="D89" s="21" t="s">
        <v>191</v>
      </c>
      <c r="E89" s="21" t="s">
        <v>234</v>
      </c>
      <c r="F89" s="34" t="s">
        <v>211</v>
      </c>
      <c r="G89" s="27">
        <f>100+20</f>
        <v>120</v>
      </c>
      <c r="H89" s="130"/>
      <c r="I89" s="152"/>
    </row>
    <row r="90" spans="1:8" ht="63">
      <c r="A90" s="31" t="s">
        <v>797</v>
      </c>
      <c r="B90" s="17">
        <v>902</v>
      </c>
      <c r="C90" s="21" t="s">
        <v>169</v>
      </c>
      <c r="D90" s="21" t="s">
        <v>191</v>
      </c>
      <c r="E90" s="21" t="s">
        <v>795</v>
      </c>
      <c r="F90" s="34"/>
      <c r="G90" s="27">
        <f>G91</f>
        <v>29</v>
      </c>
      <c r="H90" s="132"/>
    </row>
    <row r="91" spans="1:8" ht="31.5">
      <c r="A91" s="33" t="s">
        <v>208</v>
      </c>
      <c r="B91" s="17">
        <v>902</v>
      </c>
      <c r="C91" s="21" t="s">
        <v>169</v>
      </c>
      <c r="D91" s="21" t="s">
        <v>191</v>
      </c>
      <c r="E91" s="21" t="s">
        <v>803</v>
      </c>
      <c r="F91" s="34"/>
      <c r="G91" s="27">
        <f>G92</f>
        <v>29</v>
      </c>
      <c r="H91" s="132"/>
    </row>
    <row r="92" spans="1:8" ht="31.5">
      <c r="A92" s="26" t="s">
        <v>182</v>
      </c>
      <c r="B92" s="17">
        <v>902</v>
      </c>
      <c r="C92" s="21" t="s">
        <v>169</v>
      </c>
      <c r="D92" s="21" t="s">
        <v>191</v>
      </c>
      <c r="E92" s="21" t="s">
        <v>803</v>
      </c>
      <c r="F92" s="34" t="s">
        <v>183</v>
      </c>
      <c r="G92" s="27">
        <f>G93</f>
        <v>29</v>
      </c>
      <c r="H92" s="132"/>
    </row>
    <row r="93" spans="1:9" ht="47.25">
      <c r="A93" s="26" t="s">
        <v>184</v>
      </c>
      <c r="B93" s="17">
        <v>902</v>
      </c>
      <c r="C93" s="21" t="s">
        <v>169</v>
      </c>
      <c r="D93" s="21" t="s">
        <v>191</v>
      </c>
      <c r="E93" s="21" t="s">
        <v>803</v>
      </c>
      <c r="F93" s="34" t="s">
        <v>185</v>
      </c>
      <c r="G93" s="27">
        <v>29</v>
      </c>
      <c r="H93" s="132"/>
      <c r="I93" s="150"/>
    </row>
    <row r="94" spans="1:8" ht="15.75" hidden="1">
      <c r="A94" s="31"/>
      <c r="B94" s="17"/>
      <c r="C94" s="21"/>
      <c r="D94" s="21"/>
      <c r="E94" s="21"/>
      <c r="F94" s="34"/>
      <c r="G94" s="27"/>
      <c r="H94" s="132"/>
    </row>
    <row r="95" spans="1:8" ht="15.75" hidden="1">
      <c r="A95" s="26"/>
      <c r="B95" s="17"/>
      <c r="C95" s="21"/>
      <c r="D95" s="21"/>
      <c r="E95" s="21"/>
      <c r="F95" s="34"/>
      <c r="G95" s="27"/>
      <c r="H95" s="132"/>
    </row>
    <row r="96" spans="1:9" ht="15.75" hidden="1">
      <c r="A96" s="26"/>
      <c r="B96" s="17"/>
      <c r="C96" s="21"/>
      <c r="D96" s="21"/>
      <c r="E96" s="21"/>
      <c r="F96" s="34"/>
      <c r="G96" s="27"/>
      <c r="H96" s="132"/>
      <c r="I96" s="150"/>
    </row>
    <row r="97" spans="1:8" ht="15.75">
      <c r="A97" s="26" t="s">
        <v>172</v>
      </c>
      <c r="B97" s="17">
        <v>902</v>
      </c>
      <c r="C97" s="21" t="s">
        <v>169</v>
      </c>
      <c r="D97" s="21" t="s">
        <v>191</v>
      </c>
      <c r="E97" s="21" t="s">
        <v>173</v>
      </c>
      <c r="F97" s="21"/>
      <c r="G97" s="27">
        <f>G98+G121</f>
        <v>12340.3</v>
      </c>
      <c r="H97" s="207"/>
    </row>
    <row r="98" spans="1:8" ht="31.5">
      <c r="A98" s="26" t="s">
        <v>236</v>
      </c>
      <c r="B98" s="17">
        <v>902</v>
      </c>
      <c r="C98" s="21" t="s">
        <v>169</v>
      </c>
      <c r="D98" s="21" t="s">
        <v>191</v>
      </c>
      <c r="E98" s="21" t="s">
        <v>237</v>
      </c>
      <c r="F98" s="21"/>
      <c r="G98" s="27">
        <f>G104+G107+G113+G116</f>
        <v>3600.8999999999996</v>
      </c>
      <c r="H98" s="207"/>
    </row>
    <row r="99" spans="1:8" ht="47.25" hidden="1">
      <c r="A99" s="26" t="s">
        <v>238</v>
      </c>
      <c r="B99" s="17">
        <v>902</v>
      </c>
      <c r="C99" s="21" t="s">
        <v>169</v>
      </c>
      <c r="D99" s="21" t="s">
        <v>191</v>
      </c>
      <c r="E99" s="21" t="s">
        <v>239</v>
      </c>
      <c r="F99" s="25"/>
      <c r="G99" s="27">
        <f>G100+G102</f>
        <v>0</v>
      </c>
      <c r="H99" s="207"/>
    </row>
    <row r="100" spans="1:8" ht="94.5" hidden="1">
      <c r="A100" s="26" t="s">
        <v>178</v>
      </c>
      <c r="B100" s="17">
        <v>902</v>
      </c>
      <c r="C100" s="21" t="s">
        <v>169</v>
      </c>
      <c r="D100" s="21" t="s">
        <v>191</v>
      </c>
      <c r="E100" s="21" t="s">
        <v>239</v>
      </c>
      <c r="F100" s="21" t="s">
        <v>179</v>
      </c>
      <c r="G100" s="27">
        <f>G101</f>
        <v>0</v>
      </c>
      <c r="H100" s="207"/>
    </row>
    <row r="101" spans="1:8" ht="31.5" hidden="1">
      <c r="A101" s="26" t="s">
        <v>180</v>
      </c>
      <c r="B101" s="17">
        <v>902</v>
      </c>
      <c r="C101" s="21" t="s">
        <v>169</v>
      </c>
      <c r="D101" s="21" t="s">
        <v>191</v>
      </c>
      <c r="E101" s="21" t="s">
        <v>239</v>
      </c>
      <c r="F101" s="21" t="s">
        <v>181</v>
      </c>
      <c r="G101" s="27">
        <v>0</v>
      </c>
      <c r="H101" s="207"/>
    </row>
    <row r="102" spans="1:8" ht="31.5" hidden="1">
      <c r="A102" s="26" t="s">
        <v>182</v>
      </c>
      <c r="B102" s="17">
        <v>902</v>
      </c>
      <c r="C102" s="21" t="s">
        <v>169</v>
      </c>
      <c r="D102" s="21" t="s">
        <v>191</v>
      </c>
      <c r="E102" s="21" t="s">
        <v>239</v>
      </c>
      <c r="F102" s="21" t="s">
        <v>183</v>
      </c>
      <c r="G102" s="27">
        <f>G103</f>
        <v>0</v>
      </c>
      <c r="H102" s="207"/>
    </row>
    <row r="103" spans="1:8" ht="47.25" hidden="1">
      <c r="A103" s="26" t="s">
        <v>184</v>
      </c>
      <c r="B103" s="17">
        <v>902</v>
      </c>
      <c r="C103" s="21" t="s">
        <v>169</v>
      </c>
      <c r="D103" s="21" t="s">
        <v>191</v>
      </c>
      <c r="E103" s="21" t="s">
        <v>239</v>
      </c>
      <c r="F103" s="21" t="s">
        <v>185</v>
      </c>
      <c r="G103" s="27">
        <v>0</v>
      </c>
      <c r="H103" s="207"/>
    </row>
    <row r="104" spans="1:8" ht="47.25">
      <c r="A104" s="33" t="s">
        <v>240</v>
      </c>
      <c r="B104" s="17">
        <v>902</v>
      </c>
      <c r="C104" s="21" t="s">
        <v>169</v>
      </c>
      <c r="D104" s="21" t="s">
        <v>191</v>
      </c>
      <c r="E104" s="21" t="s">
        <v>241</v>
      </c>
      <c r="F104" s="21"/>
      <c r="G104" s="27">
        <f>G105</f>
        <v>701.8</v>
      </c>
      <c r="H104" s="207"/>
    </row>
    <row r="105" spans="1:8" ht="94.5">
      <c r="A105" s="26" t="s">
        <v>178</v>
      </c>
      <c r="B105" s="17">
        <v>902</v>
      </c>
      <c r="C105" s="21" t="s">
        <v>169</v>
      </c>
      <c r="D105" s="21" t="s">
        <v>191</v>
      </c>
      <c r="E105" s="21" t="s">
        <v>241</v>
      </c>
      <c r="F105" s="21" t="s">
        <v>179</v>
      </c>
      <c r="G105" s="27">
        <f>G106</f>
        <v>701.8</v>
      </c>
      <c r="H105" s="207"/>
    </row>
    <row r="106" spans="1:9" ht="31.5">
      <c r="A106" s="26" t="s">
        <v>180</v>
      </c>
      <c r="B106" s="17">
        <v>902</v>
      </c>
      <c r="C106" s="21" t="s">
        <v>169</v>
      </c>
      <c r="D106" s="21" t="s">
        <v>191</v>
      </c>
      <c r="E106" s="21" t="s">
        <v>241</v>
      </c>
      <c r="F106" s="21" t="s">
        <v>181</v>
      </c>
      <c r="G106" s="27">
        <v>701.8</v>
      </c>
      <c r="H106" s="207"/>
      <c r="I106" s="139"/>
    </row>
    <row r="107" spans="1:8" ht="47.25">
      <c r="A107" s="35" t="s">
        <v>242</v>
      </c>
      <c r="B107" s="17">
        <v>902</v>
      </c>
      <c r="C107" s="21" t="s">
        <v>169</v>
      </c>
      <c r="D107" s="21" t="s">
        <v>191</v>
      </c>
      <c r="E107" s="21" t="s">
        <v>243</v>
      </c>
      <c r="F107" s="21"/>
      <c r="G107" s="27">
        <f>G108</f>
        <v>40</v>
      </c>
      <c r="H107" s="207"/>
    </row>
    <row r="108" spans="1:8" ht="31.5">
      <c r="A108" s="26" t="s">
        <v>182</v>
      </c>
      <c r="B108" s="17">
        <v>902</v>
      </c>
      <c r="C108" s="21" t="s">
        <v>169</v>
      </c>
      <c r="D108" s="21" t="s">
        <v>191</v>
      </c>
      <c r="E108" s="21" t="s">
        <v>243</v>
      </c>
      <c r="F108" s="21" t="s">
        <v>183</v>
      </c>
      <c r="G108" s="27">
        <f>G109</f>
        <v>40</v>
      </c>
      <c r="H108" s="207"/>
    </row>
    <row r="109" spans="1:9" ht="47.25">
      <c r="A109" s="26" t="s">
        <v>184</v>
      </c>
      <c r="B109" s="17">
        <v>902</v>
      </c>
      <c r="C109" s="21" t="s">
        <v>169</v>
      </c>
      <c r="D109" s="21" t="s">
        <v>191</v>
      </c>
      <c r="E109" s="21" t="s">
        <v>243</v>
      </c>
      <c r="F109" s="21" t="s">
        <v>185</v>
      </c>
      <c r="G109" s="27">
        <f>36+4</f>
        <v>40</v>
      </c>
      <c r="H109" s="207"/>
      <c r="I109" s="139"/>
    </row>
    <row r="110" spans="1:8" ht="31.5" hidden="1">
      <c r="A110" s="33" t="s">
        <v>244</v>
      </c>
      <c r="B110" s="17">
        <v>902</v>
      </c>
      <c r="C110" s="21" t="s">
        <v>169</v>
      </c>
      <c r="D110" s="21" t="s">
        <v>191</v>
      </c>
      <c r="E110" s="21" t="s">
        <v>243</v>
      </c>
      <c r="F110" s="21"/>
      <c r="G110" s="27">
        <f>G111</f>
        <v>0</v>
      </c>
      <c r="H110" s="207"/>
    </row>
    <row r="111" spans="1:8" ht="31.5" hidden="1">
      <c r="A111" s="26" t="s">
        <v>182</v>
      </c>
      <c r="B111" s="17">
        <v>902</v>
      </c>
      <c r="C111" s="21" t="s">
        <v>169</v>
      </c>
      <c r="D111" s="21" t="s">
        <v>191</v>
      </c>
      <c r="E111" s="21" t="s">
        <v>243</v>
      </c>
      <c r="F111" s="21" t="s">
        <v>183</v>
      </c>
      <c r="G111" s="27">
        <f>G112</f>
        <v>0</v>
      </c>
      <c r="H111" s="207"/>
    </row>
    <row r="112" spans="1:8" ht="47.25" hidden="1">
      <c r="A112" s="26" t="s">
        <v>184</v>
      </c>
      <c r="B112" s="17">
        <v>902</v>
      </c>
      <c r="C112" s="21" t="s">
        <v>169</v>
      </c>
      <c r="D112" s="21" t="s">
        <v>191</v>
      </c>
      <c r="E112" s="21" t="s">
        <v>243</v>
      </c>
      <c r="F112" s="21" t="s">
        <v>185</v>
      </c>
      <c r="G112" s="27"/>
      <c r="H112" s="207"/>
    </row>
    <row r="113" spans="1:8" ht="63">
      <c r="A113" s="33" t="s">
        <v>245</v>
      </c>
      <c r="B113" s="17">
        <v>902</v>
      </c>
      <c r="C113" s="21" t="s">
        <v>169</v>
      </c>
      <c r="D113" s="21" t="s">
        <v>191</v>
      </c>
      <c r="E113" s="21" t="s">
        <v>246</v>
      </c>
      <c r="F113" s="21"/>
      <c r="G113" s="27">
        <f>G114</f>
        <v>1752.9</v>
      </c>
      <c r="H113" s="207"/>
    </row>
    <row r="114" spans="1:8" ht="94.5">
      <c r="A114" s="26" t="s">
        <v>178</v>
      </c>
      <c r="B114" s="17">
        <v>902</v>
      </c>
      <c r="C114" s="21" t="s">
        <v>169</v>
      </c>
      <c r="D114" s="21" t="s">
        <v>191</v>
      </c>
      <c r="E114" s="21" t="s">
        <v>246</v>
      </c>
      <c r="F114" s="21" t="s">
        <v>179</v>
      </c>
      <c r="G114" s="27">
        <f>G115</f>
        <v>1752.9</v>
      </c>
      <c r="H114" s="207"/>
    </row>
    <row r="115" spans="1:8" ht="31.5">
      <c r="A115" s="26" t="s">
        <v>180</v>
      </c>
      <c r="B115" s="17">
        <v>902</v>
      </c>
      <c r="C115" s="21" t="s">
        <v>169</v>
      </c>
      <c r="D115" s="21" t="s">
        <v>191</v>
      </c>
      <c r="E115" s="21" t="s">
        <v>246</v>
      </c>
      <c r="F115" s="21" t="s">
        <v>181</v>
      </c>
      <c r="G115" s="27">
        <v>1752.9</v>
      </c>
      <c r="H115" s="207"/>
    </row>
    <row r="116" spans="1:8" ht="47.25">
      <c r="A116" s="33" t="s">
        <v>247</v>
      </c>
      <c r="B116" s="17">
        <v>902</v>
      </c>
      <c r="C116" s="21" t="s">
        <v>169</v>
      </c>
      <c r="D116" s="21" t="s">
        <v>191</v>
      </c>
      <c r="E116" s="21" t="s">
        <v>248</v>
      </c>
      <c r="F116" s="21"/>
      <c r="G116" s="27">
        <f>G117+G119</f>
        <v>1106.1999999999998</v>
      </c>
      <c r="H116" s="207"/>
    </row>
    <row r="117" spans="1:8" ht="94.5">
      <c r="A117" s="26" t="s">
        <v>178</v>
      </c>
      <c r="B117" s="17">
        <v>902</v>
      </c>
      <c r="C117" s="21" t="s">
        <v>169</v>
      </c>
      <c r="D117" s="21" t="s">
        <v>191</v>
      </c>
      <c r="E117" s="21" t="s">
        <v>248</v>
      </c>
      <c r="F117" s="21" t="s">
        <v>179</v>
      </c>
      <c r="G117" s="27">
        <f>G118</f>
        <v>1073.1</v>
      </c>
      <c r="H117" s="207"/>
    </row>
    <row r="118" spans="1:9" ht="31.5">
      <c r="A118" s="26" t="s">
        <v>180</v>
      </c>
      <c r="B118" s="17">
        <v>902</v>
      </c>
      <c r="C118" s="21" t="s">
        <v>169</v>
      </c>
      <c r="D118" s="21" t="s">
        <v>191</v>
      </c>
      <c r="E118" s="21" t="s">
        <v>248</v>
      </c>
      <c r="F118" s="21" t="s">
        <v>181</v>
      </c>
      <c r="G118" s="27">
        <f>1537-463.9</f>
        <v>1073.1</v>
      </c>
      <c r="H118" s="207"/>
      <c r="I118" s="139"/>
    </row>
    <row r="119" spans="1:8" ht="47.25">
      <c r="A119" s="26" t="s">
        <v>249</v>
      </c>
      <c r="B119" s="17">
        <v>902</v>
      </c>
      <c r="C119" s="21" t="s">
        <v>169</v>
      </c>
      <c r="D119" s="21" t="s">
        <v>191</v>
      </c>
      <c r="E119" s="21" t="s">
        <v>248</v>
      </c>
      <c r="F119" s="21" t="s">
        <v>183</v>
      </c>
      <c r="G119" s="27">
        <f>G120</f>
        <v>33.1</v>
      </c>
      <c r="H119" s="207"/>
    </row>
    <row r="120" spans="1:8" ht="47.25">
      <c r="A120" s="26" t="s">
        <v>184</v>
      </c>
      <c r="B120" s="17">
        <v>902</v>
      </c>
      <c r="C120" s="21" t="s">
        <v>169</v>
      </c>
      <c r="D120" s="21" t="s">
        <v>191</v>
      </c>
      <c r="E120" s="21" t="s">
        <v>248</v>
      </c>
      <c r="F120" s="21" t="s">
        <v>185</v>
      </c>
      <c r="G120" s="27">
        <v>33.1</v>
      </c>
      <c r="H120" s="207"/>
    </row>
    <row r="121" spans="1:8" ht="15.75">
      <c r="A121" s="26" t="s">
        <v>192</v>
      </c>
      <c r="B121" s="17">
        <v>902</v>
      </c>
      <c r="C121" s="21" t="s">
        <v>169</v>
      </c>
      <c r="D121" s="21" t="s">
        <v>191</v>
      </c>
      <c r="E121" s="21" t="s">
        <v>193</v>
      </c>
      <c r="F121" s="21"/>
      <c r="G121" s="27">
        <f>G134+G139+G144</f>
        <v>8739.4</v>
      </c>
      <c r="H121" s="207"/>
    </row>
    <row r="122" spans="1:8" ht="15.75" hidden="1">
      <c r="A122" s="26" t="s">
        <v>250</v>
      </c>
      <c r="B122" s="17">
        <v>902</v>
      </c>
      <c r="C122" s="21" t="s">
        <v>169</v>
      </c>
      <c r="D122" s="21" t="s">
        <v>191</v>
      </c>
      <c r="E122" s="21" t="s">
        <v>251</v>
      </c>
      <c r="F122" s="21"/>
      <c r="G122" s="27">
        <f>G123</f>
        <v>0</v>
      </c>
      <c r="H122" s="207"/>
    </row>
    <row r="123" spans="1:8" ht="33" customHeight="1" hidden="1">
      <c r="A123" s="26" t="s">
        <v>249</v>
      </c>
      <c r="B123" s="17">
        <v>902</v>
      </c>
      <c r="C123" s="21" t="s">
        <v>169</v>
      </c>
      <c r="D123" s="21" t="s">
        <v>191</v>
      </c>
      <c r="E123" s="21" t="s">
        <v>251</v>
      </c>
      <c r="F123" s="21" t="s">
        <v>183</v>
      </c>
      <c r="G123" s="27">
        <f>G124</f>
        <v>0</v>
      </c>
      <c r="H123" s="207"/>
    </row>
    <row r="124" spans="1:8" ht="47.25" hidden="1">
      <c r="A124" s="26" t="s">
        <v>184</v>
      </c>
      <c r="B124" s="17">
        <v>902</v>
      </c>
      <c r="C124" s="21" t="s">
        <v>169</v>
      </c>
      <c r="D124" s="21" t="s">
        <v>191</v>
      </c>
      <c r="E124" s="21" t="s">
        <v>251</v>
      </c>
      <c r="F124" s="21" t="s">
        <v>185</v>
      </c>
      <c r="G124" s="27">
        <v>0</v>
      </c>
      <c r="H124" s="207"/>
    </row>
    <row r="125" spans="1:8" ht="15.75" hidden="1">
      <c r="A125" s="26" t="s">
        <v>252</v>
      </c>
      <c r="B125" s="17">
        <v>902</v>
      </c>
      <c r="C125" s="21" t="s">
        <v>169</v>
      </c>
      <c r="D125" s="21" t="s">
        <v>191</v>
      </c>
      <c r="E125" s="21" t="s">
        <v>253</v>
      </c>
      <c r="F125" s="25"/>
      <c r="G125" s="27">
        <f>G126</f>
        <v>0</v>
      </c>
      <c r="H125" s="207"/>
    </row>
    <row r="126" spans="1:8" ht="47.25" hidden="1">
      <c r="A126" s="26" t="s">
        <v>249</v>
      </c>
      <c r="B126" s="17">
        <v>902</v>
      </c>
      <c r="C126" s="21" t="s">
        <v>169</v>
      </c>
      <c r="D126" s="21" t="s">
        <v>191</v>
      </c>
      <c r="E126" s="21" t="s">
        <v>253</v>
      </c>
      <c r="F126" s="21" t="s">
        <v>183</v>
      </c>
      <c r="G126" s="27">
        <f>G127</f>
        <v>0</v>
      </c>
      <c r="H126" s="207"/>
    </row>
    <row r="127" spans="1:8" ht="47.25" hidden="1">
      <c r="A127" s="26" t="s">
        <v>184</v>
      </c>
      <c r="B127" s="17">
        <v>902</v>
      </c>
      <c r="C127" s="21" t="s">
        <v>169</v>
      </c>
      <c r="D127" s="21" t="s">
        <v>191</v>
      </c>
      <c r="E127" s="21" t="s">
        <v>253</v>
      </c>
      <c r="F127" s="21" t="s">
        <v>185</v>
      </c>
      <c r="G127" s="27">
        <v>0</v>
      </c>
      <c r="H127" s="207"/>
    </row>
    <row r="128" spans="1:8" ht="31.5" hidden="1">
      <c r="A128" s="26" t="s">
        <v>254</v>
      </c>
      <c r="B128" s="17">
        <v>902</v>
      </c>
      <c r="C128" s="21" t="s">
        <v>169</v>
      </c>
      <c r="D128" s="21" t="s">
        <v>191</v>
      </c>
      <c r="E128" s="21" t="s">
        <v>255</v>
      </c>
      <c r="F128" s="21"/>
      <c r="G128" s="27">
        <f>G129</f>
        <v>0</v>
      </c>
      <c r="H128" s="207"/>
    </row>
    <row r="129" spans="1:8" ht="47.25" hidden="1">
      <c r="A129" s="26" t="s">
        <v>249</v>
      </c>
      <c r="B129" s="17">
        <v>902</v>
      </c>
      <c r="C129" s="21" t="s">
        <v>169</v>
      </c>
      <c r="D129" s="21" t="s">
        <v>191</v>
      </c>
      <c r="E129" s="21" t="s">
        <v>255</v>
      </c>
      <c r="F129" s="21" t="s">
        <v>183</v>
      </c>
      <c r="G129" s="27">
        <f>G130</f>
        <v>0</v>
      </c>
      <c r="H129" s="207"/>
    </row>
    <row r="130" spans="1:8" ht="47.25" hidden="1">
      <c r="A130" s="26" t="s">
        <v>184</v>
      </c>
      <c r="B130" s="17">
        <v>902</v>
      </c>
      <c r="C130" s="21" t="s">
        <v>169</v>
      </c>
      <c r="D130" s="21" t="s">
        <v>191</v>
      </c>
      <c r="E130" s="21" t="s">
        <v>255</v>
      </c>
      <c r="F130" s="21" t="s">
        <v>185</v>
      </c>
      <c r="G130" s="27">
        <v>0</v>
      </c>
      <c r="H130" s="207"/>
    </row>
    <row r="131" spans="1:8" ht="15.75" hidden="1">
      <c r="A131" s="26" t="s">
        <v>230</v>
      </c>
      <c r="B131" s="17">
        <v>902</v>
      </c>
      <c r="C131" s="21" t="s">
        <v>169</v>
      </c>
      <c r="D131" s="21" t="s">
        <v>191</v>
      </c>
      <c r="E131" s="21" t="s">
        <v>256</v>
      </c>
      <c r="F131" s="21"/>
      <c r="G131" s="27">
        <f>G132</f>
        <v>0</v>
      </c>
      <c r="H131" s="207"/>
    </row>
    <row r="132" spans="1:8" ht="47.25" hidden="1">
      <c r="A132" s="26" t="s">
        <v>249</v>
      </c>
      <c r="B132" s="17">
        <v>902</v>
      </c>
      <c r="C132" s="21" t="s">
        <v>169</v>
      </c>
      <c r="D132" s="21" t="s">
        <v>191</v>
      </c>
      <c r="E132" s="21" t="s">
        <v>256</v>
      </c>
      <c r="F132" s="21" t="s">
        <v>183</v>
      </c>
      <c r="G132" s="27">
        <f>G133</f>
        <v>0</v>
      </c>
      <c r="H132" s="207"/>
    </row>
    <row r="133" spans="1:8" ht="47.25" hidden="1">
      <c r="A133" s="26" t="s">
        <v>184</v>
      </c>
      <c r="B133" s="17">
        <v>902</v>
      </c>
      <c r="C133" s="21" t="s">
        <v>169</v>
      </c>
      <c r="D133" s="21" t="s">
        <v>191</v>
      </c>
      <c r="E133" s="21" t="s">
        <v>256</v>
      </c>
      <c r="F133" s="21" t="s">
        <v>185</v>
      </c>
      <c r="G133" s="27">
        <v>0</v>
      </c>
      <c r="H133" s="207"/>
    </row>
    <row r="134" spans="1:8" ht="31.5">
      <c r="A134" s="26" t="s">
        <v>257</v>
      </c>
      <c r="B134" s="17">
        <v>902</v>
      </c>
      <c r="C134" s="21" t="s">
        <v>169</v>
      </c>
      <c r="D134" s="21" t="s">
        <v>191</v>
      </c>
      <c r="E134" s="21" t="s">
        <v>258</v>
      </c>
      <c r="F134" s="21"/>
      <c r="G134" s="27">
        <f>G135+G137</f>
        <v>6126.7</v>
      </c>
      <c r="H134" s="207"/>
    </row>
    <row r="135" spans="1:8" ht="94.5">
      <c r="A135" s="26" t="s">
        <v>178</v>
      </c>
      <c r="B135" s="17">
        <v>902</v>
      </c>
      <c r="C135" s="21" t="s">
        <v>169</v>
      </c>
      <c r="D135" s="21" t="s">
        <v>191</v>
      </c>
      <c r="E135" s="21" t="s">
        <v>258</v>
      </c>
      <c r="F135" s="21" t="s">
        <v>179</v>
      </c>
      <c r="G135" s="27">
        <f>G136</f>
        <v>4952</v>
      </c>
      <c r="H135" s="207"/>
    </row>
    <row r="136" spans="1:8" ht="31.5">
      <c r="A136" s="26" t="s">
        <v>259</v>
      </c>
      <c r="B136" s="17">
        <v>902</v>
      </c>
      <c r="C136" s="21" t="s">
        <v>169</v>
      </c>
      <c r="D136" s="21" t="s">
        <v>191</v>
      </c>
      <c r="E136" s="21" t="s">
        <v>258</v>
      </c>
      <c r="F136" s="21" t="s">
        <v>260</v>
      </c>
      <c r="G136" s="28">
        <f>5174.7-222.7</f>
        <v>4952</v>
      </c>
      <c r="H136" s="207"/>
    </row>
    <row r="137" spans="1:8" ht="47.25">
      <c r="A137" s="26" t="s">
        <v>249</v>
      </c>
      <c r="B137" s="17">
        <v>902</v>
      </c>
      <c r="C137" s="21" t="s">
        <v>169</v>
      </c>
      <c r="D137" s="21" t="s">
        <v>191</v>
      </c>
      <c r="E137" s="21" t="s">
        <v>258</v>
      </c>
      <c r="F137" s="21" t="s">
        <v>183</v>
      </c>
      <c r="G137" s="27">
        <f>G138</f>
        <v>1174.7</v>
      </c>
      <c r="H137" s="207"/>
    </row>
    <row r="138" spans="1:9" ht="47.25">
      <c r="A138" s="26" t="s">
        <v>184</v>
      </c>
      <c r="B138" s="17">
        <v>902</v>
      </c>
      <c r="C138" s="21" t="s">
        <v>169</v>
      </c>
      <c r="D138" s="21" t="s">
        <v>191</v>
      </c>
      <c r="E138" s="21" t="s">
        <v>258</v>
      </c>
      <c r="F138" s="21" t="s">
        <v>185</v>
      </c>
      <c r="G138" s="28">
        <f>724.7+450</f>
        <v>1174.7</v>
      </c>
      <c r="H138" s="207"/>
      <c r="I138" s="139"/>
    </row>
    <row r="139" spans="1:8" ht="47.25">
      <c r="A139" s="26" t="s">
        <v>261</v>
      </c>
      <c r="B139" s="17">
        <v>902</v>
      </c>
      <c r="C139" s="21" t="s">
        <v>169</v>
      </c>
      <c r="D139" s="21" t="s">
        <v>191</v>
      </c>
      <c r="E139" s="21" t="s">
        <v>262</v>
      </c>
      <c r="F139" s="21"/>
      <c r="G139" s="27">
        <f>G140+G142</f>
        <v>2520.4</v>
      </c>
      <c r="H139" s="207"/>
    </row>
    <row r="140" spans="1:8" ht="94.5">
      <c r="A140" s="26" t="s">
        <v>178</v>
      </c>
      <c r="B140" s="17">
        <v>902</v>
      </c>
      <c r="C140" s="21" t="s">
        <v>169</v>
      </c>
      <c r="D140" s="21" t="s">
        <v>191</v>
      </c>
      <c r="E140" s="21" t="s">
        <v>262</v>
      </c>
      <c r="F140" s="21" t="s">
        <v>179</v>
      </c>
      <c r="G140" s="27">
        <f>G141</f>
        <v>1895</v>
      </c>
      <c r="H140" s="207"/>
    </row>
    <row r="141" spans="1:9" ht="31.5">
      <c r="A141" s="26" t="s">
        <v>180</v>
      </c>
      <c r="B141" s="17">
        <v>902</v>
      </c>
      <c r="C141" s="21" t="s">
        <v>169</v>
      </c>
      <c r="D141" s="21" t="s">
        <v>191</v>
      </c>
      <c r="E141" s="21" t="s">
        <v>262</v>
      </c>
      <c r="F141" s="21" t="s">
        <v>181</v>
      </c>
      <c r="G141" s="28">
        <f>1952.2-57.2</f>
        <v>1895</v>
      </c>
      <c r="H141" s="207"/>
      <c r="I141" s="139"/>
    </row>
    <row r="142" spans="1:8" ht="47.25">
      <c r="A142" s="26" t="s">
        <v>249</v>
      </c>
      <c r="B142" s="17">
        <v>902</v>
      </c>
      <c r="C142" s="21" t="s">
        <v>169</v>
      </c>
      <c r="D142" s="21" t="s">
        <v>191</v>
      </c>
      <c r="E142" s="21" t="s">
        <v>262</v>
      </c>
      <c r="F142" s="21" t="s">
        <v>183</v>
      </c>
      <c r="G142" s="27">
        <f>G143</f>
        <v>625.4</v>
      </c>
      <c r="H142" s="207"/>
    </row>
    <row r="143" spans="1:8" ht="47.25">
      <c r="A143" s="26" t="s">
        <v>184</v>
      </c>
      <c r="B143" s="17">
        <v>902</v>
      </c>
      <c r="C143" s="21" t="s">
        <v>169</v>
      </c>
      <c r="D143" s="21" t="s">
        <v>191</v>
      </c>
      <c r="E143" s="21" t="s">
        <v>262</v>
      </c>
      <c r="F143" s="21" t="s">
        <v>185</v>
      </c>
      <c r="G143" s="27">
        <f>821.9-196.5</f>
        <v>625.4</v>
      </c>
      <c r="H143" s="207"/>
    </row>
    <row r="144" spans="1:8" ht="15.75">
      <c r="A144" s="47" t="s">
        <v>194</v>
      </c>
      <c r="B144" s="17">
        <v>902</v>
      </c>
      <c r="C144" s="21" t="s">
        <v>169</v>
      </c>
      <c r="D144" s="21" t="s">
        <v>191</v>
      </c>
      <c r="E144" s="21" t="s">
        <v>195</v>
      </c>
      <c r="F144" s="21"/>
      <c r="G144" s="27">
        <f>G145</f>
        <v>92.3</v>
      </c>
      <c r="H144" s="207"/>
    </row>
    <row r="145" spans="1:8" ht="15.75">
      <c r="A145" s="26" t="s">
        <v>186</v>
      </c>
      <c r="B145" s="17">
        <v>902</v>
      </c>
      <c r="C145" s="21" t="s">
        <v>169</v>
      </c>
      <c r="D145" s="21" t="s">
        <v>191</v>
      </c>
      <c r="E145" s="21" t="s">
        <v>195</v>
      </c>
      <c r="F145" s="21" t="s">
        <v>196</v>
      </c>
      <c r="G145" s="27">
        <f>G146</f>
        <v>92.3</v>
      </c>
      <c r="H145" s="207"/>
    </row>
    <row r="146" spans="1:8" ht="15.75">
      <c r="A146" s="26" t="s">
        <v>197</v>
      </c>
      <c r="B146" s="17">
        <v>902</v>
      </c>
      <c r="C146" s="21" t="s">
        <v>169</v>
      </c>
      <c r="D146" s="21" t="s">
        <v>191</v>
      </c>
      <c r="E146" s="21" t="s">
        <v>195</v>
      </c>
      <c r="F146" s="21" t="s">
        <v>198</v>
      </c>
      <c r="G146" s="27">
        <v>92.3</v>
      </c>
      <c r="H146" s="130"/>
    </row>
    <row r="147" spans="1:8" ht="15.75" hidden="1">
      <c r="A147" s="24" t="s">
        <v>263</v>
      </c>
      <c r="B147" s="20">
        <v>902</v>
      </c>
      <c r="C147" s="25" t="s">
        <v>264</v>
      </c>
      <c r="D147" s="25"/>
      <c r="E147" s="25"/>
      <c r="F147" s="25"/>
      <c r="G147" s="22">
        <f>G148+G154</f>
        <v>0</v>
      </c>
      <c r="H147" s="207"/>
    </row>
    <row r="148" spans="1:8" ht="31.5" hidden="1">
      <c r="A148" s="24" t="s">
        <v>265</v>
      </c>
      <c r="B148" s="20">
        <v>902</v>
      </c>
      <c r="C148" s="25" t="s">
        <v>264</v>
      </c>
      <c r="D148" s="25" t="s">
        <v>266</v>
      </c>
      <c r="E148" s="25"/>
      <c r="F148" s="25"/>
      <c r="G148" s="22">
        <f>G149</f>
        <v>0</v>
      </c>
      <c r="H148" s="207"/>
    </row>
    <row r="149" spans="1:8" ht="15.75" hidden="1">
      <c r="A149" s="26" t="s">
        <v>172</v>
      </c>
      <c r="B149" s="17">
        <v>902</v>
      </c>
      <c r="C149" s="21" t="s">
        <v>264</v>
      </c>
      <c r="D149" s="21" t="s">
        <v>266</v>
      </c>
      <c r="E149" s="21" t="s">
        <v>173</v>
      </c>
      <c r="F149" s="21"/>
      <c r="G149" s="27">
        <f>G150</f>
        <v>0</v>
      </c>
      <c r="H149" s="207"/>
    </row>
    <row r="150" spans="1:8" ht="31.5" hidden="1">
      <c r="A150" s="26" t="s">
        <v>236</v>
      </c>
      <c r="B150" s="17">
        <v>902</v>
      </c>
      <c r="C150" s="21" t="s">
        <v>264</v>
      </c>
      <c r="D150" s="21" t="s">
        <v>266</v>
      </c>
      <c r="E150" s="21" t="s">
        <v>237</v>
      </c>
      <c r="F150" s="21"/>
      <c r="G150" s="27">
        <f>G151</f>
        <v>0</v>
      </c>
      <c r="H150" s="207"/>
    </row>
    <row r="151" spans="1:8" ht="47.25" hidden="1">
      <c r="A151" s="26" t="s">
        <v>267</v>
      </c>
      <c r="B151" s="17">
        <v>902</v>
      </c>
      <c r="C151" s="21" t="s">
        <v>264</v>
      </c>
      <c r="D151" s="21" t="s">
        <v>266</v>
      </c>
      <c r="E151" s="21" t="s">
        <v>268</v>
      </c>
      <c r="F151" s="21"/>
      <c r="G151" s="27">
        <f>G152</f>
        <v>0</v>
      </c>
      <c r="H151" s="207"/>
    </row>
    <row r="152" spans="1:8" ht="94.5" hidden="1">
      <c r="A152" s="26" t="s">
        <v>178</v>
      </c>
      <c r="B152" s="17">
        <v>902</v>
      </c>
      <c r="C152" s="21" t="s">
        <v>264</v>
      </c>
      <c r="D152" s="21" t="s">
        <v>266</v>
      </c>
      <c r="E152" s="21" t="s">
        <v>268</v>
      </c>
      <c r="F152" s="21" t="s">
        <v>179</v>
      </c>
      <c r="G152" s="27">
        <f>G153</f>
        <v>0</v>
      </c>
      <c r="H152" s="207"/>
    </row>
    <row r="153" spans="1:8" ht="31.5" hidden="1">
      <c r="A153" s="26" t="s">
        <v>180</v>
      </c>
      <c r="B153" s="17">
        <v>902</v>
      </c>
      <c r="C153" s="21" t="s">
        <v>264</v>
      </c>
      <c r="D153" s="21" t="s">
        <v>266</v>
      </c>
      <c r="E153" s="21" t="s">
        <v>268</v>
      </c>
      <c r="F153" s="21" t="s">
        <v>181</v>
      </c>
      <c r="G153" s="28"/>
      <c r="H153" s="207"/>
    </row>
    <row r="154" spans="1:8" ht="31.5" hidden="1">
      <c r="A154" s="24" t="s">
        <v>269</v>
      </c>
      <c r="B154" s="20">
        <v>902</v>
      </c>
      <c r="C154" s="25" t="s">
        <v>264</v>
      </c>
      <c r="D154" s="25" t="s">
        <v>270</v>
      </c>
      <c r="E154" s="25"/>
      <c r="F154" s="25"/>
      <c r="G154" s="27">
        <f>G155</f>
        <v>0</v>
      </c>
      <c r="H154" s="207"/>
    </row>
    <row r="155" spans="1:8" ht="15.75" hidden="1">
      <c r="A155" s="26" t="s">
        <v>172</v>
      </c>
      <c r="B155" s="17">
        <v>902</v>
      </c>
      <c r="C155" s="21" t="s">
        <v>264</v>
      </c>
      <c r="D155" s="21" t="s">
        <v>270</v>
      </c>
      <c r="E155" s="21" t="s">
        <v>173</v>
      </c>
      <c r="F155" s="21"/>
      <c r="G155" s="27">
        <f>G156</f>
        <v>0</v>
      </c>
      <c r="H155" s="207"/>
    </row>
    <row r="156" spans="1:8" ht="31.5" hidden="1">
      <c r="A156" s="26" t="s">
        <v>271</v>
      </c>
      <c r="B156" s="17">
        <v>902</v>
      </c>
      <c r="C156" s="21" t="s">
        <v>264</v>
      </c>
      <c r="D156" s="21" t="s">
        <v>270</v>
      </c>
      <c r="E156" s="21" t="s">
        <v>272</v>
      </c>
      <c r="F156" s="21"/>
      <c r="G156" s="27">
        <f>G157</f>
        <v>0</v>
      </c>
      <c r="H156" s="207"/>
    </row>
    <row r="157" spans="1:8" ht="47.25" hidden="1">
      <c r="A157" s="26" t="s">
        <v>249</v>
      </c>
      <c r="B157" s="17">
        <v>902</v>
      </c>
      <c r="C157" s="21" t="s">
        <v>264</v>
      </c>
      <c r="D157" s="21" t="s">
        <v>270</v>
      </c>
      <c r="E157" s="21" t="s">
        <v>272</v>
      </c>
      <c r="F157" s="21" t="s">
        <v>183</v>
      </c>
      <c r="G157" s="27">
        <f>G158</f>
        <v>0</v>
      </c>
      <c r="H157" s="207"/>
    </row>
    <row r="158" spans="1:8" ht="47.25" hidden="1">
      <c r="A158" s="26" t="s">
        <v>184</v>
      </c>
      <c r="B158" s="17">
        <v>902</v>
      </c>
      <c r="C158" s="21" t="s">
        <v>264</v>
      </c>
      <c r="D158" s="21" t="s">
        <v>270</v>
      </c>
      <c r="E158" s="21" t="s">
        <v>272</v>
      </c>
      <c r="F158" s="21" t="s">
        <v>185</v>
      </c>
      <c r="G158" s="27">
        <v>0</v>
      </c>
      <c r="H158" s="207"/>
    </row>
    <row r="159" spans="1:8" ht="31.5">
      <c r="A159" s="24" t="s">
        <v>273</v>
      </c>
      <c r="B159" s="20">
        <v>902</v>
      </c>
      <c r="C159" s="25" t="s">
        <v>266</v>
      </c>
      <c r="D159" s="25"/>
      <c r="E159" s="25"/>
      <c r="F159" s="25"/>
      <c r="G159" s="22">
        <f>G160</f>
        <v>7159.400000000001</v>
      </c>
      <c r="H159" s="207"/>
    </row>
    <row r="160" spans="1:8" ht="63">
      <c r="A160" s="24" t="s">
        <v>274</v>
      </c>
      <c r="B160" s="20">
        <v>902</v>
      </c>
      <c r="C160" s="25" t="s">
        <v>266</v>
      </c>
      <c r="D160" s="25" t="s">
        <v>270</v>
      </c>
      <c r="E160" s="21"/>
      <c r="F160" s="21"/>
      <c r="G160" s="22">
        <f>G161</f>
        <v>7159.400000000001</v>
      </c>
      <c r="H160" s="207"/>
    </row>
    <row r="161" spans="1:8" ht="15.75">
      <c r="A161" s="26" t="s">
        <v>172</v>
      </c>
      <c r="B161" s="17">
        <v>902</v>
      </c>
      <c r="C161" s="21" t="s">
        <v>266</v>
      </c>
      <c r="D161" s="21" t="s">
        <v>270</v>
      </c>
      <c r="E161" s="21" t="s">
        <v>173</v>
      </c>
      <c r="F161" s="21"/>
      <c r="G161" s="27">
        <f>G162</f>
        <v>7159.400000000001</v>
      </c>
      <c r="H161" s="207"/>
    </row>
    <row r="162" spans="1:8" ht="15.75">
      <c r="A162" s="26" t="s">
        <v>192</v>
      </c>
      <c r="B162" s="17">
        <v>902</v>
      </c>
      <c r="C162" s="21" t="s">
        <v>266</v>
      </c>
      <c r="D162" s="21" t="s">
        <v>270</v>
      </c>
      <c r="E162" s="21" t="s">
        <v>193</v>
      </c>
      <c r="F162" s="21"/>
      <c r="G162" s="27">
        <f>G163+G169+G174</f>
        <v>7159.400000000001</v>
      </c>
      <c r="H162" s="207"/>
    </row>
    <row r="163" spans="1:8" ht="47.25">
      <c r="A163" s="26" t="s">
        <v>275</v>
      </c>
      <c r="B163" s="17">
        <v>902</v>
      </c>
      <c r="C163" s="21" t="s">
        <v>266</v>
      </c>
      <c r="D163" s="21" t="s">
        <v>270</v>
      </c>
      <c r="E163" s="21" t="s">
        <v>276</v>
      </c>
      <c r="F163" s="21"/>
      <c r="G163" s="27">
        <f>G164</f>
        <v>2064.1</v>
      </c>
      <c r="H163" s="207"/>
    </row>
    <row r="164" spans="1:8" ht="47.25">
      <c r="A164" s="26" t="s">
        <v>249</v>
      </c>
      <c r="B164" s="17">
        <v>902</v>
      </c>
      <c r="C164" s="21" t="s">
        <v>266</v>
      </c>
      <c r="D164" s="21" t="s">
        <v>270</v>
      </c>
      <c r="E164" s="21" t="s">
        <v>276</v>
      </c>
      <c r="F164" s="21" t="s">
        <v>183</v>
      </c>
      <c r="G164" s="27">
        <f>G165</f>
        <v>2064.1</v>
      </c>
      <c r="H164" s="207"/>
    </row>
    <row r="165" spans="1:9" ht="47.25">
      <c r="A165" s="26" t="s">
        <v>184</v>
      </c>
      <c r="B165" s="17">
        <v>902</v>
      </c>
      <c r="C165" s="21" t="s">
        <v>266</v>
      </c>
      <c r="D165" s="21" t="s">
        <v>270</v>
      </c>
      <c r="E165" s="21" t="s">
        <v>276</v>
      </c>
      <c r="F165" s="21" t="s">
        <v>185</v>
      </c>
      <c r="G165" s="188">
        <f>1908.4+354-98.3-100</f>
        <v>2064.1</v>
      </c>
      <c r="H165" s="130" t="s">
        <v>809</v>
      </c>
      <c r="I165" s="151"/>
    </row>
    <row r="166" spans="1:8" ht="15.75" hidden="1">
      <c r="A166" s="26" t="s">
        <v>277</v>
      </c>
      <c r="B166" s="17">
        <v>902</v>
      </c>
      <c r="C166" s="21" t="s">
        <v>266</v>
      </c>
      <c r="D166" s="21" t="s">
        <v>270</v>
      </c>
      <c r="E166" s="21" t="s">
        <v>278</v>
      </c>
      <c r="F166" s="21"/>
      <c r="G166" s="27">
        <f>G167</f>
        <v>0</v>
      </c>
      <c r="H166" s="207"/>
    </row>
    <row r="167" spans="1:8" ht="47.25" hidden="1">
      <c r="A167" s="26" t="s">
        <v>249</v>
      </c>
      <c r="B167" s="17">
        <v>902</v>
      </c>
      <c r="C167" s="21" t="s">
        <v>266</v>
      </c>
      <c r="D167" s="21" t="s">
        <v>270</v>
      </c>
      <c r="E167" s="21" t="s">
        <v>278</v>
      </c>
      <c r="F167" s="21" t="s">
        <v>183</v>
      </c>
      <c r="G167" s="27">
        <f>G168</f>
        <v>0</v>
      </c>
      <c r="H167" s="207"/>
    </row>
    <row r="168" spans="1:8" ht="47.25" hidden="1">
      <c r="A168" s="26" t="s">
        <v>184</v>
      </c>
      <c r="B168" s="17">
        <v>902</v>
      </c>
      <c r="C168" s="21" t="s">
        <v>266</v>
      </c>
      <c r="D168" s="21" t="s">
        <v>270</v>
      </c>
      <c r="E168" s="21" t="s">
        <v>278</v>
      </c>
      <c r="F168" s="21" t="s">
        <v>185</v>
      </c>
      <c r="G168" s="27">
        <v>0</v>
      </c>
      <c r="H168" s="207"/>
    </row>
    <row r="169" spans="1:8" ht="31.5">
      <c r="A169" s="26" t="s">
        <v>279</v>
      </c>
      <c r="B169" s="17">
        <v>902</v>
      </c>
      <c r="C169" s="21" t="s">
        <v>266</v>
      </c>
      <c r="D169" s="21" t="s">
        <v>270</v>
      </c>
      <c r="E169" s="21" t="s">
        <v>280</v>
      </c>
      <c r="F169" s="21"/>
      <c r="G169" s="27">
        <f>G170+G172</f>
        <v>4997</v>
      </c>
      <c r="H169" s="207"/>
    </row>
    <row r="170" spans="1:8" ht="94.5">
      <c r="A170" s="26" t="s">
        <v>178</v>
      </c>
      <c r="B170" s="17">
        <v>902</v>
      </c>
      <c r="C170" s="21" t="s">
        <v>266</v>
      </c>
      <c r="D170" s="21" t="s">
        <v>270</v>
      </c>
      <c r="E170" s="21" t="s">
        <v>280</v>
      </c>
      <c r="F170" s="21" t="s">
        <v>179</v>
      </c>
      <c r="G170" s="27">
        <f>G171</f>
        <v>4692.3</v>
      </c>
      <c r="H170" s="207"/>
    </row>
    <row r="171" spans="1:8" ht="31.5">
      <c r="A171" s="26" t="s">
        <v>259</v>
      </c>
      <c r="B171" s="17">
        <v>902</v>
      </c>
      <c r="C171" s="21" t="s">
        <v>266</v>
      </c>
      <c r="D171" s="21" t="s">
        <v>270</v>
      </c>
      <c r="E171" s="21" t="s">
        <v>280</v>
      </c>
      <c r="F171" s="21" t="s">
        <v>260</v>
      </c>
      <c r="G171" s="28">
        <f>4586.3+106</f>
        <v>4692.3</v>
      </c>
      <c r="H171" s="207"/>
    </row>
    <row r="172" spans="1:8" ht="47.25">
      <c r="A172" s="26" t="s">
        <v>249</v>
      </c>
      <c r="B172" s="17">
        <v>902</v>
      </c>
      <c r="C172" s="21" t="s">
        <v>266</v>
      </c>
      <c r="D172" s="21" t="s">
        <v>270</v>
      </c>
      <c r="E172" s="21" t="s">
        <v>280</v>
      </c>
      <c r="F172" s="21" t="s">
        <v>183</v>
      </c>
      <c r="G172" s="27">
        <f>G173</f>
        <v>304.7</v>
      </c>
      <c r="H172" s="207"/>
    </row>
    <row r="173" spans="1:8" ht="47.25">
      <c r="A173" s="26" t="s">
        <v>184</v>
      </c>
      <c r="B173" s="17">
        <v>902</v>
      </c>
      <c r="C173" s="21" t="s">
        <v>266</v>
      </c>
      <c r="D173" s="21" t="s">
        <v>270</v>
      </c>
      <c r="E173" s="21" t="s">
        <v>280</v>
      </c>
      <c r="F173" s="21" t="s">
        <v>185</v>
      </c>
      <c r="G173" s="185">
        <f>204.7+100</f>
        <v>304.7</v>
      </c>
      <c r="H173" s="186" t="s">
        <v>810</v>
      </c>
    </row>
    <row r="174" spans="1:8" ht="15.75">
      <c r="A174" s="26" t="s">
        <v>281</v>
      </c>
      <c r="B174" s="17">
        <v>902</v>
      </c>
      <c r="C174" s="21" t="s">
        <v>266</v>
      </c>
      <c r="D174" s="21" t="s">
        <v>270</v>
      </c>
      <c r="E174" s="21" t="s">
        <v>282</v>
      </c>
      <c r="F174" s="21"/>
      <c r="G174" s="28">
        <f>G175</f>
        <v>98.3</v>
      </c>
      <c r="H174" s="207"/>
    </row>
    <row r="175" spans="1:8" ht="47.25">
      <c r="A175" s="26" t="s">
        <v>249</v>
      </c>
      <c r="B175" s="17">
        <v>902</v>
      </c>
      <c r="C175" s="21" t="s">
        <v>266</v>
      </c>
      <c r="D175" s="21" t="s">
        <v>270</v>
      </c>
      <c r="E175" s="21" t="s">
        <v>282</v>
      </c>
      <c r="F175" s="21" t="s">
        <v>183</v>
      </c>
      <c r="G175" s="28">
        <f>G176</f>
        <v>98.3</v>
      </c>
      <c r="H175" s="207"/>
    </row>
    <row r="176" spans="1:9" ht="47.25">
      <c r="A176" s="26" t="s">
        <v>184</v>
      </c>
      <c r="B176" s="17">
        <v>902</v>
      </c>
      <c r="C176" s="21" t="s">
        <v>266</v>
      </c>
      <c r="D176" s="21" t="s">
        <v>270</v>
      </c>
      <c r="E176" s="21" t="s">
        <v>282</v>
      </c>
      <c r="F176" s="21" t="s">
        <v>185</v>
      </c>
      <c r="G176" s="28">
        <v>98.3</v>
      </c>
      <c r="H176" s="130"/>
      <c r="I176" s="150"/>
    </row>
    <row r="177" spans="1:8" ht="15.75">
      <c r="A177" s="24" t="s">
        <v>283</v>
      </c>
      <c r="B177" s="20">
        <v>902</v>
      </c>
      <c r="C177" s="25" t="s">
        <v>201</v>
      </c>
      <c r="D177" s="25"/>
      <c r="E177" s="25"/>
      <c r="F177" s="21"/>
      <c r="G177" s="22">
        <f>G184+G178</f>
        <v>1821.3999999999999</v>
      </c>
      <c r="H177" s="207"/>
    </row>
    <row r="178" spans="1:8" ht="15.75">
      <c r="A178" s="24" t="s">
        <v>284</v>
      </c>
      <c r="B178" s="20">
        <v>902</v>
      </c>
      <c r="C178" s="25" t="s">
        <v>201</v>
      </c>
      <c r="D178" s="25" t="s">
        <v>285</v>
      </c>
      <c r="E178" s="25"/>
      <c r="F178" s="21"/>
      <c r="G178" s="22">
        <f>G179</f>
        <v>450</v>
      </c>
      <c r="H178" s="207"/>
    </row>
    <row r="179" spans="1:8" ht="15.75">
      <c r="A179" s="26" t="s">
        <v>172</v>
      </c>
      <c r="B179" s="17">
        <v>902</v>
      </c>
      <c r="C179" s="21" t="s">
        <v>201</v>
      </c>
      <c r="D179" s="21" t="s">
        <v>285</v>
      </c>
      <c r="E179" s="21" t="s">
        <v>173</v>
      </c>
      <c r="F179" s="21"/>
      <c r="G179" s="27">
        <f>G180</f>
        <v>450</v>
      </c>
      <c r="H179" s="207"/>
    </row>
    <row r="180" spans="1:8" ht="31.5">
      <c r="A180" s="26" t="s">
        <v>236</v>
      </c>
      <c r="B180" s="17">
        <v>902</v>
      </c>
      <c r="C180" s="21" t="s">
        <v>201</v>
      </c>
      <c r="D180" s="21" t="s">
        <v>285</v>
      </c>
      <c r="E180" s="21" t="s">
        <v>237</v>
      </c>
      <c r="F180" s="21"/>
      <c r="G180" s="27">
        <f>G181</f>
        <v>450</v>
      </c>
      <c r="H180" s="207"/>
    </row>
    <row r="181" spans="1:8" ht="31.5">
      <c r="A181" s="26" t="s">
        <v>286</v>
      </c>
      <c r="B181" s="17">
        <v>902</v>
      </c>
      <c r="C181" s="21" t="s">
        <v>201</v>
      </c>
      <c r="D181" s="21" t="s">
        <v>285</v>
      </c>
      <c r="E181" s="21" t="s">
        <v>287</v>
      </c>
      <c r="F181" s="21"/>
      <c r="G181" s="27">
        <f>G182</f>
        <v>450</v>
      </c>
      <c r="H181" s="207"/>
    </row>
    <row r="182" spans="1:8" ht="15.75">
      <c r="A182" s="26" t="s">
        <v>186</v>
      </c>
      <c r="B182" s="17">
        <v>902</v>
      </c>
      <c r="C182" s="21" t="s">
        <v>201</v>
      </c>
      <c r="D182" s="21" t="s">
        <v>285</v>
      </c>
      <c r="E182" s="21" t="s">
        <v>287</v>
      </c>
      <c r="F182" s="21" t="s">
        <v>196</v>
      </c>
      <c r="G182" s="27">
        <f>G183</f>
        <v>450</v>
      </c>
      <c r="H182" s="207"/>
    </row>
    <row r="183" spans="1:9" ht="63">
      <c r="A183" s="26" t="s">
        <v>235</v>
      </c>
      <c r="B183" s="17">
        <v>902</v>
      </c>
      <c r="C183" s="21" t="s">
        <v>201</v>
      </c>
      <c r="D183" s="21" t="s">
        <v>285</v>
      </c>
      <c r="E183" s="21" t="s">
        <v>287</v>
      </c>
      <c r="F183" s="21" t="s">
        <v>211</v>
      </c>
      <c r="G183" s="187">
        <f>310+140</f>
        <v>450</v>
      </c>
      <c r="H183" s="186" t="s">
        <v>808</v>
      </c>
      <c r="I183" s="139"/>
    </row>
    <row r="184" spans="1:8" ht="31.5">
      <c r="A184" s="24" t="s">
        <v>288</v>
      </c>
      <c r="B184" s="20">
        <v>902</v>
      </c>
      <c r="C184" s="25" t="s">
        <v>201</v>
      </c>
      <c r="D184" s="25" t="s">
        <v>289</v>
      </c>
      <c r="E184" s="25"/>
      <c r="F184" s="25"/>
      <c r="G184" s="22">
        <f>G185</f>
        <v>1371.3999999999999</v>
      </c>
      <c r="H184" s="207"/>
    </row>
    <row r="185" spans="1:8" ht="15.75">
      <c r="A185" s="26" t="s">
        <v>172</v>
      </c>
      <c r="B185" s="17">
        <v>902</v>
      </c>
      <c r="C185" s="21" t="s">
        <v>201</v>
      </c>
      <c r="D185" s="21" t="s">
        <v>289</v>
      </c>
      <c r="E185" s="21" t="s">
        <v>173</v>
      </c>
      <c r="F185" s="25"/>
      <c r="G185" s="27">
        <f>G186</f>
        <v>1371.3999999999999</v>
      </c>
      <c r="H185" s="207"/>
    </row>
    <row r="186" spans="1:8" ht="31.5">
      <c r="A186" s="26" t="s">
        <v>236</v>
      </c>
      <c r="B186" s="17">
        <v>902</v>
      </c>
      <c r="C186" s="21" t="s">
        <v>201</v>
      </c>
      <c r="D186" s="21" t="s">
        <v>289</v>
      </c>
      <c r="E186" s="21" t="s">
        <v>237</v>
      </c>
      <c r="F186" s="25"/>
      <c r="G186" s="27">
        <f>G190+G187</f>
        <v>1371.3999999999999</v>
      </c>
      <c r="H186" s="207"/>
    </row>
    <row r="187" spans="1:8" ht="31.5">
      <c r="A187" s="26" t="s">
        <v>290</v>
      </c>
      <c r="B187" s="17">
        <v>902</v>
      </c>
      <c r="C187" s="21" t="s">
        <v>201</v>
      </c>
      <c r="D187" s="21" t="s">
        <v>289</v>
      </c>
      <c r="E187" s="21" t="s">
        <v>291</v>
      </c>
      <c r="F187" s="25"/>
      <c r="G187" s="27">
        <f>G188</f>
        <v>90</v>
      </c>
      <c r="H187" s="207"/>
    </row>
    <row r="188" spans="1:8" ht="15.75">
      <c r="A188" s="26" t="s">
        <v>186</v>
      </c>
      <c r="B188" s="17">
        <v>902</v>
      </c>
      <c r="C188" s="21" t="s">
        <v>201</v>
      </c>
      <c r="D188" s="21" t="s">
        <v>289</v>
      </c>
      <c r="E188" s="21" t="s">
        <v>291</v>
      </c>
      <c r="F188" s="21" t="s">
        <v>196</v>
      </c>
      <c r="G188" s="27">
        <f>G189</f>
        <v>90</v>
      </c>
      <c r="H188" s="207"/>
    </row>
    <row r="189" spans="1:8" ht="63">
      <c r="A189" s="26" t="s">
        <v>235</v>
      </c>
      <c r="B189" s="17">
        <v>902</v>
      </c>
      <c r="C189" s="21" t="s">
        <v>201</v>
      </c>
      <c r="D189" s="21" t="s">
        <v>289</v>
      </c>
      <c r="E189" s="21" t="s">
        <v>291</v>
      </c>
      <c r="F189" s="21" t="s">
        <v>211</v>
      </c>
      <c r="G189" s="191">
        <v>90</v>
      </c>
      <c r="H189" s="186" t="s">
        <v>817</v>
      </c>
    </row>
    <row r="190" spans="1:8" ht="63">
      <c r="A190" s="33" t="s">
        <v>292</v>
      </c>
      <c r="B190" s="17">
        <v>902</v>
      </c>
      <c r="C190" s="21" t="s">
        <v>201</v>
      </c>
      <c r="D190" s="21" t="s">
        <v>289</v>
      </c>
      <c r="E190" s="21" t="s">
        <v>293</v>
      </c>
      <c r="F190" s="21"/>
      <c r="G190" s="27">
        <f>G191+G193</f>
        <v>1281.3999999999999</v>
      </c>
      <c r="H190" s="207"/>
    </row>
    <row r="191" spans="1:8" ht="94.5">
      <c r="A191" s="26" t="s">
        <v>178</v>
      </c>
      <c r="B191" s="17">
        <v>902</v>
      </c>
      <c r="C191" s="21" t="s">
        <v>201</v>
      </c>
      <c r="D191" s="21" t="s">
        <v>289</v>
      </c>
      <c r="E191" s="21" t="s">
        <v>293</v>
      </c>
      <c r="F191" s="21" t="s">
        <v>179</v>
      </c>
      <c r="G191" s="27">
        <f>G192</f>
        <v>1116.3999999999999</v>
      </c>
      <c r="H191" s="207"/>
    </row>
    <row r="192" spans="1:9" ht="31.5">
      <c r="A192" s="26" t="s">
        <v>180</v>
      </c>
      <c r="B192" s="17">
        <v>902</v>
      </c>
      <c r="C192" s="21" t="s">
        <v>201</v>
      </c>
      <c r="D192" s="21" t="s">
        <v>289</v>
      </c>
      <c r="E192" s="21" t="s">
        <v>293</v>
      </c>
      <c r="F192" s="21" t="s">
        <v>181</v>
      </c>
      <c r="G192" s="27">
        <f>1302-123.4-62.2</f>
        <v>1116.3999999999999</v>
      </c>
      <c r="H192" s="207"/>
      <c r="I192" s="139"/>
    </row>
    <row r="193" spans="1:8" ht="31.5">
      <c r="A193" s="26" t="s">
        <v>182</v>
      </c>
      <c r="B193" s="17">
        <v>902</v>
      </c>
      <c r="C193" s="21" t="s">
        <v>201</v>
      </c>
      <c r="D193" s="21" t="s">
        <v>289</v>
      </c>
      <c r="E193" s="21" t="s">
        <v>293</v>
      </c>
      <c r="F193" s="21" t="s">
        <v>183</v>
      </c>
      <c r="G193" s="27">
        <f>G194</f>
        <v>165</v>
      </c>
      <c r="H193" s="207"/>
    </row>
    <row r="194" spans="1:8" ht="47.25">
      <c r="A194" s="26" t="s">
        <v>184</v>
      </c>
      <c r="B194" s="17">
        <v>902</v>
      </c>
      <c r="C194" s="21" t="s">
        <v>201</v>
      </c>
      <c r="D194" s="21" t="s">
        <v>289</v>
      </c>
      <c r="E194" s="21" t="s">
        <v>293</v>
      </c>
      <c r="F194" s="21" t="s">
        <v>185</v>
      </c>
      <c r="G194" s="27">
        <f>102.8+62.2</f>
        <v>165</v>
      </c>
      <c r="H194" s="207"/>
    </row>
    <row r="195" spans="1:8" ht="16.5" customHeight="1">
      <c r="A195" s="24" t="s">
        <v>294</v>
      </c>
      <c r="B195" s="20">
        <v>902</v>
      </c>
      <c r="C195" s="25" t="s">
        <v>295</v>
      </c>
      <c r="D195" s="25"/>
      <c r="E195" s="25"/>
      <c r="F195" s="25"/>
      <c r="G195" s="22">
        <f>G196+G202+G212</f>
        <v>12224.9</v>
      </c>
      <c r="H195" s="207"/>
    </row>
    <row r="196" spans="1:8" ht="15.75">
      <c r="A196" s="24" t="s">
        <v>296</v>
      </c>
      <c r="B196" s="20">
        <v>902</v>
      </c>
      <c r="C196" s="25" t="s">
        <v>295</v>
      </c>
      <c r="D196" s="25" t="s">
        <v>169</v>
      </c>
      <c r="E196" s="25"/>
      <c r="F196" s="25"/>
      <c r="G196" s="22">
        <f>G197</f>
        <v>9066.4</v>
      </c>
      <c r="H196" s="207"/>
    </row>
    <row r="197" spans="1:8" ht="15.75">
      <c r="A197" s="26" t="s">
        <v>172</v>
      </c>
      <c r="B197" s="17">
        <v>902</v>
      </c>
      <c r="C197" s="21" t="s">
        <v>295</v>
      </c>
      <c r="D197" s="21" t="s">
        <v>169</v>
      </c>
      <c r="E197" s="21" t="s">
        <v>173</v>
      </c>
      <c r="F197" s="21"/>
      <c r="G197" s="27">
        <f>G198</f>
        <v>9066.4</v>
      </c>
      <c r="H197" s="207"/>
    </row>
    <row r="198" spans="1:8" ht="15.75">
      <c r="A198" s="26" t="s">
        <v>192</v>
      </c>
      <c r="B198" s="17">
        <v>902</v>
      </c>
      <c r="C198" s="21" t="s">
        <v>295</v>
      </c>
      <c r="D198" s="21" t="s">
        <v>169</v>
      </c>
      <c r="E198" s="21" t="s">
        <v>193</v>
      </c>
      <c r="F198" s="21"/>
      <c r="G198" s="27">
        <f>G199</f>
        <v>9066.4</v>
      </c>
      <c r="H198" s="207"/>
    </row>
    <row r="199" spans="1:8" ht="15.75">
      <c r="A199" s="26" t="s">
        <v>297</v>
      </c>
      <c r="B199" s="17">
        <v>902</v>
      </c>
      <c r="C199" s="21" t="s">
        <v>295</v>
      </c>
      <c r="D199" s="21" t="s">
        <v>169</v>
      </c>
      <c r="E199" s="21" t="s">
        <v>298</v>
      </c>
      <c r="F199" s="21"/>
      <c r="G199" s="27">
        <f>G200</f>
        <v>9066.4</v>
      </c>
      <c r="H199" s="207"/>
    </row>
    <row r="200" spans="1:8" ht="31.5">
      <c r="A200" s="26" t="s">
        <v>299</v>
      </c>
      <c r="B200" s="17">
        <v>902</v>
      </c>
      <c r="C200" s="21" t="s">
        <v>295</v>
      </c>
      <c r="D200" s="21" t="s">
        <v>169</v>
      </c>
      <c r="E200" s="21" t="s">
        <v>298</v>
      </c>
      <c r="F200" s="21" t="s">
        <v>300</v>
      </c>
      <c r="G200" s="27">
        <f>G201</f>
        <v>9066.4</v>
      </c>
      <c r="H200" s="207"/>
    </row>
    <row r="201" spans="1:8" ht="31.5">
      <c r="A201" s="26" t="s">
        <v>301</v>
      </c>
      <c r="B201" s="17">
        <v>902</v>
      </c>
      <c r="C201" s="21" t="s">
        <v>295</v>
      </c>
      <c r="D201" s="21" t="s">
        <v>169</v>
      </c>
      <c r="E201" s="21" t="s">
        <v>298</v>
      </c>
      <c r="F201" s="21" t="s">
        <v>302</v>
      </c>
      <c r="G201" s="28">
        <v>9066.4</v>
      </c>
      <c r="H201" s="207"/>
    </row>
    <row r="202" spans="1:8" ht="15.75">
      <c r="A202" s="24" t="s">
        <v>303</v>
      </c>
      <c r="B202" s="20">
        <v>902</v>
      </c>
      <c r="C202" s="25" t="s">
        <v>295</v>
      </c>
      <c r="D202" s="25" t="s">
        <v>266</v>
      </c>
      <c r="E202" s="21"/>
      <c r="F202" s="21"/>
      <c r="G202" s="22">
        <f>G203+G207</f>
        <v>10</v>
      </c>
      <c r="H202" s="207"/>
    </row>
    <row r="203" spans="1:8" ht="78.75">
      <c r="A203" s="26" t="s">
        <v>304</v>
      </c>
      <c r="B203" s="17">
        <v>902</v>
      </c>
      <c r="C203" s="21" t="s">
        <v>295</v>
      </c>
      <c r="D203" s="21" t="s">
        <v>266</v>
      </c>
      <c r="E203" s="21" t="s">
        <v>305</v>
      </c>
      <c r="F203" s="21"/>
      <c r="G203" s="27">
        <f>G204</f>
        <v>10</v>
      </c>
      <c r="H203" s="207"/>
    </row>
    <row r="204" spans="1:8" ht="31.5">
      <c r="A204" s="26" t="s">
        <v>208</v>
      </c>
      <c r="B204" s="17">
        <v>902</v>
      </c>
      <c r="C204" s="21" t="s">
        <v>295</v>
      </c>
      <c r="D204" s="21" t="s">
        <v>266</v>
      </c>
      <c r="E204" s="21" t="s">
        <v>306</v>
      </c>
      <c r="F204" s="21"/>
      <c r="G204" s="27">
        <f>G205</f>
        <v>10</v>
      </c>
      <c r="H204" s="207"/>
    </row>
    <row r="205" spans="1:8" ht="31.5">
      <c r="A205" s="26" t="s">
        <v>299</v>
      </c>
      <c r="B205" s="17">
        <v>902</v>
      </c>
      <c r="C205" s="21" t="s">
        <v>295</v>
      </c>
      <c r="D205" s="21" t="s">
        <v>266</v>
      </c>
      <c r="E205" s="21" t="s">
        <v>306</v>
      </c>
      <c r="F205" s="21" t="s">
        <v>300</v>
      </c>
      <c r="G205" s="27">
        <f>G206</f>
        <v>10</v>
      </c>
      <c r="H205" s="207"/>
    </row>
    <row r="206" spans="1:8" ht="31.5">
      <c r="A206" s="26" t="s">
        <v>301</v>
      </c>
      <c r="B206" s="17">
        <v>902</v>
      </c>
      <c r="C206" s="21" t="s">
        <v>295</v>
      </c>
      <c r="D206" s="21" t="s">
        <v>266</v>
      </c>
      <c r="E206" s="21" t="s">
        <v>306</v>
      </c>
      <c r="F206" s="21" t="s">
        <v>302</v>
      </c>
      <c r="G206" s="27">
        <v>10</v>
      </c>
      <c r="H206" s="207"/>
    </row>
    <row r="207" spans="1:8" ht="15.75" hidden="1">
      <c r="A207" s="26" t="s">
        <v>172</v>
      </c>
      <c r="B207" s="17">
        <v>902</v>
      </c>
      <c r="C207" s="21" t="s">
        <v>295</v>
      </c>
      <c r="D207" s="21" t="s">
        <v>266</v>
      </c>
      <c r="E207" s="21" t="s">
        <v>173</v>
      </c>
      <c r="F207" s="21"/>
      <c r="G207" s="27">
        <f>G208</f>
        <v>0</v>
      </c>
      <c r="H207" s="207"/>
    </row>
    <row r="208" spans="1:8" ht="31.5" hidden="1">
      <c r="A208" s="26" t="s">
        <v>236</v>
      </c>
      <c r="B208" s="17">
        <v>902</v>
      </c>
      <c r="C208" s="21" t="s">
        <v>295</v>
      </c>
      <c r="D208" s="21" t="s">
        <v>266</v>
      </c>
      <c r="E208" s="21" t="s">
        <v>237</v>
      </c>
      <c r="F208" s="21"/>
      <c r="G208" s="27">
        <f>G209</f>
        <v>0</v>
      </c>
      <c r="H208" s="207"/>
    </row>
    <row r="209" spans="1:8" ht="47.25" hidden="1">
      <c r="A209" s="33" t="s">
        <v>307</v>
      </c>
      <c r="B209" s="17">
        <v>902</v>
      </c>
      <c r="C209" s="21" t="s">
        <v>295</v>
      </c>
      <c r="D209" s="21" t="s">
        <v>266</v>
      </c>
      <c r="E209" s="21" t="s">
        <v>308</v>
      </c>
      <c r="F209" s="21"/>
      <c r="G209" s="27">
        <f>G210</f>
        <v>0</v>
      </c>
      <c r="H209" s="207"/>
    </row>
    <row r="210" spans="1:8" ht="31.5" hidden="1">
      <c r="A210" s="26" t="s">
        <v>299</v>
      </c>
      <c r="B210" s="17">
        <v>902</v>
      </c>
      <c r="C210" s="21" t="s">
        <v>295</v>
      </c>
      <c r="D210" s="21" t="s">
        <v>266</v>
      </c>
      <c r="E210" s="21" t="s">
        <v>308</v>
      </c>
      <c r="F210" s="21" t="s">
        <v>300</v>
      </c>
      <c r="G210" s="27">
        <f>G211</f>
        <v>0</v>
      </c>
      <c r="H210" s="207"/>
    </row>
    <row r="211" spans="1:9" ht="31.5" hidden="1">
      <c r="A211" s="26" t="s">
        <v>301</v>
      </c>
      <c r="B211" s="17">
        <v>902</v>
      </c>
      <c r="C211" s="21" t="s">
        <v>295</v>
      </c>
      <c r="D211" s="21" t="s">
        <v>266</v>
      </c>
      <c r="E211" s="21" t="s">
        <v>308</v>
      </c>
      <c r="F211" s="21" t="s">
        <v>302</v>
      </c>
      <c r="G211" s="27">
        <f>6250-6250</f>
        <v>0</v>
      </c>
      <c r="H211" s="130"/>
      <c r="I211" s="139"/>
    </row>
    <row r="212" spans="1:8" ht="31.5">
      <c r="A212" s="24" t="s">
        <v>309</v>
      </c>
      <c r="B212" s="20">
        <v>902</v>
      </c>
      <c r="C212" s="25" t="s">
        <v>295</v>
      </c>
      <c r="D212" s="25" t="s">
        <v>171</v>
      </c>
      <c r="E212" s="25"/>
      <c r="F212" s="25"/>
      <c r="G212" s="22">
        <f>G213</f>
        <v>3148.5000000000005</v>
      </c>
      <c r="H212" s="207"/>
    </row>
    <row r="213" spans="1:8" ht="15.75">
      <c r="A213" s="26" t="s">
        <v>172</v>
      </c>
      <c r="B213" s="17">
        <v>902</v>
      </c>
      <c r="C213" s="21" t="s">
        <v>295</v>
      </c>
      <c r="D213" s="21" t="s">
        <v>171</v>
      </c>
      <c r="E213" s="21" t="s">
        <v>173</v>
      </c>
      <c r="F213" s="25"/>
      <c r="G213" s="27">
        <f>G214</f>
        <v>3148.5000000000005</v>
      </c>
      <c r="H213" s="207"/>
    </row>
    <row r="214" spans="1:8" ht="31.5">
      <c r="A214" s="26" t="s">
        <v>236</v>
      </c>
      <c r="B214" s="17">
        <v>902</v>
      </c>
      <c r="C214" s="21" t="s">
        <v>295</v>
      </c>
      <c r="D214" s="21" t="s">
        <v>171</v>
      </c>
      <c r="E214" s="21" t="s">
        <v>237</v>
      </c>
      <c r="F214" s="21"/>
      <c r="G214" s="27">
        <f>G215</f>
        <v>3148.5000000000005</v>
      </c>
      <c r="H214" s="207"/>
    </row>
    <row r="215" spans="1:8" ht="47.25">
      <c r="A215" s="33" t="s">
        <v>310</v>
      </c>
      <c r="B215" s="17">
        <v>902</v>
      </c>
      <c r="C215" s="21" t="s">
        <v>295</v>
      </c>
      <c r="D215" s="21" t="s">
        <v>171</v>
      </c>
      <c r="E215" s="21" t="s">
        <v>311</v>
      </c>
      <c r="F215" s="21"/>
      <c r="G215" s="27">
        <f>G216+G218</f>
        <v>3148.5000000000005</v>
      </c>
      <c r="H215" s="207"/>
    </row>
    <row r="216" spans="1:8" ht="94.5">
      <c r="A216" s="26" t="s">
        <v>178</v>
      </c>
      <c r="B216" s="17">
        <v>902</v>
      </c>
      <c r="C216" s="21" t="s">
        <v>295</v>
      </c>
      <c r="D216" s="21" t="s">
        <v>171</v>
      </c>
      <c r="E216" s="21" t="s">
        <v>311</v>
      </c>
      <c r="F216" s="21" t="s">
        <v>179</v>
      </c>
      <c r="G216" s="27">
        <f>G217</f>
        <v>2884.1000000000004</v>
      </c>
      <c r="H216" s="207"/>
    </row>
    <row r="217" spans="1:8" ht="31.5">
      <c r="A217" s="26" t="s">
        <v>180</v>
      </c>
      <c r="B217" s="17">
        <v>902</v>
      </c>
      <c r="C217" s="21" t="s">
        <v>295</v>
      </c>
      <c r="D217" s="21" t="s">
        <v>171</v>
      </c>
      <c r="E217" s="21" t="s">
        <v>311</v>
      </c>
      <c r="F217" s="21" t="s">
        <v>181</v>
      </c>
      <c r="G217" s="28">
        <f>2826.8+14.8+42.5</f>
        <v>2884.1000000000004</v>
      </c>
      <c r="H217" s="130"/>
    </row>
    <row r="218" spans="1:8" ht="31.5">
      <c r="A218" s="26" t="s">
        <v>182</v>
      </c>
      <c r="B218" s="17">
        <v>902</v>
      </c>
      <c r="C218" s="21" t="s">
        <v>295</v>
      </c>
      <c r="D218" s="21" t="s">
        <v>171</v>
      </c>
      <c r="E218" s="21" t="s">
        <v>311</v>
      </c>
      <c r="F218" s="21" t="s">
        <v>183</v>
      </c>
      <c r="G218" s="27">
        <f>G219</f>
        <v>264.4</v>
      </c>
      <c r="H218" s="207"/>
    </row>
    <row r="219" spans="1:9" ht="47.25">
      <c r="A219" s="26" t="s">
        <v>184</v>
      </c>
      <c r="B219" s="17">
        <v>902</v>
      </c>
      <c r="C219" s="21" t="s">
        <v>295</v>
      </c>
      <c r="D219" s="21" t="s">
        <v>171</v>
      </c>
      <c r="E219" s="21" t="s">
        <v>311</v>
      </c>
      <c r="F219" s="21" t="s">
        <v>185</v>
      </c>
      <c r="G219" s="28">
        <f>433.9-112.2-14.8-42.5</f>
        <v>264.4</v>
      </c>
      <c r="H219" s="130"/>
      <c r="I219" s="139"/>
    </row>
    <row r="220" spans="1:12" ht="47.25">
      <c r="A220" s="20" t="s">
        <v>312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7"/>
      <c r="L220" s="140"/>
    </row>
    <row r="221" spans="1:8" ht="15.75" hidden="1">
      <c r="A221" s="24" t="s">
        <v>168</v>
      </c>
      <c r="B221" s="20">
        <v>903</v>
      </c>
      <c r="C221" s="25" t="s">
        <v>169</v>
      </c>
      <c r="D221" s="25"/>
      <c r="E221" s="25"/>
      <c r="F221" s="25"/>
      <c r="G221" s="22">
        <f aca="true" t="shared" si="0" ref="G221:G226">G222</f>
        <v>0</v>
      </c>
      <c r="H221" s="207"/>
    </row>
    <row r="222" spans="1:8" ht="15.75" hidden="1">
      <c r="A222" s="36" t="s">
        <v>190</v>
      </c>
      <c r="B222" s="20">
        <v>903</v>
      </c>
      <c r="C222" s="25" t="s">
        <v>169</v>
      </c>
      <c r="D222" s="25" t="s">
        <v>191</v>
      </c>
      <c r="E222" s="25"/>
      <c r="F222" s="25"/>
      <c r="G222" s="22">
        <f t="shared" si="0"/>
        <v>0</v>
      </c>
      <c r="H222" s="207"/>
    </row>
    <row r="223" spans="1:8" ht="15.75" hidden="1">
      <c r="A223" s="33" t="s">
        <v>172</v>
      </c>
      <c r="B223" s="17">
        <v>903</v>
      </c>
      <c r="C223" s="21" t="s">
        <v>169</v>
      </c>
      <c r="D223" s="21" t="s">
        <v>191</v>
      </c>
      <c r="E223" s="21" t="s">
        <v>173</v>
      </c>
      <c r="F223" s="21"/>
      <c r="G223" s="27">
        <f t="shared" si="0"/>
        <v>0</v>
      </c>
      <c r="H223" s="207"/>
    </row>
    <row r="224" spans="1:8" ht="15.75" hidden="1">
      <c r="A224" s="33" t="s">
        <v>192</v>
      </c>
      <c r="B224" s="17">
        <v>903</v>
      </c>
      <c r="C224" s="21" t="s">
        <v>169</v>
      </c>
      <c r="D224" s="21" t="s">
        <v>191</v>
      </c>
      <c r="E224" s="21" t="s">
        <v>193</v>
      </c>
      <c r="F224" s="21"/>
      <c r="G224" s="27">
        <f t="shared" si="0"/>
        <v>0</v>
      </c>
      <c r="H224" s="207"/>
    </row>
    <row r="225" spans="1:8" ht="15.75" hidden="1">
      <c r="A225" s="26" t="s">
        <v>230</v>
      </c>
      <c r="B225" s="17">
        <v>903</v>
      </c>
      <c r="C225" s="21" t="s">
        <v>169</v>
      </c>
      <c r="D225" s="21" t="s">
        <v>191</v>
      </c>
      <c r="E225" s="21" t="s">
        <v>313</v>
      </c>
      <c r="F225" s="21"/>
      <c r="G225" s="27">
        <f t="shared" si="0"/>
        <v>0</v>
      </c>
      <c r="H225" s="207"/>
    </row>
    <row r="226" spans="1:8" ht="31.5" hidden="1">
      <c r="A226" s="26" t="s">
        <v>182</v>
      </c>
      <c r="B226" s="17">
        <v>903</v>
      </c>
      <c r="C226" s="21" t="s">
        <v>169</v>
      </c>
      <c r="D226" s="21" t="s">
        <v>191</v>
      </c>
      <c r="E226" s="21" t="s">
        <v>313</v>
      </c>
      <c r="F226" s="21" t="s">
        <v>183</v>
      </c>
      <c r="G226" s="27">
        <f t="shared" si="0"/>
        <v>0</v>
      </c>
      <c r="H226" s="207"/>
    </row>
    <row r="227" spans="1:8" ht="47.25" hidden="1">
      <c r="A227" s="26" t="s">
        <v>184</v>
      </c>
      <c r="B227" s="17">
        <v>903</v>
      </c>
      <c r="C227" s="21" t="s">
        <v>169</v>
      </c>
      <c r="D227" s="21" t="s">
        <v>191</v>
      </c>
      <c r="E227" s="21" t="s">
        <v>313</v>
      </c>
      <c r="F227" s="21" t="s">
        <v>185</v>
      </c>
      <c r="G227" s="27"/>
      <c r="H227" s="207"/>
    </row>
    <row r="228" spans="1:8" ht="15.75">
      <c r="A228" s="24" t="s">
        <v>168</v>
      </c>
      <c r="B228" s="20">
        <v>903</v>
      </c>
      <c r="C228" s="25" t="s">
        <v>169</v>
      </c>
      <c r="D228" s="21"/>
      <c r="E228" s="21"/>
      <c r="F228" s="21"/>
      <c r="G228" s="27">
        <f aca="true" t="shared" si="1" ref="G228:G233">G229</f>
        <v>88.7</v>
      </c>
      <c r="H228" s="207"/>
    </row>
    <row r="229" spans="1:8" ht="15.75">
      <c r="A229" s="24" t="s">
        <v>190</v>
      </c>
      <c r="B229" s="20">
        <v>903</v>
      </c>
      <c r="C229" s="25" t="s">
        <v>169</v>
      </c>
      <c r="D229" s="25" t="s">
        <v>191</v>
      </c>
      <c r="E229" s="21"/>
      <c r="F229" s="21"/>
      <c r="G229" s="27">
        <f t="shared" si="1"/>
        <v>88.7</v>
      </c>
      <c r="H229" s="207"/>
    </row>
    <row r="230" spans="1:8" ht="15.75">
      <c r="A230" s="26" t="s">
        <v>172</v>
      </c>
      <c r="B230" s="17">
        <v>903</v>
      </c>
      <c r="C230" s="21" t="s">
        <v>169</v>
      </c>
      <c r="D230" s="21" t="s">
        <v>191</v>
      </c>
      <c r="E230" s="21" t="s">
        <v>173</v>
      </c>
      <c r="F230" s="21"/>
      <c r="G230" s="27">
        <f t="shared" si="1"/>
        <v>88.7</v>
      </c>
      <c r="H230" s="207"/>
    </row>
    <row r="231" spans="1:8" ht="31.5">
      <c r="A231" s="26" t="s">
        <v>236</v>
      </c>
      <c r="B231" s="17">
        <v>903</v>
      </c>
      <c r="C231" s="21" t="s">
        <v>169</v>
      </c>
      <c r="D231" s="21" t="s">
        <v>191</v>
      </c>
      <c r="E231" s="21" t="s">
        <v>237</v>
      </c>
      <c r="F231" s="21"/>
      <c r="G231" s="27">
        <f t="shared" si="1"/>
        <v>88.7</v>
      </c>
      <c r="H231" s="207"/>
    </row>
    <row r="232" spans="1:8" ht="47.25">
      <c r="A232" s="37" t="s">
        <v>825</v>
      </c>
      <c r="B232" s="17">
        <v>903</v>
      </c>
      <c r="C232" s="21" t="s">
        <v>169</v>
      </c>
      <c r="D232" s="21" t="s">
        <v>191</v>
      </c>
      <c r="E232" s="21" t="s">
        <v>824</v>
      </c>
      <c r="F232" s="25"/>
      <c r="G232" s="27">
        <f t="shared" si="1"/>
        <v>88.7</v>
      </c>
      <c r="H232" s="207"/>
    </row>
    <row r="233" spans="1:8" ht="31.5">
      <c r="A233" s="26" t="s">
        <v>182</v>
      </c>
      <c r="B233" s="17">
        <v>903</v>
      </c>
      <c r="C233" s="21" t="s">
        <v>169</v>
      </c>
      <c r="D233" s="21" t="s">
        <v>191</v>
      </c>
      <c r="E233" s="21" t="s">
        <v>824</v>
      </c>
      <c r="F233" s="21" t="s">
        <v>183</v>
      </c>
      <c r="G233" s="27">
        <f t="shared" si="1"/>
        <v>88.7</v>
      </c>
      <c r="H233" s="207"/>
    </row>
    <row r="234" spans="1:8" ht="53.25" customHeight="1">
      <c r="A234" s="26" t="s">
        <v>184</v>
      </c>
      <c r="B234" s="17">
        <v>903</v>
      </c>
      <c r="C234" s="21" t="s">
        <v>169</v>
      </c>
      <c r="D234" s="21" t="s">
        <v>191</v>
      </c>
      <c r="E234" s="21" t="s">
        <v>824</v>
      </c>
      <c r="F234" s="21" t="s">
        <v>185</v>
      </c>
      <c r="G234" s="191">
        <v>88.7</v>
      </c>
      <c r="H234" s="186" t="s">
        <v>819</v>
      </c>
    </row>
    <row r="235" spans="1:8" ht="15.75">
      <c r="A235" s="24" t="s">
        <v>314</v>
      </c>
      <c r="B235" s="20">
        <v>903</v>
      </c>
      <c r="C235" s="25" t="s">
        <v>315</v>
      </c>
      <c r="D235" s="21"/>
      <c r="E235" s="21"/>
      <c r="F235" s="21"/>
      <c r="G235" s="22">
        <f>G236+G271</f>
        <v>17482.699999999997</v>
      </c>
      <c r="H235" s="207"/>
    </row>
    <row r="236" spans="1:8" ht="15.75">
      <c r="A236" s="24" t="s">
        <v>316</v>
      </c>
      <c r="B236" s="20">
        <v>903</v>
      </c>
      <c r="C236" s="25" t="s">
        <v>315</v>
      </c>
      <c r="D236" s="25" t="s">
        <v>266</v>
      </c>
      <c r="E236" s="25"/>
      <c r="F236" s="25"/>
      <c r="G236" s="22">
        <f>G237+G260</f>
        <v>17482.699999999997</v>
      </c>
      <c r="H236" s="207"/>
    </row>
    <row r="237" spans="1:8" ht="47.25">
      <c r="A237" s="26" t="s">
        <v>317</v>
      </c>
      <c r="B237" s="17">
        <v>903</v>
      </c>
      <c r="C237" s="21" t="s">
        <v>315</v>
      </c>
      <c r="D237" s="21" t="s">
        <v>266</v>
      </c>
      <c r="E237" s="21" t="s">
        <v>318</v>
      </c>
      <c r="F237" s="21"/>
      <c r="G237" s="27">
        <f>G238</f>
        <v>16445.6</v>
      </c>
      <c r="H237" s="207"/>
    </row>
    <row r="238" spans="1:8" ht="63">
      <c r="A238" s="26" t="s">
        <v>319</v>
      </c>
      <c r="B238" s="17">
        <v>903</v>
      </c>
      <c r="C238" s="21" t="s">
        <v>315</v>
      </c>
      <c r="D238" s="21" t="s">
        <v>266</v>
      </c>
      <c r="E238" s="21" t="s">
        <v>320</v>
      </c>
      <c r="F238" s="21"/>
      <c r="G238" s="27">
        <f>G239+G251</f>
        <v>16445.6</v>
      </c>
      <c r="H238" s="207"/>
    </row>
    <row r="239" spans="1:8" ht="47.25">
      <c r="A239" s="26" t="s">
        <v>321</v>
      </c>
      <c r="B239" s="17">
        <v>903</v>
      </c>
      <c r="C239" s="21" t="s">
        <v>315</v>
      </c>
      <c r="D239" s="21" t="s">
        <v>266</v>
      </c>
      <c r="E239" s="21" t="s">
        <v>322</v>
      </c>
      <c r="F239" s="21"/>
      <c r="G239" s="27">
        <f>G240</f>
        <v>16395.6</v>
      </c>
      <c r="H239" s="207"/>
    </row>
    <row r="240" spans="1:8" ht="47.25">
      <c r="A240" s="26" t="s">
        <v>323</v>
      </c>
      <c r="B240" s="17">
        <v>903</v>
      </c>
      <c r="C240" s="21" t="s">
        <v>315</v>
      </c>
      <c r="D240" s="21" t="s">
        <v>266</v>
      </c>
      <c r="E240" s="21" t="s">
        <v>322</v>
      </c>
      <c r="F240" s="21" t="s">
        <v>324</v>
      </c>
      <c r="G240" s="27">
        <f>G241</f>
        <v>16395.6</v>
      </c>
      <c r="H240" s="207"/>
    </row>
    <row r="241" spans="1:9" ht="15.75">
      <c r="A241" s="26" t="s">
        <v>325</v>
      </c>
      <c r="B241" s="17">
        <v>903</v>
      </c>
      <c r="C241" s="21" t="s">
        <v>315</v>
      </c>
      <c r="D241" s="21" t="s">
        <v>266</v>
      </c>
      <c r="E241" s="21" t="s">
        <v>322</v>
      </c>
      <c r="F241" s="21" t="s">
        <v>326</v>
      </c>
      <c r="G241" s="28">
        <f>15572+756.3+67.3</f>
        <v>16395.6</v>
      </c>
      <c r="H241" s="130"/>
      <c r="I241" s="151"/>
    </row>
    <row r="242" spans="1:8" ht="47.25" hidden="1">
      <c r="A242" s="26" t="s">
        <v>327</v>
      </c>
      <c r="B242" s="17">
        <v>903</v>
      </c>
      <c r="C242" s="21" t="s">
        <v>315</v>
      </c>
      <c r="D242" s="21" t="s">
        <v>266</v>
      </c>
      <c r="E242" s="21" t="s">
        <v>328</v>
      </c>
      <c r="F242" s="21"/>
      <c r="G242" s="27">
        <f>G243</f>
        <v>0</v>
      </c>
      <c r="H242" s="207"/>
    </row>
    <row r="243" spans="1:8" ht="47.25" hidden="1">
      <c r="A243" s="26" t="s">
        <v>323</v>
      </c>
      <c r="B243" s="17">
        <v>903</v>
      </c>
      <c r="C243" s="21" t="s">
        <v>315</v>
      </c>
      <c r="D243" s="21" t="s">
        <v>266</v>
      </c>
      <c r="E243" s="21" t="s">
        <v>328</v>
      </c>
      <c r="F243" s="21" t="s">
        <v>324</v>
      </c>
      <c r="G243" s="27">
        <f>G244</f>
        <v>0</v>
      </c>
      <c r="H243" s="207"/>
    </row>
    <row r="244" spans="1:8" ht="15.75" hidden="1">
      <c r="A244" s="26" t="s">
        <v>325</v>
      </c>
      <c r="B244" s="17">
        <v>903</v>
      </c>
      <c r="C244" s="21" t="s">
        <v>315</v>
      </c>
      <c r="D244" s="21" t="s">
        <v>266</v>
      </c>
      <c r="E244" s="21" t="s">
        <v>328</v>
      </c>
      <c r="F244" s="21" t="s">
        <v>326</v>
      </c>
      <c r="G244" s="27">
        <v>0</v>
      </c>
      <c r="H244" s="207"/>
    </row>
    <row r="245" spans="1:8" ht="47.25" hidden="1">
      <c r="A245" s="26" t="s">
        <v>329</v>
      </c>
      <c r="B245" s="17">
        <v>903</v>
      </c>
      <c r="C245" s="21" t="s">
        <v>315</v>
      </c>
      <c r="D245" s="21" t="s">
        <v>266</v>
      </c>
      <c r="E245" s="21" t="s">
        <v>330</v>
      </c>
      <c r="F245" s="21"/>
      <c r="G245" s="27">
        <f>G246</f>
        <v>0</v>
      </c>
      <c r="H245" s="207"/>
    </row>
    <row r="246" spans="1:8" ht="47.25" hidden="1">
      <c r="A246" s="26" t="s">
        <v>323</v>
      </c>
      <c r="B246" s="17">
        <v>903</v>
      </c>
      <c r="C246" s="21" t="s">
        <v>315</v>
      </c>
      <c r="D246" s="21" t="s">
        <v>266</v>
      </c>
      <c r="E246" s="21" t="s">
        <v>330</v>
      </c>
      <c r="F246" s="21" t="s">
        <v>324</v>
      </c>
      <c r="G246" s="27">
        <f>G247</f>
        <v>0</v>
      </c>
      <c r="H246" s="207"/>
    </row>
    <row r="247" spans="1:8" ht="15.75" hidden="1">
      <c r="A247" s="26" t="s">
        <v>325</v>
      </c>
      <c r="B247" s="17">
        <v>903</v>
      </c>
      <c r="C247" s="21" t="s">
        <v>315</v>
      </c>
      <c r="D247" s="21" t="s">
        <v>266</v>
      </c>
      <c r="E247" s="21" t="s">
        <v>330</v>
      </c>
      <c r="F247" s="21" t="s">
        <v>326</v>
      </c>
      <c r="G247" s="27">
        <v>0</v>
      </c>
      <c r="H247" s="207"/>
    </row>
    <row r="248" spans="1:8" ht="31.5" hidden="1">
      <c r="A248" s="26" t="s">
        <v>331</v>
      </c>
      <c r="B248" s="17">
        <v>903</v>
      </c>
      <c r="C248" s="21" t="s">
        <v>315</v>
      </c>
      <c r="D248" s="21" t="s">
        <v>266</v>
      </c>
      <c r="E248" s="21" t="s">
        <v>332</v>
      </c>
      <c r="F248" s="21"/>
      <c r="G248" s="27">
        <f>G249</f>
        <v>0</v>
      </c>
      <c r="H248" s="207"/>
    </row>
    <row r="249" spans="1:8" ht="47.25" hidden="1">
      <c r="A249" s="26" t="s">
        <v>323</v>
      </c>
      <c r="B249" s="17">
        <v>903</v>
      </c>
      <c r="C249" s="21" t="s">
        <v>315</v>
      </c>
      <c r="D249" s="21" t="s">
        <v>266</v>
      </c>
      <c r="E249" s="21" t="s">
        <v>332</v>
      </c>
      <c r="F249" s="21" t="s">
        <v>324</v>
      </c>
      <c r="G249" s="27">
        <f>G250</f>
        <v>0</v>
      </c>
      <c r="H249" s="207"/>
    </row>
    <row r="250" spans="1:8" ht="15.75" hidden="1">
      <c r="A250" s="26" t="s">
        <v>325</v>
      </c>
      <c r="B250" s="17">
        <v>903</v>
      </c>
      <c r="C250" s="21" t="s">
        <v>315</v>
      </c>
      <c r="D250" s="21" t="s">
        <v>266</v>
      </c>
      <c r="E250" s="21" t="s">
        <v>332</v>
      </c>
      <c r="F250" s="21" t="s">
        <v>326</v>
      </c>
      <c r="G250" s="27">
        <v>0</v>
      </c>
      <c r="H250" s="207"/>
    </row>
    <row r="251" spans="1:8" ht="47.25">
      <c r="A251" s="26" t="s">
        <v>333</v>
      </c>
      <c r="B251" s="17">
        <v>903</v>
      </c>
      <c r="C251" s="21" t="s">
        <v>315</v>
      </c>
      <c r="D251" s="21" t="s">
        <v>266</v>
      </c>
      <c r="E251" s="21" t="s">
        <v>334</v>
      </c>
      <c r="F251" s="21"/>
      <c r="G251" s="27">
        <f>G252</f>
        <v>50</v>
      </c>
      <c r="H251" s="207"/>
    </row>
    <row r="252" spans="1:8" ht="47.25">
      <c r="A252" s="26" t="s">
        <v>323</v>
      </c>
      <c r="B252" s="17">
        <v>903</v>
      </c>
      <c r="C252" s="21" t="s">
        <v>315</v>
      </c>
      <c r="D252" s="21" t="s">
        <v>266</v>
      </c>
      <c r="E252" s="21" t="s">
        <v>334</v>
      </c>
      <c r="F252" s="21" t="s">
        <v>324</v>
      </c>
      <c r="G252" s="27">
        <f>G253</f>
        <v>50</v>
      </c>
      <c r="H252" s="207"/>
    </row>
    <row r="253" spans="1:8" ht="15.75">
      <c r="A253" s="26" t="s">
        <v>325</v>
      </c>
      <c r="B253" s="17">
        <v>903</v>
      </c>
      <c r="C253" s="21" t="s">
        <v>315</v>
      </c>
      <c r="D253" s="21" t="s">
        <v>266</v>
      </c>
      <c r="E253" s="21" t="s">
        <v>334</v>
      </c>
      <c r="F253" s="21" t="s">
        <v>326</v>
      </c>
      <c r="G253" s="27">
        <v>50</v>
      </c>
      <c r="H253" s="207"/>
    </row>
    <row r="254" spans="1:8" ht="31.5" hidden="1">
      <c r="A254" s="26" t="s">
        <v>335</v>
      </c>
      <c r="B254" s="17">
        <v>903</v>
      </c>
      <c r="C254" s="21" t="s">
        <v>315</v>
      </c>
      <c r="D254" s="21" t="s">
        <v>266</v>
      </c>
      <c r="E254" s="21" t="s">
        <v>336</v>
      </c>
      <c r="F254" s="21"/>
      <c r="G254" s="27">
        <f>G255</f>
        <v>0</v>
      </c>
      <c r="H254" s="207"/>
    </row>
    <row r="255" spans="1:8" ht="47.25" hidden="1">
      <c r="A255" s="26" t="s">
        <v>323</v>
      </c>
      <c r="B255" s="17">
        <v>903</v>
      </c>
      <c r="C255" s="21" t="s">
        <v>315</v>
      </c>
      <c r="D255" s="21" t="s">
        <v>266</v>
      </c>
      <c r="E255" s="21" t="s">
        <v>337</v>
      </c>
      <c r="F255" s="21" t="s">
        <v>324</v>
      </c>
      <c r="G255" s="27">
        <f>G256</f>
        <v>0</v>
      </c>
      <c r="H255" s="207"/>
    </row>
    <row r="256" spans="1:8" ht="15.75" hidden="1">
      <c r="A256" s="26" t="s">
        <v>325</v>
      </c>
      <c r="B256" s="17">
        <v>903</v>
      </c>
      <c r="C256" s="21" t="s">
        <v>315</v>
      </c>
      <c r="D256" s="21" t="s">
        <v>266</v>
      </c>
      <c r="E256" s="21" t="s">
        <v>337</v>
      </c>
      <c r="F256" s="21" t="s">
        <v>326</v>
      </c>
      <c r="G256" s="27">
        <v>0</v>
      </c>
      <c r="H256" s="207"/>
    </row>
    <row r="257" spans="1:8" ht="47.25" hidden="1">
      <c r="A257" s="37" t="s">
        <v>338</v>
      </c>
      <c r="B257" s="17">
        <v>903</v>
      </c>
      <c r="C257" s="21" t="s">
        <v>315</v>
      </c>
      <c r="D257" s="21" t="s">
        <v>266</v>
      </c>
      <c r="E257" s="21" t="s">
        <v>339</v>
      </c>
      <c r="F257" s="21"/>
      <c r="G257" s="27">
        <f>G258</f>
        <v>0</v>
      </c>
      <c r="H257" s="207"/>
    </row>
    <row r="258" spans="1:8" ht="47.25" hidden="1">
      <c r="A258" s="26" t="s">
        <v>323</v>
      </c>
      <c r="B258" s="17">
        <v>903</v>
      </c>
      <c r="C258" s="21" t="s">
        <v>315</v>
      </c>
      <c r="D258" s="21" t="s">
        <v>266</v>
      </c>
      <c r="E258" s="21" t="s">
        <v>339</v>
      </c>
      <c r="F258" s="21" t="s">
        <v>324</v>
      </c>
      <c r="G258" s="27">
        <f>G259</f>
        <v>0</v>
      </c>
      <c r="H258" s="207"/>
    </row>
    <row r="259" spans="1:8" ht="15.75" hidden="1">
      <c r="A259" s="26" t="s">
        <v>325</v>
      </c>
      <c r="B259" s="17">
        <v>903</v>
      </c>
      <c r="C259" s="21" t="s">
        <v>315</v>
      </c>
      <c r="D259" s="21" t="s">
        <v>266</v>
      </c>
      <c r="E259" s="21" t="s">
        <v>339</v>
      </c>
      <c r="F259" s="21" t="s">
        <v>326</v>
      </c>
      <c r="G259" s="27">
        <v>0</v>
      </c>
      <c r="H259" s="207"/>
    </row>
    <row r="260" spans="1:8" ht="15.75">
      <c r="A260" s="26" t="s">
        <v>172</v>
      </c>
      <c r="B260" s="17">
        <v>903</v>
      </c>
      <c r="C260" s="21" t="s">
        <v>315</v>
      </c>
      <c r="D260" s="21" t="s">
        <v>266</v>
      </c>
      <c r="E260" s="21" t="s">
        <v>173</v>
      </c>
      <c r="F260" s="21"/>
      <c r="G260" s="27">
        <f>G261</f>
        <v>1037.1000000000001</v>
      </c>
      <c r="H260" s="207"/>
    </row>
    <row r="261" spans="1:8" ht="31.5">
      <c r="A261" s="26" t="s">
        <v>236</v>
      </c>
      <c r="B261" s="17">
        <v>903</v>
      </c>
      <c r="C261" s="21" t="s">
        <v>315</v>
      </c>
      <c r="D261" s="21" t="s">
        <v>266</v>
      </c>
      <c r="E261" s="21" t="s">
        <v>237</v>
      </c>
      <c r="F261" s="21"/>
      <c r="G261" s="27">
        <f>G262+G265+G268</f>
        <v>1037.1000000000001</v>
      </c>
      <c r="H261" s="207"/>
    </row>
    <row r="262" spans="1:8" ht="63">
      <c r="A262" s="33" t="s">
        <v>340</v>
      </c>
      <c r="B262" s="17">
        <v>903</v>
      </c>
      <c r="C262" s="21" t="s">
        <v>315</v>
      </c>
      <c r="D262" s="21" t="s">
        <v>266</v>
      </c>
      <c r="E262" s="21" t="s">
        <v>341</v>
      </c>
      <c r="F262" s="21"/>
      <c r="G262" s="27">
        <f>G263</f>
        <v>126.69999999999999</v>
      </c>
      <c r="H262" s="207"/>
    </row>
    <row r="263" spans="1:8" ht="47.25">
      <c r="A263" s="26" t="s">
        <v>323</v>
      </c>
      <c r="B263" s="17">
        <v>903</v>
      </c>
      <c r="C263" s="21" t="s">
        <v>315</v>
      </c>
      <c r="D263" s="21" t="s">
        <v>266</v>
      </c>
      <c r="E263" s="21" t="s">
        <v>341</v>
      </c>
      <c r="F263" s="21" t="s">
        <v>324</v>
      </c>
      <c r="G263" s="27">
        <f>G264</f>
        <v>126.69999999999999</v>
      </c>
      <c r="H263" s="207"/>
    </row>
    <row r="264" spans="1:9" ht="15.75">
      <c r="A264" s="26" t="s">
        <v>325</v>
      </c>
      <c r="B264" s="17">
        <v>903</v>
      </c>
      <c r="C264" s="21" t="s">
        <v>315</v>
      </c>
      <c r="D264" s="21" t="s">
        <v>266</v>
      </c>
      <c r="E264" s="21" t="s">
        <v>341</v>
      </c>
      <c r="F264" s="21" t="s">
        <v>326</v>
      </c>
      <c r="G264" s="27">
        <f>162.6-35.9</f>
        <v>126.69999999999999</v>
      </c>
      <c r="H264" s="207"/>
      <c r="I264" s="139"/>
    </row>
    <row r="265" spans="1:8" ht="78.75">
      <c r="A265" s="33" t="s">
        <v>342</v>
      </c>
      <c r="B265" s="17">
        <v>903</v>
      </c>
      <c r="C265" s="21" t="s">
        <v>315</v>
      </c>
      <c r="D265" s="21" t="s">
        <v>266</v>
      </c>
      <c r="E265" s="21" t="s">
        <v>343</v>
      </c>
      <c r="F265" s="21"/>
      <c r="G265" s="27">
        <f>G266</f>
        <v>310.70000000000005</v>
      </c>
      <c r="H265" s="207"/>
    </row>
    <row r="266" spans="1:8" ht="47.25">
      <c r="A266" s="26" t="s">
        <v>323</v>
      </c>
      <c r="B266" s="17">
        <v>903</v>
      </c>
      <c r="C266" s="21" t="s">
        <v>315</v>
      </c>
      <c r="D266" s="21" t="s">
        <v>266</v>
      </c>
      <c r="E266" s="21" t="s">
        <v>343</v>
      </c>
      <c r="F266" s="21" t="s">
        <v>324</v>
      </c>
      <c r="G266" s="27">
        <f>G267</f>
        <v>310.70000000000005</v>
      </c>
      <c r="H266" s="207"/>
    </row>
    <row r="267" spans="1:9" ht="15.75">
      <c r="A267" s="26" t="s">
        <v>325</v>
      </c>
      <c r="B267" s="17">
        <v>903</v>
      </c>
      <c r="C267" s="21" t="s">
        <v>315</v>
      </c>
      <c r="D267" s="21" t="s">
        <v>266</v>
      </c>
      <c r="E267" s="21" t="s">
        <v>343</v>
      </c>
      <c r="F267" s="21" t="s">
        <v>326</v>
      </c>
      <c r="G267" s="27">
        <f>393.3-82.6</f>
        <v>310.70000000000005</v>
      </c>
      <c r="H267" s="207"/>
      <c r="I267" s="139"/>
    </row>
    <row r="268" spans="1:8" ht="110.25">
      <c r="A268" s="33" t="s">
        <v>344</v>
      </c>
      <c r="B268" s="17">
        <v>903</v>
      </c>
      <c r="C268" s="21" t="s">
        <v>315</v>
      </c>
      <c r="D268" s="21" t="s">
        <v>266</v>
      </c>
      <c r="E268" s="21" t="s">
        <v>345</v>
      </c>
      <c r="F268" s="21"/>
      <c r="G268" s="27">
        <f>G269</f>
        <v>599.7</v>
      </c>
      <c r="H268" s="207"/>
    </row>
    <row r="269" spans="1:8" ht="47.25">
      <c r="A269" s="26" t="s">
        <v>323</v>
      </c>
      <c r="B269" s="17">
        <v>903</v>
      </c>
      <c r="C269" s="21" t="s">
        <v>315</v>
      </c>
      <c r="D269" s="21" t="s">
        <v>266</v>
      </c>
      <c r="E269" s="21" t="s">
        <v>345</v>
      </c>
      <c r="F269" s="21" t="s">
        <v>324</v>
      </c>
      <c r="G269" s="27">
        <f>G270</f>
        <v>599.7</v>
      </c>
      <c r="H269" s="207"/>
    </row>
    <row r="270" spans="1:9" ht="15.75">
      <c r="A270" s="26" t="s">
        <v>325</v>
      </c>
      <c r="B270" s="17">
        <v>903</v>
      </c>
      <c r="C270" s="21" t="s">
        <v>315</v>
      </c>
      <c r="D270" s="21" t="s">
        <v>266</v>
      </c>
      <c r="E270" s="21" t="s">
        <v>345</v>
      </c>
      <c r="F270" s="21" t="s">
        <v>326</v>
      </c>
      <c r="G270" s="27">
        <f>600-0.3</f>
        <v>599.7</v>
      </c>
      <c r="H270" s="207"/>
      <c r="I270" s="139"/>
    </row>
    <row r="271" spans="1:8" ht="15.75" hidden="1">
      <c r="A271" s="24" t="s">
        <v>346</v>
      </c>
      <c r="B271" s="20">
        <v>903</v>
      </c>
      <c r="C271" s="25" t="s">
        <v>315</v>
      </c>
      <c r="D271" s="25" t="s">
        <v>270</v>
      </c>
      <c r="E271" s="25"/>
      <c r="F271" s="25"/>
      <c r="G271" s="27">
        <f>G272</f>
        <v>0</v>
      </c>
      <c r="H271" s="207"/>
    </row>
    <row r="272" spans="1:8" ht="15.75" hidden="1">
      <c r="A272" s="26" t="s">
        <v>172</v>
      </c>
      <c r="B272" s="17">
        <v>903</v>
      </c>
      <c r="C272" s="21" t="s">
        <v>315</v>
      </c>
      <c r="D272" s="21" t="s">
        <v>270</v>
      </c>
      <c r="E272" s="21" t="s">
        <v>173</v>
      </c>
      <c r="F272" s="21"/>
      <c r="G272" s="27">
        <f>G273</f>
        <v>0</v>
      </c>
      <c r="H272" s="207"/>
    </row>
    <row r="273" spans="1:8" ht="31.5" hidden="1">
      <c r="A273" s="26" t="s">
        <v>236</v>
      </c>
      <c r="B273" s="17">
        <v>903</v>
      </c>
      <c r="C273" s="21" t="s">
        <v>315</v>
      </c>
      <c r="D273" s="21" t="s">
        <v>270</v>
      </c>
      <c r="E273" s="21" t="s">
        <v>237</v>
      </c>
      <c r="F273" s="21"/>
      <c r="G273" s="27">
        <f>G274</f>
        <v>0</v>
      </c>
      <c r="H273" s="207"/>
    </row>
    <row r="274" spans="1:8" ht="31.5" hidden="1">
      <c r="A274" s="38" t="s">
        <v>347</v>
      </c>
      <c r="B274" s="39">
        <v>903</v>
      </c>
      <c r="C274" s="21" t="s">
        <v>315</v>
      </c>
      <c r="D274" s="21" t="s">
        <v>270</v>
      </c>
      <c r="E274" s="21" t="s">
        <v>348</v>
      </c>
      <c r="F274" s="21"/>
      <c r="G274" s="27">
        <f>G275</f>
        <v>0</v>
      </c>
      <c r="H274" s="207"/>
    </row>
    <row r="275" spans="1:8" ht="15.75" hidden="1">
      <c r="A275" s="26" t="s">
        <v>186</v>
      </c>
      <c r="B275" s="17">
        <v>903</v>
      </c>
      <c r="C275" s="21" t="s">
        <v>315</v>
      </c>
      <c r="D275" s="21" t="s">
        <v>270</v>
      </c>
      <c r="E275" s="21" t="s">
        <v>348</v>
      </c>
      <c r="F275" s="21" t="s">
        <v>196</v>
      </c>
      <c r="G275" s="27">
        <f>G276</f>
        <v>0</v>
      </c>
      <c r="H275" s="207"/>
    </row>
    <row r="276" spans="1:8" ht="63" hidden="1">
      <c r="A276" s="26" t="s">
        <v>235</v>
      </c>
      <c r="B276" s="17">
        <v>903</v>
      </c>
      <c r="C276" s="21" t="s">
        <v>315</v>
      </c>
      <c r="D276" s="21" t="s">
        <v>270</v>
      </c>
      <c r="E276" s="21" t="s">
        <v>348</v>
      </c>
      <c r="F276" s="21" t="s">
        <v>211</v>
      </c>
      <c r="G276" s="27"/>
      <c r="H276" s="207"/>
    </row>
    <row r="277" spans="1:8" ht="15.75">
      <c r="A277" s="24" t="s">
        <v>349</v>
      </c>
      <c r="B277" s="20">
        <v>903</v>
      </c>
      <c r="C277" s="25" t="s">
        <v>350</v>
      </c>
      <c r="D277" s="25"/>
      <c r="E277" s="25"/>
      <c r="F277" s="25"/>
      <c r="G277" s="22">
        <f>G278+G358</f>
        <v>61699.8</v>
      </c>
      <c r="H277" s="207"/>
    </row>
    <row r="278" spans="1:8" ht="15.75">
      <c r="A278" s="24" t="s">
        <v>351</v>
      </c>
      <c r="B278" s="20">
        <v>903</v>
      </c>
      <c r="C278" s="25" t="s">
        <v>350</v>
      </c>
      <c r="D278" s="25" t="s">
        <v>169</v>
      </c>
      <c r="E278" s="25"/>
      <c r="F278" s="25"/>
      <c r="G278" s="22">
        <f>G279+G337+G333</f>
        <v>44421.00000000001</v>
      </c>
      <c r="H278" s="207"/>
    </row>
    <row r="279" spans="1:8" ht="47.25">
      <c r="A279" s="26" t="s">
        <v>317</v>
      </c>
      <c r="B279" s="17">
        <v>903</v>
      </c>
      <c r="C279" s="21" t="s">
        <v>350</v>
      </c>
      <c r="D279" s="21" t="s">
        <v>169</v>
      </c>
      <c r="E279" s="21" t="s">
        <v>318</v>
      </c>
      <c r="F279" s="21"/>
      <c r="G279" s="27">
        <f>G280+G306</f>
        <v>42083.100000000006</v>
      </c>
      <c r="H279" s="207"/>
    </row>
    <row r="280" spans="1:8" ht="63">
      <c r="A280" s="26" t="s">
        <v>352</v>
      </c>
      <c r="B280" s="17">
        <v>903</v>
      </c>
      <c r="C280" s="21" t="s">
        <v>350</v>
      </c>
      <c r="D280" s="21" t="s">
        <v>169</v>
      </c>
      <c r="E280" s="21" t="s">
        <v>353</v>
      </c>
      <c r="F280" s="21"/>
      <c r="G280" s="27">
        <f>G281+G299+G284+G287+G290+G293+G296</f>
        <v>25422.5</v>
      </c>
      <c r="H280" s="207"/>
    </row>
    <row r="281" spans="1:8" ht="52.5" customHeight="1">
      <c r="A281" s="26" t="s">
        <v>354</v>
      </c>
      <c r="B281" s="17">
        <v>903</v>
      </c>
      <c r="C281" s="21" t="s">
        <v>350</v>
      </c>
      <c r="D281" s="21" t="s">
        <v>169</v>
      </c>
      <c r="E281" s="21" t="s">
        <v>355</v>
      </c>
      <c r="F281" s="21"/>
      <c r="G281" s="27">
        <f>G282</f>
        <v>23654.800000000003</v>
      </c>
      <c r="H281" s="207"/>
    </row>
    <row r="282" spans="1:8" ht="47.25">
      <c r="A282" s="26" t="s">
        <v>323</v>
      </c>
      <c r="B282" s="17">
        <v>903</v>
      </c>
      <c r="C282" s="21" t="s">
        <v>350</v>
      </c>
      <c r="D282" s="21" t="s">
        <v>169</v>
      </c>
      <c r="E282" s="21" t="s">
        <v>355</v>
      </c>
      <c r="F282" s="21" t="s">
        <v>324</v>
      </c>
      <c r="G282" s="27">
        <f>G283</f>
        <v>23654.800000000003</v>
      </c>
      <c r="H282" s="207"/>
    </row>
    <row r="283" spans="1:9" ht="15.75">
      <c r="A283" s="26" t="s">
        <v>325</v>
      </c>
      <c r="B283" s="17">
        <v>903</v>
      </c>
      <c r="C283" s="21" t="s">
        <v>350</v>
      </c>
      <c r="D283" s="21" t="s">
        <v>169</v>
      </c>
      <c r="E283" s="21" t="s">
        <v>355</v>
      </c>
      <c r="F283" s="21" t="s">
        <v>326</v>
      </c>
      <c r="G283" s="28">
        <f>25081.9+2671.4-3136.8-961.7</f>
        <v>23654.800000000003</v>
      </c>
      <c r="H283" s="130"/>
      <c r="I283" s="151"/>
    </row>
    <row r="284" spans="1:12" ht="47.25">
      <c r="A284" s="26" t="s">
        <v>791</v>
      </c>
      <c r="B284" s="17">
        <v>903</v>
      </c>
      <c r="C284" s="21" t="s">
        <v>350</v>
      </c>
      <c r="D284" s="21" t="s">
        <v>169</v>
      </c>
      <c r="E284" s="21" t="s">
        <v>356</v>
      </c>
      <c r="F284" s="21"/>
      <c r="G284" s="27">
        <f>G285</f>
        <v>96.1</v>
      </c>
      <c r="H284" s="207"/>
      <c r="L284" s="141"/>
    </row>
    <row r="285" spans="1:8" ht="47.25">
      <c r="A285" s="26" t="s">
        <v>323</v>
      </c>
      <c r="B285" s="17">
        <v>903</v>
      </c>
      <c r="C285" s="21" t="s">
        <v>350</v>
      </c>
      <c r="D285" s="21" t="s">
        <v>169</v>
      </c>
      <c r="E285" s="21" t="s">
        <v>356</v>
      </c>
      <c r="F285" s="21" t="s">
        <v>324</v>
      </c>
      <c r="G285" s="27">
        <f>G286</f>
        <v>96.1</v>
      </c>
      <c r="H285" s="207"/>
    </row>
    <row r="286" spans="1:8" ht="15.75">
      <c r="A286" s="26" t="s">
        <v>325</v>
      </c>
      <c r="B286" s="17">
        <v>903</v>
      </c>
      <c r="C286" s="21" t="s">
        <v>350</v>
      </c>
      <c r="D286" s="21" t="s">
        <v>169</v>
      </c>
      <c r="E286" s="21" t="s">
        <v>356</v>
      </c>
      <c r="F286" s="21" t="s">
        <v>326</v>
      </c>
      <c r="G286" s="27">
        <v>96.1</v>
      </c>
      <c r="H286" s="130"/>
    </row>
    <row r="287" spans="1:8" ht="47.25">
      <c r="A287" s="26" t="s">
        <v>329</v>
      </c>
      <c r="B287" s="17">
        <v>903</v>
      </c>
      <c r="C287" s="21" t="s">
        <v>350</v>
      </c>
      <c r="D287" s="21" t="s">
        <v>169</v>
      </c>
      <c r="E287" s="21" t="s">
        <v>357</v>
      </c>
      <c r="F287" s="21"/>
      <c r="G287" s="27">
        <f>G288</f>
        <v>142.1</v>
      </c>
      <c r="H287" s="207"/>
    </row>
    <row r="288" spans="1:8" ht="47.25">
      <c r="A288" s="26" t="s">
        <v>323</v>
      </c>
      <c r="B288" s="17">
        <v>903</v>
      </c>
      <c r="C288" s="21" t="s">
        <v>350</v>
      </c>
      <c r="D288" s="21" t="s">
        <v>169</v>
      </c>
      <c r="E288" s="21" t="s">
        <v>357</v>
      </c>
      <c r="F288" s="21" t="s">
        <v>324</v>
      </c>
      <c r="G288" s="27">
        <f>G289</f>
        <v>142.1</v>
      </c>
      <c r="H288" s="207"/>
    </row>
    <row r="289" spans="1:9" ht="15.75">
      <c r="A289" s="26" t="s">
        <v>325</v>
      </c>
      <c r="B289" s="17">
        <v>903</v>
      </c>
      <c r="C289" s="21" t="s">
        <v>350</v>
      </c>
      <c r="D289" s="21" t="s">
        <v>169</v>
      </c>
      <c r="E289" s="21" t="s">
        <v>357</v>
      </c>
      <c r="F289" s="21" t="s">
        <v>326</v>
      </c>
      <c r="G289" s="27">
        <v>142.1</v>
      </c>
      <c r="H289" s="207"/>
      <c r="I289" s="139"/>
    </row>
    <row r="290" spans="1:8" ht="15.75">
      <c r="A290" s="26" t="s">
        <v>358</v>
      </c>
      <c r="B290" s="17">
        <v>903</v>
      </c>
      <c r="C290" s="21" t="s">
        <v>350</v>
      </c>
      <c r="D290" s="21" t="s">
        <v>169</v>
      </c>
      <c r="E290" s="21" t="s">
        <v>359</v>
      </c>
      <c r="F290" s="21"/>
      <c r="G290" s="27">
        <f>G291</f>
        <v>1529.5</v>
      </c>
      <c r="H290" s="207"/>
    </row>
    <row r="291" spans="1:8" ht="47.25">
      <c r="A291" s="26" t="s">
        <v>323</v>
      </c>
      <c r="B291" s="17">
        <v>903</v>
      </c>
      <c r="C291" s="21" t="s">
        <v>350</v>
      </c>
      <c r="D291" s="21" t="s">
        <v>169</v>
      </c>
      <c r="E291" s="21" t="s">
        <v>359</v>
      </c>
      <c r="F291" s="21" t="s">
        <v>324</v>
      </c>
      <c r="G291" s="27">
        <f>G292</f>
        <v>1529.5</v>
      </c>
      <c r="H291" s="207"/>
    </row>
    <row r="292" spans="1:10" ht="15.75">
      <c r="A292" s="26" t="s">
        <v>325</v>
      </c>
      <c r="B292" s="17">
        <v>903</v>
      </c>
      <c r="C292" s="21" t="s">
        <v>350</v>
      </c>
      <c r="D292" s="21" t="s">
        <v>169</v>
      </c>
      <c r="E292" s="21" t="s">
        <v>359</v>
      </c>
      <c r="F292" s="21" t="s">
        <v>326</v>
      </c>
      <c r="G292" s="27">
        <f>411.9+1117.6</f>
        <v>1529.5</v>
      </c>
      <c r="H292" s="130"/>
      <c r="I292" s="151"/>
      <c r="J292" s="133"/>
    </row>
    <row r="293" spans="1:8" ht="31.5" hidden="1">
      <c r="A293" s="26" t="s">
        <v>335</v>
      </c>
      <c r="B293" s="17">
        <v>903</v>
      </c>
      <c r="C293" s="21" t="s">
        <v>350</v>
      </c>
      <c r="D293" s="21" t="s">
        <v>169</v>
      </c>
      <c r="E293" s="21" t="s">
        <v>336</v>
      </c>
      <c r="F293" s="21"/>
      <c r="G293" s="27">
        <f>G294</f>
        <v>0</v>
      </c>
      <c r="H293" s="207"/>
    </row>
    <row r="294" spans="1:8" ht="47.25" hidden="1">
      <c r="A294" s="26" t="s">
        <v>323</v>
      </c>
      <c r="B294" s="17">
        <v>903</v>
      </c>
      <c r="C294" s="21" t="s">
        <v>350</v>
      </c>
      <c r="D294" s="21" t="s">
        <v>169</v>
      </c>
      <c r="E294" s="21" t="s">
        <v>336</v>
      </c>
      <c r="F294" s="21" t="s">
        <v>324</v>
      </c>
      <c r="G294" s="27">
        <f>G295</f>
        <v>0</v>
      </c>
      <c r="H294" s="207"/>
    </row>
    <row r="295" spans="1:8" ht="15.75" hidden="1">
      <c r="A295" s="26" t="s">
        <v>325</v>
      </c>
      <c r="B295" s="17">
        <v>903</v>
      </c>
      <c r="C295" s="21" t="s">
        <v>350</v>
      </c>
      <c r="D295" s="21" t="s">
        <v>169</v>
      </c>
      <c r="E295" s="21" t="s">
        <v>336</v>
      </c>
      <c r="F295" s="21" t="s">
        <v>326</v>
      </c>
      <c r="G295" s="27">
        <v>0</v>
      </c>
      <c r="H295" s="207"/>
    </row>
    <row r="296" spans="1:8" ht="47.25" hidden="1">
      <c r="A296" s="37" t="s">
        <v>338</v>
      </c>
      <c r="B296" s="17">
        <v>903</v>
      </c>
      <c r="C296" s="21" t="s">
        <v>350</v>
      </c>
      <c r="D296" s="21" t="s">
        <v>169</v>
      </c>
      <c r="E296" s="21" t="s">
        <v>360</v>
      </c>
      <c r="F296" s="21"/>
      <c r="G296" s="27">
        <f>G297</f>
        <v>0</v>
      </c>
      <c r="H296" s="207"/>
    </row>
    <row r="297" spans="1:8" ht="47.25" hidden="1">
      <c r="A297" s="26" t="s">
        <v>323</v>
      </c>
      <c r="B297" s="17">
        <v>903</v>
      </c>
      <c r="C297" s="21" t="s">
        <v>350</v>
      </c>
      <c r="D297" s="21" t="s">
        <v>169</v>
      </c>
      <c r="E297" s="21" t="s">
        <v>360</v>
      </c>
      <c r="F297" s="21" t="s">
        <v>324</v>
      </c>
      <c r="G297" s="27">
        <f>G298</f>
        <v>0</v>
      </c>
      <c r="H297" s="207"/>
    </row>
    <row r="298" spans="1:8" ht="15.75" hidden="1">
      <c r="A298" s="26" t="s">
        <v>325</v>
      </c>
      <c r="B298" s="17">
        <v>903</v>
      </c>
      <c r="C298" s="21" t="s">
        <v>350</v>
      </c>
      <c r="D298" s="21" t="s">
        <v>169</v>
      </c>
      <c r="E298" s="21" t="s">
        <v>360</v>
      </c>
      <c r="F298" s="21" t="s">
        <v>326</v>
      </c>
      <c r="G298" s="27">
        <v>0</v>
      </c>
      <c r="H298" s="207"/>
    </row>
    <row r="299" spans="1:8" ht="47.25" customHeight="1" hidden="1">
      <c r="A299" s="26" t="s">
        <v>361</v>
      </c>
      <c r="B299" s="17">
        <v>903</v>
      </c>
      <c r="C299" s="21" t="s">
        <v>350</v>
      </c>
      <c r="D299" s="21" t="s">
        <v>169</v>
      </c>
      <c r="E299" s="21" t="s">
        <v>362</v>
      </c>
      <c r="F299" s="21"/>
      <c r="G299" s="27">
        <f>G300+G302+G304</f>
        <v>0</v>
      </c>
      <c r="H299" s="207"/>
    </row>
    <row r="300" spans="1:8" ht="94.5" hidden="1">
      <c r="A300" s="26" t="s">
        <v>178</v>
      </c>
      <c r="B300" s="17">
        <v>903</v>
      </c>
      <c r="C300" s="21" t="s">
        <v>350</v>
      </c>
      <c r="D300" s="21" t="s">
        <v>169</v>
      </c>
      <c r="E300" s="21" t="s">
        <v>362</v>
      </c>
      <c r="F300" s="21" t="s">
        <v>179</v>
      </c>
      <c r="G300" s="27">
        <f>G301</f>
        <v>0</v>
      </c>
      <c r="H300" s="207"/>
    </row>
    <row r="301" spans="1:8" ht="31.5" hidden="1">
      <c r="A301" s="26" t="s">
        <v>259</v>
      </c>
      <c r="B301" s="17">
        <v>903</v>
      </c>
      <c r="C301" s="21" t="s">
        <v>350</v>
      </c>
      <c r="D301" s="21" t="s">
        <v>169</v>
      </c>
      <c r="E301" s="21" t="s">
        <v>362</v>
      </c>
      <c r="F301" s="21" t="s">
        <v>260</v>
      </c>
      <c r="G301" s="28">
        <v>0</v>
      </c>
      <c r="H301" s="207"/>
    </row>
    <row r="302" spans="1:8" ht="31.5" hidden="1">
      <c r="A302" s="26" t="s">
        <v>182</v>
      </c>
      <c r="B302" s="17">
        <v>903</v>
      </c>
      <c r="C302" s="21" t="s">
        <v>350</v>
      </c>
      <c r="D302" s="21" t="s">
        <v>169</v>
      </c>
      <c r="E302" s="21" t="s">
        <v>362</v>
      </c>
      <c r="F302" s="21" t="s">
        <v>183</v>
      </c>
      <c r="G302" s="27">
        <f>G303</f>
        <v>0</v>
      </c>
      <c r="H302" s="207"/>
    </row>
    <row r="303" spans="1:8" ht="47.25" hidden="1">
      <c r="A303" s="26" t="s">
        <v>184</v>
      </c>
      <c r="B303" s="17">
        <v>903</v>
      </c>
      <c r="C303" s="21" t="s">
        <v>350</v>
      </c>
      <c r="D303" s="21" t="s">
        <v>169</v>
      </c>
      <c r="E303" s="21" t="s">
        <v>362</v>
      </c>
      <c r="F303" s="21" t="s">
        <v>185</v>
      </c>
      <c r="G303" s="28">
        <v>0</v>
      </c>
      <c r="H303" s="207"/>
    </row>
    <row r="304" spans="1:8" ht="15.75" hidden="1">
      <c r="A304" s="26" t="s">
        <v>186</v>
      </c>
      <c r="B304" s="17">
        <v>903</v>
      </c>
      <c r="C304" s="21" t="s">
        <v>350</v>
      </c>
      <c r="D304" s="21" t="s">
        <v>169</v>
      </c>
      <c r="E304" s="21" t="s">
        <v>362</v>
      </c>
      <c r="F304" s="21" t="s">
        <v>196</v>
      </c>
      <c r="G304" s="27">
        <f>G305</f>
        <v>0</v>
      </c>
      <c r="H304" s="207"/>
    </row>
    <row r="305" spans="1:8" ht="15.75" hidden="1">
      <c r="A305" s="26" t="s">
        <v>188</v>
      </c>
      <c r="B305" s="17">
        <v>903</v>
      </c>
      <c r="C305" s="21" t="s">
        <v>350</v>
      </c>
      <c r="D305" s="21" t="s">
        <v>169</v>
      </c>
      <c r="E305" s="21" t="s">
        <v>362</v>
      </c>
      <c r="F305" s="21" t="s">
        <v>189</v>
      </c>
      <c r="G305" s="27">
        <v>0</v>
      </c>
      <c r="H305" s="207"/>
    </row>
    <row r="306" spans="1:8" ht="47.25">
      <c r="A306" s="26" t="s">
        <v>363</v>
      </c>
      <c r="B306" s="17">
        <v>903</v>
      </c>
      <c r="C306" s="21" t="s">
        <v>350</v>
      </c>
      <c r="D306" s="21" t="s">
        <v>169</v>
      </c>
      <c r="E306" s="21" t="s">
        <v>364</v>
      </c>
      <c r="F306" s="21"/>
      <c r="G306" s="27">
        <f>G307+G330+G318+G321+G324+G327+G310+G315</f>
        <v>16660.600000000002</v>
      </c>
      <c r="H306" s="207"/>
    </row>
    <row r="307" spans="1:8" ht="51" customHeight="1">
      <c r="A307" s="26" t="s">
        <v>354</v>
      </c>
      <c r="B307" s="17">
        <v>903</v>
      </c>
      <c r="C307" s="21" t="s">
        <v>350</v>
      </c>
      <c r="D307" s="21" t="s">
        <v>169</v>
      </c>
      <c r="E307" s="21" t="s">
        <v>365</v>
      </c>
      <c r="F307" s="21"/>
      <c r="G307" s="27">
        <f>G308</f>
        <v>16655.2</v>
      </c>
      <c r="H307" s="207"/>
    </row>
    <row r="308" spans="1:8" ht="47.25">
      <c r="A308" s="26" t="s">
        <v>323</v>
      </c>
      <c r="B308" s="17">
        <v>903</v>
      </c>
      <c r="C308" s="21" t="s">
        <v>350</v>
      </c>
      <c r="D308" s="21" t="s">
        <v>169</v>
      </c>
      <c r="E308" s="21" t="s">
        <v>365</v>
      </c>
      <c r="F308" s="21" t="s">
        <v>324</v>
      </c>
      <c r="G308" s="27">
        <f>G309</f>
        <v>16655.2</v>
      </c>
      <c r="H308" s="207"/>
    </row>
    <row r="309" spans="1:9" ht="15.75">
      <c r="A309" s="26" t="s">
        <v>325</v>
      </c>
      <c r="B309" s="17">
        <v>903</v>
      </c>
      <c r="C309" s="21" t="s">
        <v>350</v>
      </c>
      <c r="D309" s="21" t="s">
        <v>169</v>
      </c>
      <c r="E309" s="21" t="s">
        <v>365</v>
      </c>
      <c r="F309" s="21" t="s">
        <v>326</v>
      </c>
      <c r="G309" s="28">
        <f>18073+419.6-1705.8+78.4-210</f>
        <v>16655.2</v>
      </c>
      <c r="H309" s="130"/>
      <c r="I309" s="151"/>
    </row>
    <row r="310" spans="1:8" ht="38.25" customHeight="1">
      <c r="A310" s="26" t="s">
        <v>366</v>
      </c>
      <c r="B310" s="17">
        <v>903</v>
      </c>
      <c r="C310" s="21" t="s">
        <v>350</v>
      </c>
      <c r="D310" s="21" t="s">
        <v>169</v>
      </c>
      <c r="E310" s="21" t="s">
        <v>367</v>
      </c>
      <c r="F310" s="21"/>
      <c r="G310" s="28">
        <f>G311+G313</f>
        <v>5</v>
      </c>
      <c r="H310" s="207"/>
    </row>
    <row r="311" spans="1:8" ht="31.5" hidden="1">
      <c r="A311" s="26" t="s">
        <v>182</v>
      </c>
      <c r="B311" s="17">
        <v>903</v>
      </c>
      <c r="C311" s="21" t="s">
        <v>350</v>
      </c>
      <c r="D311" s="21" t="s">
        <v>169</v>
      </c>
      <c r="E311" s="21" t="s">
        <v>367</v>
      </c>
      <c r="F311" s="21" t="s">
        <v>183</v>
      </c>
      <c r="G311" s="28">
        <f>G312</f>
        <v>0</v>
      </c>
      <c r="H311" s="207"/>
    </row>
    <row r="312" spans="1:8" ht="47.25" hidden="1">
      <c r="A312" s="26" t="s">
        <v>184</v>
      </c>
      <c r="B312" s="17">
        <v>903</v>
      </c>
      <c r="C312" s="21" t="s">
        <v>350</v>
      </c>
      <c r="D312" s="21" t="s">
        <v>169</v>
      </c>
      <c r="E312" s="21" t="s">
        <v>367</v>
      </c>
      <c r="F312" s="21" t="s">
        <v>185</v>
      </c>
      <c r="G312" s="28">
        <v>0</v>
      </c>
      <c r="H312" s="207"/>
    </row>
    <row r="313" spans="1:8" ht="47.25">
      <c r="A313" s="26" t="s">
        <v>323</v>
      </c>
      <c r="B313" s="17">
        <v>903</v>
      </c>
      <c r="C313" s="21" t="s">
        <v>350</v>
      </c>
      <c r="D313" s="21" t="s">
        <v>169</v>
      </c>
      <c r="E313" s="21" t="s">
        <v>367</v>
      </c>
      <c r="F313" s="21" t="s">
        <v>324</v>
      </c>
      <c r="G313" s="28">
        <f>G314</f>
        <v>5</v>
      </c>
      <c r="H313" s="207"/>
    </row>
    <row r="314" spans="1:8" ht="15.75">
      <c r="A314" s="26" t="s">
        <v>325</v>
      </c>
      <c r="B314" s="17">
        <v>903</v>
      </c>
      <c r="C314" s="21" t="s">
        <v>350</v>
      </c>
      <c r="D314" s="21" t="s">
        <v>169</v>
      </c>
      <c r="E314" s="21" t="s">
        <v>367</v>
      </c>
      <c r="F314" s="21" t="s">
        <v>326</v>
      </c>
      <c r="G314" s="28">
        <v>5</v>
      </c>
      <c r="H314" s="207"/>
    </row>
    <row r="315" spans="1:8" ht="15.75">
      <c r="A315" s="26" t="s">
        <v>761</v>
      </c>
      <c r="B315" s="17">
        <v>903</v>
      </c>
      <c r="C315" s="21" t="s">
        <v>350</v>
      </c>
      <c r="D315" s="21" t="s">
        <v>169</v>
      </c>
      <c r="E315" s="21" t="s">
        <v>762</v>
      </c>
      <c r="F315" s="21"/>
      <c r="G315" s="28">
        <f>G316</f>
        <v>0.4</v>
      </c>
      <c r="H315" s="207"/>
    </row>
    <row r="316" spans="1:8" ht="47.25">
      <c r="A316" s="26" t="s">
        <v>323</v>
      </c>
      <c r="B316" s="17">
        <v>903</v>
      </c>
      <c r="C316" s="21" t="s">
        <v>350</v>
      </c>
      <c r="D316" s="21" t="s">
        <v>169</v>
      </c>
      <c r="E316" s="21" t="s">
        <v>762</v>
      </c>
      <c r="F316" s="21" t="s">
        <v>324</v>
      </c>
      <c r="G316" s="28">
        <f>G317</f>
        <v>0.4</v>
      </c>
      <c r="H316" s="207"/>
    </row>
    <row r="317" spans="1:8" ht="15.75">
      <c r="A317" s="26" t="s">
        <v>325</v>
      </c>
      <c r="B317" s="17">
        <v>903</v>
      </c>
      <c r="C317" s="21" t="s">
        <v>350</v>
      </c>
      <c r="D317" s="21" t="s">
        <v>169</v>
      </c>
      <c r="E317" s="21" t="s">
        <v>762</v>
      </c>
      <c r="F317" s="21" t="s">
        <v>326</v>
      </c>
      <c r="G317" s="28">
        <v>0.4</v>
      </c>
      <c r="H317" s="130"/>
    </row>
    <row r="318" spans="1:8" ht="47.25" hidden="1">
      <c r="A318" s="26" t="s">
        <v>327</v>
      </c>
      <c r="B318" s="17">
        <v>903</v>
      </c>
      <c r="C318" s="21" t="s">
        <v>350</v>
      </c>
      <c r="D318" s="21" t="s">
        <v>169</v>
      </c>
      <c r="E318" s="21" t="s">
        <v>368</v>
      </c>
      <c r="F318" s="21"/>
      <c r="G318" s="27">
        <f>G319</f>
        <v>0</v>
      </c>
      <c r="H318" s="207"/>
    </row>
    <row r="319" spans="1:8" ht="47.25" hidden="1">
      <c r="A319" s="26" t="s">
        <v>323</v>
      </c>
      <c r="B319" s="17">
        <v>903</v>
      </c>
      <c r="C319" s="21" t="s">
        <v>350</v>
      </c>
      <c r="D319" s="21" t="s">
        <v>169</v>
      </c>
      <c r="E319" s="21" t="s">
        <v>368</v>
      </c>
      <c r="F319" s="21" t="s">
        <v>324</v>
      </c>
      <c r="G319" s="27">
        <f>G320</f>
        <v>0</v>
      </c>
      <c r="H319" s="207"/>
    </row>
    <row r="320" spans="1:8" ht="15.75" hidden="1">
      <c r="A320" s="26" t="s">
        <v>325</v>
      </c>
      <c r="B320" s="17">
        <v>903</v>
      </c>
      <c r="C320" s="21" t="s">
        <v>350</v>
      </c>
      <c r="D320" s="21" t="s">
        <v>169</v>
      </c>
      <c r="E320" s="21" t="s">
        <v>368</v>
      </c>
      <c r="F320" s="21" t="s">
        <v>326</v>
      </c>
      <c r="G320" s="27">
        <v>0</v>
      </c>
      <c r="H320" s="207"/>
    </row>
    <row r="321" spans="1:8" ht="47.25" hidden="1">
      <c r="A321" s="26" t="s">
        <v>329</v>
      </c>
      <c r="B321" s="17">
        <v>903</v>
      </c>
      <c r="C321" s="21" t="s">
        <v>350</v>
      </c>
      <c r="D321" s="21" t="s">
        <v>169</v>
      </c>
      <c r="E321" s="21" t="s">
        <v>369</v>
      </c>
      <c r="F321" s="21"/>
      <c r="G321" s="27">
        <f>G322</f>
        <v>0</v>
      </c>
      <c r="H321" s="207"/>
    </row>
    <row r="322" spans="1:8" ht="47.25" hidden="1">
      <c r="A322" s="26" t="s">
        <v>323</v>
      </c>
      <c r="B322" s="17">
        <v>903</v>
      </c>
      <c r="C322" s="21" t="s">
        <v>350</v>
      </c>
      <c r="D322" s="21" t="s">
        <v>169</v>
      </c>
      <c r="E322" s="21" t="s">
        <v>369</v>
      </c>
      <c r="F322" s="21" t="s">
        <v>324</v>
      </c>
      <c r="G322" s="27">
        <f>G323</f>
        <v>0</v>
      </c>
      <c r="H322" s="207"/>
    </row>
    <row r="323" spans="1:8" ht="15.75" hidden="1">
      <c r="A323" s="26" t="s">
        <v>325</v>
      </c>
      <c r="B323" s="17">
        <v>903</v>
      </c>
      <c r="C323" s="21" t="s">
        <v>350</v>
      </c>
      <c r="D323" s="21" t="s">
        <v>169</v>
      </c>
      <c r="E323" s="21" t="s">
        <v>369</v>
      </c>
      <c r="F323" s="21" t="s">
        <v>326</v>
      </c>
      <c r="G323" s="27">
        <v>0</v>
      </c>
      <c r="H323" s="207"/>
    </row>
    <row r="324" spans="1:8" ht="31.5" hidden="1">
      <c r="A324" s="26" t="s">
        <v>331</v>
      </c>
      <c r="B324" s="17">
        <v>903</v>
      </c>
      <c r="C324" s="21" t="s">
        <v>350</v>
      </c>
      <c r="D324" s="21" t="s">
        <v>169</v>
      </c>
      <c r="E324" s="21" t="s">
        <v>370</v>
      </c>
      <c r="F324" s="21"/>
      <c r="G324" s="27">
        <f>G325</f>
        <v>0</v>
      </c>
      <c r="H324" s="207"/>
    </row>
    <row r="325" spans="1:8" ht="47.25" hidden="1">
      <c r="A325" s="26" t="s">
        <v>323</v>
      </c>
      <c r="B325" s="17">
        <v>903</v>
      </c>
      <c r="C325" s="21" t="s">
        <v>350</v>
      </c>
      <c r="D325" s="21" t="s">
        <v>169</v>
      </c>
      <c r="E325" s="21" t="s">
        <v>370</v>
      </c>
      <c r="F325" s="21" t="s">
        <v>324</v>
      </c>
      <c r="G325" s="27">
        <f>G326</f>
        <v>0</v>
      </c>
      <c r="H325" s="207"/>
    </row>
    <row r="326" spans="1:8" ht="15.75" hidden="1">
      <c r="A326" s="26" t="s">
        <v>325</v>
      </c>
      <c r="B326" s="17">
        <v>903</v>
      </c>
      <c r="C326" s="21" t="s">
        <v>350</v>
      </c>
      <c r="D326" s="21" t="s">
        <v>169</v>
      </c>
      <c r="E326" s="21" t="s">
        <v>370</v>
      </c>
      <c r="F326" s="21" t="s">
        <v>326</v>
      </c>
      <c r="G326" s="27">
        <v>0</v>
      </c>
      <c r="H326" s="207"/>
    </row>
    <row r="327" spans="1:8" ht="31.5" hidden="1">
      <c r="A327" s="26" t="s">
        <v>335</v>
      </c>
      <c r="B327" s="17">
        <v>903</v>
      </c>
      <c r="C327" s="21" t="s">
        <v>350</v>
      </c>
      <c r="D327" s="21" t="s">
        <v>169</v>
      </c>
      <c r="E327" s="21" t="s">
        <v>371</v>
      </c>
      <c r="F327" s="21"/>
      <c r="G327" s="27">
        <f>G328</f>
        <v>0</v>
      </c>
      <c r="H327" s="207"/>
    </row>
    <row r="328" spans="1:8" ht="47.25" hidden="1">
      <c r="A328" s="26" t="s">
        <v>323</v>
      </c>
      <c r="B328" s="17">
        <v>903</v>
      </c>
      <c r="C328" s="21" t="s">
        <v>350</v>
      </c>
      <c r="D328" s="21" t="s">
        <v>169</v>
      </c>
      <c r="E328" s="21" t="s">
        <v>371</v>
      </c>
      <c r="F328" s="21" t="s">
        <v>324</v>
      </c>
      <c r="G328" s="27">
        <f>G329</f>
        <v>0</v>
      </c>
      <c r="H328" s="207"/>
    </row>
    <row r="329" spans="1:8" ht="15.75" hidden="1">
      <c r="A329" s="26" t="s">
        <v>325</v>
      </c>
      <c r="B329" s="17">
        <v>903</v>
      </c>
      <c r="C329" s="21" t="s">
        <v>350</v>
      </c>
      <c r="D329" s="21" t="s">
        <v>169</v>
      </c>
      <c r="E329" s="21" t="s">
        <v>371</v>
      </c>
      <c r="F329" s="21" t="s">
        <v>326</v>
      </c>
      <c r="G329" s="27">
        <v>0</v>
      </c>
      <c r="H329" s="207"/>
    </row>
    <row r="330" spans="1:8" ht="47.25" hidden="1">
      <c r="A330" s="37" t="s">
        <v>372</v>
      </c>
      <c r="B330" s="17">
        <v>903</v>
      </c>
      <c r="C330" s="21" t="s">
        <v>350</v>
      </c>
      <c r="D330" s="21" t="s">
        <v>169</v>
      </c>
      <c r="E330" s="21" t="s">
        <v>373</v>
      </c>
      <c r="F330" s="21"/>
      <c r="G330" s="27">
        <f>G331</f>
        <v>0</v>
      </c>
      <c r="H330" s="207"/>
    </row>
    <row r="331" spans="1:8" ht="47.25" hidden="1">
      <c r="A331" s="26" t="s">
        <v>323</v>
      </c>
      <c r="B331" s="17">
        <v>903</v>
      </c>
      <c r="C331" s="21" t="s">
        <v>350</v>
      </c>
      <c r="D331" s="21" t="s">
        <v>169</v>
      </c>
      <c r="E331" s="21" t="s">
        <v>373</v>
      </c>
      <c r="F331" s="21" t="s">
        <v>324</v>
      </c>
      <c r="G331" s="27">
        <f>G332</f>
        <v>0</v>
      </c>
      <c r="H331" s="207"/>
    </row>
    <row r="332" spans="1:8" ht="15.75" hidden="1">
      <c r="A332" s="26" t="s">
        <v>325</v>
      </c>
      <c r="B332" s="17">
        <v>903</v>
      </c>
      <c r="C332" s="21" t="s">
        <v>350</v>
      </c>
      <c r="D332" s="21" t="s">
        <v>169</v>
      </c>
      <c r="E332" s="21" t="s">
        <v>373</v>
      </c>
      <c r="F332" s="21" t="s">
        <v>326</v>
      </c>
      <c r="G332" s="27">
        <v>0</v>
      </c>
      <c r="H332" s="207"/>
    </row>
    <row r="333" spans="1:8" ht="78.75">
      <c r="A333" s="31" t="s">
        <v>374</v>
      </c>
      <c r="B333" s="17">
        <v>903</v>
      </c>
      <c r="C333" s="21" t="s">
        <v>350</v>
      </c>
      <c r="D333" s="21" t="s">
        <v>169</v>
      </c>
      <c r="E333" s="42" t="s">
        <v>375</v>
      </c>
      <c r="F333" s="21"/>
      <c r="G333" s="27">
        <f>G334</f>
        <v>200</v>
      </c>
      <c r="H333" s="207"/>
    </row>
    <row r="334" spans="1:8" ht="47.25">
      <c r="A334" s="26" t="s">
        <v>376</v>
      </c>
      <c r="B334" s="17">
        <v>903</v>
      </c>
      <c r="C334" s="21" t="s">
        <v>350</v>
      </c>
      <c r="D334" s="21" t="s">
        <v>169</v>
      </c>
      <c r="E334" s="42" t="s">
        <v>377</v>
      </c>
      <c r="F334" s="21"/>
      <c r="G334" s="27">
        <f>G335</f>
        <v>200</v>
      </c>
      <c r="H334" s="207"/>
    </row>
    <row r="335" spans="1:8" ht="47.25">
      <c r="A335" s="26" t="s">
        <v>323</v>
      </c>
      <c r="B335" s="17">
        <v>903</v>
      </c>
      <c r="C335" s="21" t="s">
        <v>350</v>
      </c>
      <c r="D335" s="21" t="s">
        <v>169</v>
      </c>
      <c r="E335" s="42" t="s">
        <v>377</v>
      </c>
      <c r="F335" s="21" t="s">
        <v>324</v>
      </c>
      <c r="G335" s="27">
        <f>G336</f>
        <v>200</v>
      </c>
      <c r="H335" s="207"/>
    </row>
    <row r="336" spans="1:8" ht="15.75">
      <c r="A336" s="26" t="s">
        <v>325</v>
      </c>
      <c r="B336" s="17">
        <v>903</v>
      </c>
      <c r="C336" s="21" t="s">
        <v>350</v>
      </c>
      <c r="D336" s="21" t="s">
        <v>169</v>
      </c>
      <c r="E336" s="42" t="s">
        <v>377</v>
      </c>
      <c r="F336" s="21" t="s">
        <v>326</v>
      </c>
      <c r="G336" s="27">
        <v>200</v>
      </c>
      <c r="H336" s="207"/>
    </row>
    <row r="337" spans="1:8" ht="15.75">
      <c r="A337" s="26" t="s">
        <v>172</v>
      </c>
      <c r="B337" s="17">
        <v>903</v>
      </c>
      <c r="C337" s="21" t="s">
        <v>350</v>
      </c>
      <c r="D337" s="21" t="s">
        <v>169</v>
      </c>
      <c r="E337" s="21" t="s">
        <v>173</v>
      </c>
      <c r="F337" s="21"/>
      <c r="G337" s="27">
        <f>G338</f>
        <v>2137.9</v>
      </c>
      <c r="H337" s="207"/>
    </row>
    <row r="338" spans="1:8" ht="31.5">
      <c r="A338" s="26" t="s">
        <v>236</v>
      </c>
      <c r="B338" s="17">
        <v>903</v>
      </c>
      <c r="C338" s="21" t="s">
        <v>350</v>
      </c>
      <c r="D338" s="21" t="s">
        <v>169</v>
      </c>
      <c r="E338" s="21" t="s">
        <v>237</v>
      </c>
      <c r="F338" s="21"/>
      <c r="G338" s="27">
        <f>G339+G344+G349+G352+G355</f>
        <v>2137.9</v>
      </c>
      <c r="H338" s="207"/>
    </row>
    <row r="339" spans="1:8" ht="31.5" hidden="1">
      <c r="A339" s="38" t="s">
        <v>378</v>
      </c>
      <c r="B339" s="39">
        <v>903</v>
      </c>
      <c r="C339" s="21" t="s">
        <v>350</v>
      </c>
      <c r="D339" s="21" t="s">
        <v>169</v>
      </c>
      <c r="E339" s="21" t="s">
        <v>379</v>
      </c>
      <c r="F339" s="21"/>
      <c r="G339" s="27">
        <f>G340+G342</f>
        <v>0</v>
      </c>
      <c r="H339" s="207"/>
    </row>
    <row r="340" spans="1:8" ht="31.5" hidden="1">
      <c r="A340" s="26" t="s">
        <v>182</v>
      </c>
      <c r="B340" s="39">
        <v>903</v>
      </c>
      <c r="C340" s="21" t="s">
        <v>350</v>
      </c>
      <c r="D340" s="21" t="s">
        <v>169</v>
      </c>
      <c r="E340" s="21" t="s">
        <v>379</v>
      </c>
      <c r="F340" s="21" t="s">
        <v>183</v>
      </c>
      <c r="G340" s="27">
        <f>G341</f>
        <v>0</v>
      </c>
      <c r="H340" s="207"/>
    </row>
    <row r="341" spans="1:9" ht="47.25" hidden="1">
      <c r="A341" s="26" t="s">
        <v>184</v>
      </c>
      <c r="B341" s="17">
        <v>903</v>
      </c>
      <c r="C341" s="21" t="s">
        <v>350</v>
      </c>
      <c r="D341" s="21" t="s">
        <v>169</v>
      </c>
      <c r="E341" s="21" t="s">
        <v>379</v>
      </c>
      <c r="F341" s="21" t="s">
        <v>185</v>
      </c>
      <c r="G341" s="27">
        <f>1.4-1.4</f>
        <v>0</v>
      </c>
      <c r="H341" s="207"/>
      <c r="I341" s="139"/>
    </row>
    <row r="342" spans="1:8" ht="47.25" hidden="1">
      <c r="A342" s="26" t="s">
        <v>323</v>
      </c>
      <c r="B342" s="17">
        <v>903</v>
      </c>
      <c r="C342" s="21" t="s">
        <v>350</v>
      </c>
      <c r="D342" s="21" t="s">
        <v>169</v>
      </c>
      <c r="E342" s="21" t="s">
        <v>379</v>
      </c>
      <c r="F342" s="21" t="s">
        <v>324</v>
      </c>
      <c r="G342" s="27">
        <f>G343</f>
        <v>0</v>
      </c>
      <c r="H342" s="207"/>
    </row>
    <row r="343" spans="1:9" ht="15.75" hidden="1">
      <c r="A343" s="26" t="s">
        <v>325</v>
      </c>
      <c r="B343" s="17">
        <v>903</v>
      </c>
      <c r="C343" s="21" t="s">
        <v>350</v>
      </c>
      <c r="D343" s="21" t="s">
        <v>169</v>
      </c>
      <c r="E343" s="21" t="s">
        <v>379</v>
      </c>
      <c r="F343" s="21" t="s">
        <v>326</v>
      </c>
      <c r="G343" s="27">
        <f>2.9-2.9</f>
        <v>0</v>
      </c>
      <c r="H343" s="207"/>
      <c r="I343" s="139"/>
    </row>
    <row r="344" spans="1:8" ht="31.5">
      <c r="A344" s="26" t="s">
        <v>380</v>
      </c>
      <c r="B344" s="17">
        <v>903</v>
      </c>
      <c r="C344" s="21" t="s">
        <v>350</v>
      </c>
      <c r="D344" s="21" t="s">
        <v>169</v>
      </c>
      <c r="E344" s="21" t="s">
        <v>381</v>
      </c>
      <c r="F344" s="21"/>
      <c r="G344" s="27">
        <f>G345+G347</f>
        <v>177.3</v>
      </c>
      <c r="H344" s="207"/>
    </row>
    <row r="345" spans="1:8" ht="31.5" hidden="1">
      <c r="A345" s="26" t="s">
        <v>182</v>
      </c>
      <c r="B345" s="17">
        <v>903</v>
      </c>
      <c r="C345" s="21" t="s">
        <v>350</v>
      </c>
      <c r="D345" s="21" t="s">
        <v>169</v>
      </c>
      <c r="E345" s="21" t="s">
        <v>381</v>
      </c>
      <c r="F345" s="21" t="s">
        <v>183</v>
      </c>
      <c r="G345" s="27">
        <f>G346</f>
        <v>0</v>
      </c>
      <c r="H345" s="207"/>
    </row>
    <row r="346" spans="1:8" ht="47.25" hidden="1">
      <c r="A346" s="26" t="s">
        <v>184</v>
      </c>
      <c r="B346" s="17">
        <v>903</v>
      </c>
      <c r="C346" s="21" t="s">
        <v>350</v>
      </c>
      <c r="D346" s="21" t="s">
        <v>169</v>
      </c>
      <c r="E346" s="21" t="s">
        <v>381</v>
      </c>
      <c r="F346" s="40">
        <v>240</v>
      </c>
      <c r="G346" s="27">
        <v>0</v>
      </c>
      <c r="H346" s="207"/>
    </row>
    <row r="347" spans="1:8" ht="47.25">
      <c r="A347" s="26" t="s">
        <v>323</v>
      </c>
      <c r="B347" s="17">
        <v>903</v>
      </c>
      <c r="C347" s="21" t="s">
        <v>350</v>
      </c>
      <c r="D347" s="21" t="s">
        <v>169</v>
      </c>
      <c r="E347" s="21" t="s">
        <v>381</v>
      </c>
      <c r="F347" s="21" t="s">
        <v>324</v>
      </c>
      <c r="G347" s="27">
        <f>G348</f>
        <v>177.3</v>
      </c>
      <c r="H347" s="207"/>
    </row>
    <row r="348" spans="1:9" ht="15.75">
      <c r="A348" s="26" t="s">
        <v>325</v>
      </c>
      <c r="B348" s="17">
        <v>903</v>
      </c>
      <c r="C348" s="21" t="s">
        <v>350</v>
      </c>
      <c r="D348" s="21" t="s">
        <v>169</v>
      </c>
      <c r="E348" s="21" t="s">
        <v>381</v>
      </c>
      <c r="F348" s="21" t="s">
        <v>326</v>
      </c>
      <c r="G348" s="27">
        <f>274.5-97.2</f>
        <v>177.3</v>
      </c>
      <c r="H348" s="207"/>
      <c r="I348" s="139"/>
    </row>
    <row r="349" spans="1:8" ht="78.75">
      <c r="A349" s="26" t="s">
        <v>382</v>
      </c>
      <c r="B349" s="17">
        <v>903</v>
      </c>
      <c r="C349" s="21" t="s">
        <v>350</v>
      </c>
      <c r="D349" s="21" t="s">
        <v>169</v>
      </c>
      <c r="E349" s="21" t="s">
        <v>383</v>
      </c>
      <c r="F349" s="21"/>
      <c r="G349" s="27">
        <f>G350</f>
        <v>263.3</v>
      </c>
      <c r="H349" s="207"/>
    </row>
    <row r="350" spans="1:8" ht="47.25">
      <c r="A350" s="26" t="s">
        <v>323</v>
      </c>
      <c r="B350" s="17">
        <v>903</v>
      </c>
      <c r="C350" s="21" t="s">
        <v>350</v>
      </c>
      <c r="D350" s="21" t="s">
        <v>169</v>
      </c>
      <c r="E350" s="21" t="s">
        <v>383</v>
      </c>
      <c r="F350" s="21" t="s">
        <v>324</v>
      </c>
      <c r="G350" s="27">
        <f>G351</f>
        <v>263.3</v>
      </c>
      <c r="H350" s="207"/>
    </row>
    <row r="351" spans="1:9" ht="15.75">
      <c r="A351" s="26" t="s">
        <v>325</v>
      </c>
      <c r="B351" s="17">
        <v>903</v>
      </c>
      <c r="C351" s="21" t="s">
        <v>350</v>
      </c>
      <c r="D351" s="21" t="s">
        <v>169</v>
      </c>
      <c r="E351" s="21" t="s">
        <v>383</v>
      </c>
      <c r="F351" s="21" t="s">
        <v>326</v>
      </c>
      <c r="G351" s="27">
        <f>247.6+15.7</f>
        <v>263.3</v>
      </c>
      <c r="H351" s="207"/>
      <c r="I351" s="139"/>
    </row>
    <row r="352" spans="1:8" ht="110.25">
      <c r="A352" s="33" t="s">
        <v>344</v>
      </c>
      <c r="B352" s="17">
        <v>903</v>
      </c>
      <c r="C352" s="21" t="s">
        <v>350</v>
      </c>
      <c r="D352" s="21" t="s">
        <v>169</v>
      </c>
      <c r="E352" s="21" t="s">
        <v>345</v>
      </c>
      <c r="F352" s="21"/>
      <c r="G352" s="27">
        <f>G353</f>
        <v>1693.3000000000002</v>
      </c>
      <c r="H352" s="207"/>
    </row>
    <row r="353" spans="1:8" ht="47.25">
      <c r="A353" s="26" t="s">
        <v>323</v>
      </c>
      <c r="B353" s="17">
        <v>903</v>
      </c>
      <c r="C353" s="21" t="s">
        <v>350</v>
      </c>
      <c r="D353" s="21" t="s">
        <v>169</v>
      </c>
      <c r="E353" s="21" t="s">
        <v>345</v>
      </c>
      <c r="F353" s="21" t="s">
        <v>324</v>
      </c>
      <c r="G353" s="27">
        <f>G354</f>
        <v>1693.3000000000002</v>
      </c>
      <c r="H353" s="207"/>
    </row>
    <row r="354" spans="1:8" ht="15.75">
      <c r="A354" s="26" t="s">
        <v>325</v>
      </c>
      <c r="B354" s="17">
        <v>903</v>
      </c>
      <c r="C354" s="21" t="s">
        <v>350</v>
      </c>
      <c r="D354" s="21" t="s">
        <v>169</v>
      </c>
      <c r="E354" s="21" t="s">
        <v>345</v>
      </c>
      <c r="F354" s="21" t="s">
        <v>326</v>
      </c>
      <c r="G354" s="27">
        <f>1929.4-236.1</f>
        <v>1693.3000000000002</v>
      </c>
      <c r="H354" s="207"/>
    </row>
    <row r="355" spans="1:8" ht="15.75">
      <c r="A355" s="33" t="s">
        <v>763</v>
      </c>
      <c r="B355" s="17">
        <v>903</v>
      </c>
      <c r="C355" s="21" t="s">
        <v>350</v>
      </c>
      <c r="D355" s="21" t="s">
        <v>169</v>
      </c>
      <c r="E355" s="21" t="s">
        <v>764</v>
      </c>
      <c r="F355" s="21"/>
      <c r="G355" s="27">
        <f>G356</f>
        <v>4</v>
      </c>
      <c r="H355" s="207"/>
    </row>
    <row r="356" spans="1:8" ht="47.25">
      <c r="A356" s="26" t="s">
        <v>323</v>
      </c>
      <c r="B356" s="17">
        <v>903</v>
      </c>
      <c r="C356" s="21" t="s">
        <v>350</v>
      </c>
      <c r="D356" s="21" t="s">
        <v>169</v>
      </c>
      <c r="E356" s="21" t="s">
        <v>764</v>
      </c>
      <c r="F356" s="21" t="s">
        <v>324</v>
      </c>
      <c r="G356" s="27">
        <f>G357</f>
        <v>4</v>
      </c>
      <c r="H356" s="207"/>
    </row>
    <row r="357" spans="1:8" ht="15.75">
      <c r="A357" s="26" t="s">
        <v>325</v>
      </c>
      <c r="B357" s="17">
        <v>903</v>
      </c>
      <c r="C357" s="21" t="s">
        <v>350</v>
      </c>
      <c r="D357" s="21" t="s">
        <v>169</v>
      </c>
      <c r="E357" s="21" t="s">
        <v>764</v>
      </c>
      <c r="F357" s="21" t="s">
        <v>326</v>
      </c>
      <c r="G357" s="27">
        <v>4</v>
      </c>
      <c r="H357" s="130"/>
    </row>
    <row r="358" spans="1:8" ht="31.5">
      <c r="A358" s="24" t="s">
        <v>384</v>
      </c>
      <c r="B358" s="20">
        <v>903</v>
      </c>
      <c r="C358" s="25" t="s">
        <v>350</v>
      </c>
      <c r="D358" s="25" t="s">
        <v>201</v>
      </c>
      <c r="E358" s="25"/>
      <c r="F358" s="25"/>
      <c r="G358" s="22">
        <f>G359+G373+G369</f>
        <v>17278.8</v>
      </c>
      <c r="H358" s="207"/>
    </row>
    <row r="359" spans="1:9" ht="47.25">
      <c r="A359" s="26" t="s">
        <v>385</v>
      </c>
      <c r="B359" s="17">
        <v>903</v>
      </c>
      <c r="C359" s="21" t="s">
        <v>350</v>
      </c>
      <c r="D359" s="21" t="s">
        <v>201</v>
      </c>
      <c r="E359" s="21" t="s">
        <v>386</v>
      </c>
      <c r="F359" s="21"/>
      <c r="G359" s="27">
        <f>G360+G363+G366</f>
        <v>125</v>
      </c>
      <c r="H359" s="207"/>
      <c r="I359" s="139"/>
    </row>
    <row r="360" spans="1:8" ht="31.5" hidden="1">
      <c r="A360" s="26" t="s">
        <v>387</v>
      </c>
      <c r="B360" s="17">
        <v>903</v>
      </c>
      <c r="C360" s="21" t="s">
        <v>350</v>
      </c>
      <c r="D360" s="21" t="s">
        <v>201</v>
      </c>
      <c r="E360" s="21" t="s">
        <v>388</v>
      </c>
      <c r="F360" s="21"/>
      <c r="G360" s="27">
        <f>G361</f>
        <v>0</v>
      </c>
      <c r="H360" s="207"/>
    </row>
    <row r="361" spans="1:8" ht="31.5" hidden="1">
      <c r="A361" s="26" t="s">
        <v>182</v>
      </c>
      <c r="B361" s="17">
        <v>903</v>
      </c>
      <c r="C361" s="21" t="s">
        <v>350</v>
      </c>
      <c r="D361" s="21" t="s">
        <v>201</v>
      </c>
      <c r="E361" s="21" t="s">
        <v>388</v>
      </c>
      <c r="F361" s="21" t="s">
        <v>183</v>
      </c>
      <c r="G361" s="27">
        <f>G362</f>
        <v>0</v>
      </c>
      <c r="H361" s="207"/>
    </row>
    <row r="362" spans="1:8" ht="47.25" hidden="1">
      <c r="A362" s="26" t="s">
        <v>184</v>
      </c>
      <c r="B362" s="17">
        <v>903</v>
      </c>
      <c r="C362" s="21" t="s">
        <v>350</v>
      </c>
      <c r="D362" s="21" t="s">
        <v>201</v>
      </c>
      <c r="E362" s="21" t="s">
        <v>388</v>
      </c>
      <c r="F362" s="21" t="s">
        <v>185</v>
      </c>
      <c r="G362" s="27">
        <v>0</v>
      </c>
      <c r="H362" s="207"/>
    </row>
    <row r="363" spans="1:8" ht="31.5">
      <c r="A363" s="26" t="s">
        <v>389</v>
      </c>
      <c r="B363" s="17">
        <v>903</v>
      </c>
      <c r="C363" s="21" t="s">
        <v>350</v>
      </c>
      <c r="D363" s="21" t="s">
        <v>201</v>
      </c>
      <c r="E363" s="21" t="s">
        <v>390</v>
      </c>
      <c r="F363" s="21"/>
      <c r="G363" s="27">
        <f>G364</f>
        <v>20</v>
      </c>
      <c r="H363" s="207"/>
    </row>
    <row r="364" spans="1:8" ht="31.5">
      <c r="A364" s="26" t="s">
        <v>182</v>
      </c>
      <c r="B364" s="17">
        <v>903</v>
      </c>
      <c r="C364" s="21" t="s">
        <v>350</v>
      </c>
      <c r="D364" s="21" t="s">
        <v>201</v>
      </c>
      <c r="E364" s="21" t="s">
        <v>390</v>
      </c>
      <c r="F364" s="21" t="s">
        <v>183</v>
      </c>
      <c r="G364" s="27">
        <f>G365</f>
        <v>20</v>
      </c>
      <c r="H364" s="207"/>
    </row>
    <row r="365" spans="1:8" ht="47.25">
      <c r="A365" s="26" t="s">
        <v>184</v>
      </c>
      <c r="B365" s="17">
        <v>903</v>
      </c>
      <c r="C365" s="21" t="s">
        <v>350</v>
      </c>
      <c r="D365" s="21" t="s">
        <v>201</v>
      </c>
      <c r="E365" s="21" t="s">
        <v>390</v>
      </c>
      <c r="F365" s="21" t="s">
        <v>185</v>
      </c>
      <c r="G365" s="27">
        <v>20</v>
      </c>
      <c r="H365" s="207"/>
    </row>
    <row r="366" spans="1:8" ht="63">
      <c r="A366" s="26" t="s">
        <v>798</v>
      </c>
      <c r="B366" s="17">
        <v>903</v>
      </c>
      <c r="C366" s="21" t="s">
        <v>350</v>
      </c>
      <c r="D366" s="21" t="s">
        <v>201</v>
      </c>
      <c r="E366" s="21" t="s">
        <v>758</v>
      </c>
      <c r="F366" s="21"/>
      <c r="G366" s="27">
        <f>G367</f>
        <v>105</v>
      </c>
      <c r="H366" s="207"/>
    </row>
    <row r="367" spans="1:8" ht="39.75" customHeight="1">
      <c r="A367" s="26" t="s">
        <v>182</v>
      </c>
      <c r="B367" s="17">
        <v>903</v>
      </c>
      <c r="C367" s="21" t="s">
        <v>350</v>
      </c>
      <c r="D367" s="21" t="s">
        <v>201</v>
      </c>
      <c r="E367" s="21" t="s">
        <v>758</v>
      </c>
      <c r="F367" s="21" t="s">
        <v>183</v>
      </c>
      <c r="G367" s="27">
        <f>G368</f>
        <v>105</v>
      </c>
      <c r="H367" s="207"/>
    </row>
    <row r="368" spans="1:9" ht="47.25">
      <c r="A368" s="26" t="s">
        <v>184</v>
      </c>
      <c r="B368" s="17">
        <v>903</v>
      </c>
      <c r="C368" s="21" t="s">
        <v>350</v>
      </c>
      <c r="D368" s="21" t="s">
        <v>201</v>
      </c>
      <c r="E368" s="21" t="s">
        <v>758</v>
      </c>
      <c r="F368" s="21" t="s">
        <v>185</v>
      </c>
      <c r="G368" s="27">
        <f>55+50</f>
        <v>105</v>
      </c>
      <c r="H368" s="130"/>
      <c r="I368" s="150"/>
    </row>
    <row r="369" spans="1:8" ht="63">
      <c r="A369" s="31" t="s">
        <v>797</v>
      </c>
      <c r="B369" s="17">
        <v>903</v>
      </c>
      <c r="C369" s="21" t="s">
        <v>350</v>
      </c>
      <c r="D369" s="21" t="s">
        <v>201</v>
      </c>
      <c r="E369" s="21" t="s">
        <v>795</v>
      </c>
      <c r="F369" s="21"/>
      <c r="G369" s="27">
        <f>G370</f>
        <v>5</v>
      </c>
      <c r="H369" s="207"/>
    </row>
    <row r="370" spans="1:8" ht="31.5">
      <c r="A370" s="26" t="s">
        <v>420</v>
      </c>
      <c r="B370" s="17">
        <v>903</v>
      </c>
      <c r="C370" s="21" t="s">
        <v>350</v>
      </c>
      <c r="D370" s="21" t="s">
        <v>201</v>
      </c>
      <c r="E370" s="21" t="s">
        <v>803</v>
      </c>
      <c r="F370" s="21"/>
      <c r="G370" s="27">
        <f>G371</f>
        <v>5</v>
      </c>
      <c r="H370" s="207"/>
    </row>
    <row r="371" spans="1:8" ht="31.5">
      <c r="A371" s="26" t="s">
        <v>182</v>
      </c>
      <c r="B371" s="17">
        <v>903</v>
      </c>
      <c r="C371" s="21" t="s">
        <v>350</v>
      </c>
      <c r="D371" s="21" t="s">
        <v>201</v>
      </c>
      <c r="E371" s="21" t="s">
        <v>803</v>
      </c>
      <c r="F371" s="21" t="s">
        <v>183</v>
      </c>
      <c r="G371" s="27">
        <f>G372</f>
        <v>5</v>
      </c>
      <c r="H371" s="207"/>
    </row>
    <row r="372" spans="1:9" ht="47.25">
      <c r="A372" s="26" t="s">
        <v>184</v>
      </c>
      <c r="B372" s="17">
        <v>903</v>
      </c>
      <c r="C372" s="21" t="s">
        <v>350</v>
      </c>
      <c r="D372" s="21" t="s">
        <v>201</v>
      </c>
      <c r="E372" s="21" t="s">
        <v>803</v>
      </c>
      <c r="F372" s="21" t="s">
        <v>185</v>
      </c>
      <c r="G372" s="27">
        <v>5</v>
      </c>
      <c r="H372" s="130"/>
      <c r="I372" s="150"/>
    </row>
    <row r="373" spans="1:8" ht="15.75">
      <c r="A373" s="26" t="s">
        <v>172</v>
      </c>
      <c r="B373" s="17">
        <v>903</v>
      </c>
      <c r="C373" s="21" t="s">
        <v>350</v>
      </c>
      <c r="D373" s="21" t="s">
        <v>201</v>
      </c>
      <c r="E373" s="21" t="s">
        <v>173</v>
      </c>
      <c r="F373" s="21"/>
      <c r="G373" s="27">
        <f>G374+G380</f>
        <v>17148.8</v>
      </c>
      <c r="H373" s="207"/>
    </row>
    <row r="374" spans="1:8" ht="31.5">
      <c r="A374" s="26" t="s">
        <v>174</v>
      </c>
      <c r="B374" s="17">
        <v>903</v>
      </c>
      <c r="C374" s="21" t="s">
        <v>350</v>
      </c>
      <c r="D374" s="21" t="s">
        <v>201</v>
      </c>
      <c r="E374" s="21" t="s">
        <v>175</v>
      </c>
      <c r="F374" s="21"/>
      <c r="G374" s="27">
        <f>G375</f>
        <v>6754.9</v>
      </c>
      <c r="H374" s="207"/>
    </row>
    <row r="375" spans="1:8" ht="47.25">
      <c r="A375" s="26" t="s">
        <v>176</v>
      </c>
      <c r="B375" s="17">
        <v>903</v>
      </c>
      <c r="C375" s="21" t="s">
        <v>350</v>
      </c>
      <c r="D375" s="21" t="s">
        <v>201</v>
      </c>
      <c r="E375" s="21" t="s">
        <v>177</v>
      </c>
      <c r="F375" s="21"/>
      <c r="G375" s="27">
        <f>G376+G378</f>
        <v>6754.9</v>
      </c>
      <c r="H375" s="207"/>
    </row>
    <row r="376" spans="1:8" ht="94.5">
      <c r="A376" s="26" t="s">
        <v>178</v>
      </c>
      <c r="B376" s="17">
        <v>903</v>
      </c>
      <c r="C376" s="21" t="s">
        <v>350</v>
      </c>
      <c r="D376" s="21" t="s">
        <v>201</v>
      </c>
      <c r="E376" s="21" t="s">
        <v>177</v>
      </c>
      <c r="F376" s="21" t="s">
        <v>179</v>
      </c>
      <c r="G376" s="27">
        <f>G377</f>
        <v>6754.9</v>
      </c>
      <c r="H376" s="207"/>
    </row>
    <row r="377" spans="1:8" ht="31.5">
      <c r="A377" s="26" t="s">
        <v>180</v>
      </c>
      <c r="B377" s="17">
        <v>903</v>
      </c>
      <c r="C377" s="21" t="s">
        <v>350</v>
      </c>
      <c r="D377" s="21" t="s">
        <v>201</v>
      </c>
      <c r="E377" s="21" t="s">
        <v>177</v>
      </c>
      <c r="F377" s="21" t="s">
        <v>181</v>
      </c>
      <c r="G377" s="28">
        <v>6754.9</v>
      </c>
      <c r="H377" s="207"/>
    </row>
    <row r="378" spans="1:8" ht="31.5" hidden="1">
      <c r="A378" s="26" t="s">
        <v>182</v>
      </c>
      <c r="B378" s="17">
        <v>903</v>
      </c>
      <c r="C378" s="21" t="s">
        <v>350</v>
      </c>
      <c r="D378" s="21" t="s">
        <v>201</v>
      </c>
      <c r="E378" s="21" t="s">
        <v>177</v>
      </c>
      <c r="F378" s="21" t="s">
        <v>183</v>
      </c>
      <c r="G378" s="27">
        <f>G379</f>
        <v>0</v>
      </c>
      <c r="H378" s="207"/>
    </row>
    <row r="379" spans="1:8" ht="47.25" hidden="1">
      <c r="A379" s="26" t="s">
        <v>184</v>
      </c>
      <c r="B379" s="17">
        <v>903</v>
      </c>
      <c r="C379" s="21" t="s">
        <v>350</v>
      </c>
      <c r="D379" s="21" t="s">
        <v>201</v>
      </c>
      <c r="E379" s="21" t="s">
        <v>177</v>
      </c>
      <c r="F379" s="21" t="s">
        <v>185</v>
      </c>
      <c r="G379" s="27"/>
      <c r="H379" s="207"/>
    </row>
    <row r="380" spans="1:8" ht="15.75">
      <c r="A380" s="26" t="s">
        <v>192</v>
      </c>
      <c r="B380" s="17">
        <v>903</v>
      </c>
      <c r="C380" s="21" t="s">
        <v>350</v>
      </c>
      <c r="D380" s="21" t="s">
        <v>201</v>
      </c>
      <c r="E380" s="21" t="s">
        <v>193</v>
      </c>
      <c r="F380" s="21"/>
      <c r="G380" s="27">
        <f>G381</f>
        <v>10393.9</v>
      </c>
      <c r="H380" s="207"/>
    </row>
    <row r="381" spans="1:11" ht="31.5">
      <c r="A381" s="26" t="s">
        <v>391</v>
      </c>
      <c r="B381" s="17">
        <v>903</v>
      </c>
      <c r="C381" s="21" t="s">
        <v>350</v>
      </c>
      <c r="D381" s="21" t="s">
        <v>201</v>
      </c>
      <c r="E381" s="21" t="s">
        <v>392</v>
      </c>
      <c r="F381" s="21"/>
      <c r="G381" s="27">
        <f>G382+G384+G386</f>
        <v>10393.9</v>
      </c>
      <c r="H381" s="207"/>
      <c r="J381" s="406"/>
      <c r="K381" s="406"/>
    </row>
    <row r="382" spans="1:11" ht="94.5">
      <c r="A382" s="26" t="s">
        <v>178</v>
      </c>
      <c r="B382" s="17">
        <v>903</v>
      </c>
      <c r="C382" s="21" t="s">
        <v>350</v>
      </c>
      <c r="D382" s="21" t="s">
        <v>201</v>
      </c>
      <c r="E382" s="21" t="s">
        <v>392</v>
      </c>
      <c r="F382" s="21" t="s">
        <v>179</v>
      </c>
      <c r="G382" s="27">
        <f>G383</f>
        <v>8721.4</v>
      </c>
      <c r="H382" s="207"/>
      <c r="J382" s="406"/>
      <c r="K382" s="406"/>
    </row>
    <row r="383" spans="1:11" ht="31.5">
      <c r="A383" s="26" t="s">
        <v>393</v>
      </c>
      <c r="B383" s="17">
        <v>903</v>
      </c>
      <c r="C383" s="21" t="s">
        <v>350</v>
      </c>
      <c r="D383" s="21" t="s">
        <v>201</v>
      </c>
      <c r="E383" s="21" t="s">
        <v>392</v>
      </c>
      <c r="F383" s="21" t="s">
        <v>260</v>
      </c>
      <c r="G383" s="28">
        <f>8596.3-84.9+210</f>
        <v>8721.4</v>
      </c>
      <c r="H383" s="130"/>
      <c r="I383" s="150"/>
      <c r="J383" s="406"/>
      <c r="K383" s="406"/>
    </row>
    <row r="384" spans="1:11" ht="31.5">
      <c r="A384" s="26" t="s">
        <v>182</v>
      </c>
      <c r="B384" s="17">
        <v>903</v>
      </c>
      <c r="C384" s="21" t="s">
        <v>350</v>
      </c>
      <c r="D384" s="21" t="s">
        <v>201</v>
      </c>
      <c r="E384" s="21" t="s">
        <v>392</v>
      </c>
      <c r="F384" s="21" t="s">
        <v>183</v>
      </c>
      <c r="G384" s="27">
        <f>G385</f>
        <v>1652.5</v>
      </c>
      <c r="H384" s="207"/>
      <c r="J384" s="406"/>
      <c r="K384" s="406"/>
    </row>
    <row r="385" spans="1:11" ht="47.25">
      <c r="A385" s="26" t="s">
        <v>184</v>
      </c>
      <c r="B385" s="17">
        <v>903</v>
      </c>
      <c r="C385" s="21" t="s">
        <v>350</v>
      </c>
      <c r="D385" s="21" t="s">
        <v>201</v>
      </c>
      <c r="E385" s="21" t="s">
        <v>392</v>
      </c>
      <c r="F385" s="21" t="s">
        <v>185</v>
      </c>
      <c r="G385" s="28">
        <f>1663.9+135.6-147</f>
        <v>1652.5</v>
      </c>
      <c r="H385" s="130"/>
      <c r="I385" s="151"/>
      <c r="J385" s="406"/>
      <c r="K385" s="406"/>
    </row>
    <row r="386" spans="1:11" ht="15.75">
      <c r="A386" s="26" t="s">
        <v>186</v>
      </c>
      <c r="B386" s="17">
        <v>903</v>
      </c>
      <c r="C386" s="21" t="s">
        <v>350</v>
      </c>
      <c r="D386" s="21" t="s">
        <v>201</v>
      </c>
      <c r="E386" s="21" t="s">
        <v>392</v>
      </c>
      <c r="F386" s="21" t="s">
        <v>196</v>
      </c>
      <c r="G386" s="27">
        <f>G387</f>
        <v>20</v>
      </c>
      <c r="H386" s="207"/>
      <c r="J386" s="406"/>
      <c r="K386" s="406"/>
    </row>
    <row r="387" spans="1:11" ht="15.75">
      <c r="A387" s="26" t="s">
        <v>620</v>
      </c>
      <c r="B387" s="17">
        <v>903</v>
      </c>
      <c r="C387" s="21" t="s">
        <v>350</v>
      </c>
      <c r="D387" s="21" t="s">
        <v>201</v>
      </c>
      <c r="E387" s="21" t="s">
        <v>392</v>
      </c>
      <c r="F387" s="21" t="s">
        <v>189</v>
      </c>
      <c r="G387" s="27">
        <v>20</v>
      </c>
      <c r="H387" s="207"/>
      <c r="J387" s="406"/>
      <c r="K387" s="406"/>
    </row>
    <row r="388" spans="1:8" ht="15.75">
      <c r="A388" s="24" t="s">
        <v>294</v>
      </c>
      <c r="B388" s="20">
        <v>903</v>
      </c>
      <c r="C388" s="25" t="s">
        <v>295</v>
      </c>
      <c r="D388" s="25"/>
      <c r="E388" s="25"/>
      <c r="F388" s="25"/>
      <c r="G388" s="22">
        <f>G389</f>
        <v>4625</v>
      </c>
      <c r="H388" s="207"/>
    </row>
    <row r="389" spans="1:8" ht="15.75">
      <c r="A389" s="24" t="s">
        <v>303</v>
      </c>
      <c r="B389" s="20">
        <v>903</v>
      </c>
      <c r="C389" s="25" t="s">
        <v>295</v>
      </c>
      <c r="D389" s="25" t="s">
        <v>266</v>
      </c>
      <c r="E389" s="25"/>
      <c r="F389" s="25"/>
      <c r="G389" s="22">
        <f>G390+G443</f>
        <v>4625</v>
      </c>
      <c r="H389" s="207"/>
    </row>
    <row r="390" spans="1:8" ht="47.25">
      <c r="A390" s="26" t="s">
        <v>394</v>
      </c>
      <c r="B390" s="17">
        <v>903</v>
      </c>
      <c r="C390" s="21" t="s">
        <v>295</v>
      </c>
      <c r="D390" s="21" t="s">
        <v>266</v>
      </c>
      <c r="E390" s="21" t="s">
        <v>395</v>
      </c>
      <c r="F390" s="21"/>
      <c r="G390" s="27">
        <f>G391+G399+G403+G407+G413+G417+G421+G439</f>
        <v>3693</v>
      </c>
      <c r="H390" s="207"/>
    </row>
    <row r="391" spans="1:8" ht="31.5">
      <c r="A391" s="26" t="s">
        <v>396</v>
      </c>
      <c r="B391" s="17">
        <v>903</v>
      </c>
      <c r="C391" s="21" t="s">
        <v>295</v>
      </c>
      <c r="D391" s="21" t="s">
        <v>266</v>
      </c>
      <c r="E391" s="21" t="s">
        <v>397</v>
      </c>
      <c r="F391" s="21"/>
      <c r="G391" s="27">
        <f>G392+G396</f>
        <v>935</v>
      </c>
      <c r="H391" s="207"/>
    </row>
    <row r="392" spans="1:8" ht="31.5">
      <c r="A392" s="26" t="s">
        <v>182</v>
      </c>
      <c r="B392" s="17">
        <v>903</v>
      </c>
      <c r="C392" s="21" t="s">
        <v>295</v>
      </c>
      <c r="D392" s="21" t="s">
        <v>266</v>
      </c>
      <c r="E392" s="21" t="s">
        <v>398</v>
      </c>
      <c r="F392" s="21" t="s">
        <v>183</v>
      </c>
      <c r="G392" s="27">
        <f>G393</f>
        <v>666.4</v>
      </c>
      <c r="H392" s="207"/>
    </row>
    <row r="393" spans="1:8" ht="47.25">
      <c r="A393" s="26" t="s">
        <v>184</v>
      </c>
      <c r="B393" s="17">
        <v>903</v>
      </c>
      <c r="C393" s="21" t="s">
        <v>295</v>
      </c>
      <c r="D393" s="21" t="s">
        <v>266</v>
      </c>
      <c r="E393" s="21" t="s">
        <v>398</v>
      </c>
      <c r="F393" s="21" t="s">
        <v>185</v>
      </c>
      <c r="G393" s="27">
        <f>669.4-3</f>
        <v>666.4</v>
      </c>
      <c r="H393" s="207"/>
    </row>
    <row r="394" spans="1:8" ht="31.5" hidden="1">
      <c r="A394" s="26" t="s">
        <v>299</v>
      </c>
      <c r="B394" s="17">
        <v>903</v>
      </c>
      <c r="C394" s="21" t="s">
        <v>295</v>
      </c>
      <c r="D394" s="21" t="s">
        <v>266</v>
      </c>
      <c r="E394" s="21" t="s">
        <v>398</v>
      </c>
      <c r="F394" s="21" t="s">
        <v>300</v>
      </c>
      <c r="G394" s="27">
        <f>G395</f>
        <v>0</v>
      </c>
      <c r="H394" s="207"/>
    </row>
    <row r="395" spans="1:8" ht="31.5" hidden="1">
      <c r="A395" s="26" t="s">
        <v>399</v>
      </c>
      <c r="B395" s="17">
        <v>903</v>
      </c>
      <c r="C395" s="21" t="s">
        <v>295</v>
      </c>
      <c r="D395" s="21" t="s">
        <v>266</v>
      </c>
      <c r="E395" s="21" t="s">
        <v>398</v>
      </c>
      <c r="F395" s="21" t="s">
        <v>400</v>
      </c>
      <c r="G395" s="27">
        <v>0</v>
      </c>
      <c r="H395" s="207"/>
    </row>
    <row r="396" spans="1:8" ht="31.5">
      <c r="A396" s="26" t="s">
        <v>401</v>
      </c>
      <c r="B396" s="17">
        <v>903</v>
      </c>
      <c r="C396" s="21" t="s">
        <v>295</v>
      </c>
      <c r="D396" s="21" t="s">
        <v>266</v>
      </c>
      <c r="E396" s="21" t="s">
        <v>402</v>
      </c>
      <c r="F396" s="21"/>
      <c r="G396" s="27">
        <f>G397</f>
        <v>268.6</v>
      </c>
      <c r="H396" s="207"/>
    </row>
    <row r="397" spans="1:8" ht="47.25">
      <c r="A397" s="26" t="s">
        <v>323</v>
      </c>
      <c r="B397" s="17">
        <v>903</v>
      </c>
      <c r="C397" s="21" t="s">
        <v>295</v>
      </c>
      <c r="D397" s="21" t="s">
        <v>266</v>
      </c>
      <c r="E397" s="21" t="s">
        <v>402</v>
      </c>
      <c r="F397" s="21" t="s">
        <v>324</v>
      </c>
      <c r="G397" s="27">
        <f>G398</f>
        <v>268.6</v>
      </c>
      <c r="H397" s="207"/>
    </row>
    <row r="398" spans="1:8" ht="15.75">
      <c r="A398" s="26" t="s">
        <v>325</v>
      </c>
      <c r="B398" s="17">
        <v>903</v>
      </c>
      <c r="C398" s="21" t="s">
        <v>295</v>
      </c>
      <c r="D398" s="21" t="s">
        <v>266</v>
      </c>
      <c r="E398" s="21" t="s">
        <v>402</v>
      </c>
      <c r="F398" s="21" t="s">
        <v>326</v>
      </c>
      <c r="G398" s="27">
        <f>160.5+108.1</f>
        <v>268.6</v>
      </c>
      <c r="H398" s="130"/>
    </row>
    <row r="399" spans="1:8" ht="31.5">
      <c r="A399" s="26" t="s">
        <v>403</v>
      </c>
      <c r="B399" s="17">
        <v>903</v>
      </c>
      <c r="C399" s="21" t="s">
        <v>295</v>
      </c>
      <c r="D399" s="21" t="s">
        <v>266</v>
      </c>
      <c r="E399" s="21" t="s">
        <v>404</v>
      </c>
      <c r="F399" s="21"/>
      <c r="G399" s="27">
        <f>G400</f>
        <v>63</v>
      </c>
      <c r="H399" s="207"/>
    </row>
    <row r="400" spans="1:8" ht="31.5">
      <c r="A400" s="26" t="s">
        <v>208</v>
      </c>
      <c r="B400" s="17">
        <v>903</v>
      </c>
      <c r="C400" s="21" t="s">
        <v>295</v>
      </c>
      <c r="D400" s="21" t="s">
        <v>266</v>
      </c>
      <c r="E400" s="21" t="s">
        <v>405</v>
      </c>
      <c r="F400" s="21"/>
      <c r="G400" s="27">
        <f>G401</f>
        <v>63</v>
      </c>
      <c r="H400" s="207"/>
    </row>
    <row r="401" spans="1:8" ht="31.5">
      <c r="A401" s="26" t="s">
        <v>299</v>
      </c>
      <c r="B401" s="17">
        <v>903</v>
      </c>
      <c r="C401" s="21" t="s">
        <v>295</v>
      </c>
      <c r="D401" s="21" t="s">
        <v>266</v>
      </c>
      <c r="E401" s="21" t="s">
        <v>405</v>
      </c>
      <c r="F401" s="21" t="s">
        <v>300</v>
      </c>
      <c r="G401" s="27">
        <f>G402</f>
        <v>63</v>
      </c>
      <c r="H401" s="207"/>
    </row>
    <row r="402" spans="1:8" ht="31.5">
      <c r="A402" s="26" t="s">
        <v>301</v>
      </c>
      <c r="B402" s="17">
        <v>903</v>
      </c>
      <c r="C402" s="21" t="s">
        <v>295</v>
      </c>
      <c r="D402" s="21" t="s">
        <v>266</v>
      </c>
      <c r="E402" s="21" t="s">
        <v>405</v>
      </c>
      <c r="F402" s="21" t="s">
        <v>302</v>
      </c>
      <c r="G402" s="27">
        <f>60+3</f>
        <v>63</v>
      </c>
      <c r="H402" s="207"/>
    </row>
    <row r="403" spans="1:8" ht="31.5">
      <c r="A403" s="26" t="s">
        <v>406</v>
      </c>
      <c r="B403" s="17">
        <v>903</v>
      </c>
      <c r="C403" s="17">
        <v>10</v>
      </c>
      <c r="D403" s="21" t="s">
        <v>266</v>
      </c>
      <c r="E403" s="21" t="s">
        <v>407</v>
      </c>
      <c r="F403" s="21"/>
      <c r="G403" s="27">
        <f>G404</f>
        <v>420</v>
      </c>
      <c r="H403" s="207"/>
    </row>
    <row r="404" spans="1:8" ht="31.5">
      <c r="A404" s="26" t="s">
        <v>208</v>
      </c>
      <c r="B404" s="17">
        <v>903</v>
      </c>
      <c r="C404" s="21" t="s">
        <v>295</v>
      </c>
      <c r="D404" s="21" t="s">
        <v>266</v>
      </c>
      <c r="E404" s="21" t="s">
        <v>408</v>
      </c>
      <c r="F404" s="21"/>
      <c r="G404" s="27">
        <f>G405</f>
        <v>420</v>
      </c>
      <c r="H404" s="207"/>
    </row>
    <row r="405" spans="1:8" ht="31.5">
      <c r="A405" s="26" t="s">
        <v>299</v>
      </c>
      <c r="B405" s="17">
        <v>903</v>
      </c>
      <c r="C405" s="21" t="s">
        <v>295</v>
      </c>
      <c r="D405" s="21" t="s">
        <v>266</v>
      </c>
      <c r="E405" s="21" t="s">
        <v>408</v>
      </c>
      <c r="F405" s="21" t="s">
        <v>300</v>
      </c>
      <c r="G405" s="27">
        <f>G406</f>
        <v>420</v>
      </c>
      <c r="H405" s="207"/>
    </row>
    <row r="406" spans="1:8" ht="31.5">
      <c r="A406" s="26" t="s">
        <v>399</v>
      </c>
      <c r="B406" s="17">
        <v>903</v>
      </c>
      <c r="C406" s="21" t="s">
        <v>295</v>
      </c>
      <c r="D406" s="21" t="s">
        <v>266</v>
      </c>
      <c r="E406" s="21" t="s">
        <v>408</v>
      </c>
      <c r="F406" s="21" t="s">
        <v>400</v>
      </c>
      <c r="G406" s="27">
        <v>420</v>
      </c>
      <c r="H406" s="207"/>
    </row>
    <row r="407" spans="1:8" ht="15.75">
      <c r="A407" s="26" t="s">
        <v>409</v>
      </c>
      <c r="B407" s="17">
        <v>903</v>
      </c>
      <c r="C407" s="17">
        <v>10</v>
      </c>
      <c r="D407" s="21" t="s">
        <v>266</v>
      </c>
      <c r="E407" s="21" t="s">
        <v>410</v>
      </c>
      <c r="F407" s="21"/>
      <c r="G407" s="27">
        <f>G408</f>
        <v>1595</v>
      </c>
      <c r="H407" s="207"/>
    </row>
    <row r="408" spans="1:8" ht="31.5">
      <c r="A408" s="26" t="s">
        <v>208</v>
      </c>
      <c r="B408" s="17">
        <v>903</v>
      </c>
      <c r="C408" s="21" t="s">
        <v>295</v>
      </c>
      <c r="D408" s="21" t="s">
        <v>266</v>
      </c>
      <c r="E408" s="21" t="s">
        <v>411</v>
      </c>
      <c r="F408" s="21"/>
      <c r="G408" s="27">
        <f>G409+G411</f>
        <v>1595</v>
      </c>
      <c r="H408" s="207"/>
    </row>
    <row r="409" spans="1:8" ht="31.5">
      <c r="A409" s="26" t="s">
        <v>182</v>
      </c>
      <c r="B409" s="17">
        <v>903</v>
      </c>
      <c r="C409" s="21" t="s">
        <v>295</v>
      </c>
      <c r="D409" s="21" t="s">
        <v>266</v>
      </c>
      <c r="E409" s="21" t="s">
        <v>411</v>
      </c>
      <c r="F409" s="21" t="s">
        <v>183</v>
      </c>
      <c r="G409" s="27">
        <f>G410</f>
        <v>547</v>
      </c>
      <c r="H409" s="207"/>
    </row>
    <row r="410" spans="1:8" ht="47.25">
      <c r="A410" s="26" t="s">
        <v>184</v>
      </c>
      <c r="B410" s="17">
        <v>903</v>
      </c>
      <c r="C410" s="21" t="s">
        <v>295</v>
      </c>
      <c r="D410" s="21" t="s">
        <v>266</v>
      </c>
      <c r="E410" s="21" t="s">
        <v>411</v>
      </c>
      <c r="F410" s="21" t="s">
        <v>185</v>
      </c>
      <c r="G410" s="191">
        <f>552-50+45</f>
        <v>547</v>
      </c>
      <c r="H410" s="186" t="s">
        <v>838</v>
      </c>
    </row>
    <row r="411" spans="1:8" ht="31.5">
      <c r="A411" s="26" t="s">
        <v>299</v>
      </c>
      <c r="B411" s="17">
        <v>903</v>
      </c>
      <c r="C411" s="21" t="s">
        <v>295</v>
      </c>
      <c r="D411" s="21" t="s">
        <v>266</v>
      </c>
      <c r="E411" s="21" t="s">
        <v>411</v>
      </c>
      <c r="F411" s="21" t="s">
        <v>300</v>
      </c>
      <c r="G411" s="27">
        <f>G412</f>
        <v>1048</v>
      </c>
      <c r="H411" s="207"/>
    </row>
    <row r="412" spans="1:8" ht="31.5">
      <c r="A412" s="26" t="s">
        <v>399</v>
      </c>
      <c r="B412" s="17">
        <v>903</v>
      </c>
      <c r="C412" s="21" t="s">
        <v>295</v>
      </c>
      <c r="D412" s="21" t="s">
        <v>266</v>
      </c>
      <c r="E412" s="21" t="s">
        <v>411</v>
      </c>
      <c r="F412" s="21" t="s">
        <v>400</v>
      </c>
      <c r="G412" s="27">
        <v>1048</v>
      </c>
      <c r="H412" s="207"/>
    </row>
    <row r="413" spans="1:8" ht="47.25">
      <c r="A413" s="26" t="s">
        <v>412</v>
      </c>
      <c r="B413" s="17">
        <v>903</v>
      </c>
      <c r="C413" s="21" t="s">
        <v>295</v>
      </c>
      <c r="D413" s="21" t="s">
        <v>266</v>
      </c>
      <c r="E413" s="21" t="s">
        <v>413</v>
      </c>
      <c r="F413" s="21"/>
      <c r="G413" s="27">
        <f>G414</f>
        <v>335</v>
      </c>
      <c r="H413" s="207"/>
    </row>
    <row r="414" spans="1:8" ht="31.5">
      <c r="A414" s="26" t="s">
        <v>208</v>
      </c>
      <c r="B414" s="17">
        <v>903</v>
      </c>
      <c r="C414" s="21" t="s">
        <v>295</v>
      </c>
      <c r="D414" s="21" t="s">
        <v>266</v>
      </c>
      <c r="E414" s="21" t="s">
        <v>414</v>
      </c>
      <c r="F414" s="21"/>
      <c r="G414" s="27">
        <f>G415</f>
        <v>335</v>
      </c>
      <c r="H414" s="207"/>
    </row>
    <row r="415" spans="1:8" ht="31.5">
      <c r="A415" s="26" t="s">
        <v>299</v>
      </c>
      <c r="B415" s="17">
        <v>903</v>
      </c>
      <c r="C415" s="21" t="s">
        <v>295</v>
      </c>
      <c r="D415" s="21" t="s">
        <v>266</v>
      </c>
      <c r="E415" s="21" t="s">
        <v>414</v>
      </c>
      <c r="F415" s="21" t="s">
        <v>300</v>
      </c>
      <c r="G415" s="27">
        <f>G416</f>
        <v>335</v>
      </c>
      <c r="H415" s="207"/>
    </row>
    <row r="416" spans="1:8" ht="31.5">
      <c r="A416" s="26" t="s">
        <v>399</v>
      </c>
      <c r="B416" s="17">
        <v>903</v>
      </c>
      <c r="C416" s="21" t="s">
        <v>295</v>
      </c>
      <c r="D416" s="21" t="s">
        <v>266</v>
      </c>
      <c r="E416" s="21" t="s">
        <v>414</v>
      </c>
      <c r="F416" s="21" t="s">
        <v>400</v>
      </c>
      <c r="G416" s="27">
        <f>400-65</f>
        <v>335</v>
      </c>
      <c r="H416" s="207"/>
    </row>
    <row r="417" spans="1:8" ht="63">
      <c r="A417" s="26" t="s">
        <v>415</v>
      </c>
      <c r="B417" s="17">
        <v>903</v>
      </c>
      <c r="C417" s="21" t="s">
        <v>295</v>
      </c>
      <c r="D417" s="21" t="s">
        <v>266</v>
      </c>
      <c r="E417" s="21" t="s">
        <v>416</v>
      </c>
      <c r="F417" s="21"/>
      <c r="G417" s="27">
        <f>G418</f>
        <v>210</v>
      </c>
      <c r="H417" s="207"/>
    </row>
    <row r="418" spans="1:8" ht="31.5">
      <c r="A418" s="26" t="s">
        <v>208</v>
      </c>
      <c r="B418" s="17">
        <v>903</v>
      </c>
      <c r="C418" s="21" t="s">
        <v>295</v>
      </c>
      <c r="D418" s="21" t="s">
        <v>266</v>
      </c>
      <c r="E418" s="21" t="s">
        <v>417</v>
      </c>
      <c r="F418" s="21"/>
      <c r="G418" s="27">
        <f>G419</f>
        <v>210</v>
      </c>
      <c r="H418" s="207"/>
    </row>
    <row r="419" spans="1:8" ht="31.5">
      <c r="A419" s="26" t="s">
        <v>182</v>
      </c>
      <c r="B419" s="17">
        <v>903</v>
      </c>
      <c r="C419" s="21" t="s">
        <v>295</v>
      </c>
      <c r="D419" s="21" t="s">
        <v>266</v>
      </c>
      <c r="E419" s="21" t="s">
        <v>417</v>
      </c>
      <c r="F419" s="21" t="s">
        <v>183</v>
      </c>
      <c r="G419" s="27">
        <f>G420</f>
        <v>210</v>
      </c>
      <c r="H419" s="207"/>
    </row>
    <row r="420" spans="1:8" ht="47.25">
      <c r="A420" s="26" t="s">
        <v>184</v>
      </c>
      <c r="B420" s="17">
        <v>903</v>
      </c>
      <c r="C420" s="21" t="s">
        <v>295</v>
      </c>
      <c r="D420" s="21" t="s">
        <v>266</v>
      </c>
      <c r="E420" s="21" t="s">
        <v>417</v>
      </c>
      <c r="F420" s="21" t="s">
        <v>185</v>
      </c>
      <c r="G420" s="27">
        <f>150+60</f>
        <v>210</v>
      </c>
      <c r="H420" s="207"/>
    </row>
    <row r="421" spans="1:8" ht="63">
      <c r="A421" s="26" t="s">
        <v>418</v>
      </c>
      <c r="B421" s="17">
        <v>903</v>
      </c>
      <c r="C421" s="21" t="s">
        <v>295</v>
      </c>
      <c r="D421" s="21" t="s">
        <v>266</v>
      </c>
      <c r="E421" s="21" t="s">
        <v>419</v>
      </c>
      <c r="F421" s="21"/>
      <c r="G421" s="27">
        <f>G422+G434+G428+G431</f>
        <v>30</v>
      </c>
      <c r="H421" s="207"/>
    </row>
    <row r="422" spans="1:8" ht="47.25" customHeight="1">
      <c r="A422" s="26" t="s">
        <v>420</v>
      </c>
      <c r="B422" s="17">
        <v>903</v>
      </c>
      <c r="C422" s="21" t="s">
        <v>295</v>
      </c>
      <c r="D422" s="21" t="s">
        <v>266</v>
      </c>
      <c r="E422" s="21" t="s">
        <v>421</v>
      </c>
      <c r="F422" s="21"/>
      <c r="G422" s="27">
        <f>G423</f>
        <v>20</v>
      </c>
      <c r="H422" s="207"/>
    </row>
    <row r="423" spans="1:8" ht="47.25">
      <c r="A423" s="26" t="s">
        <v>323</v>
      </c>
      <c r="B423" s="17">
        <v>903</v>
      </c>
      <c r="C423" s="21" t="s">
        <v>295</v>
      </c>
      <c r="D423" s="21" t="s">
        <v>266</v>
      </c>
      <c r="E423" s="21" t="s">
        <v>421</v>
      </c>
      <c r="F423" s="21" t="s">
        <v>324</v>
      </c>
      <c r="G423" s="27">
        <f>G424</f>
        <v>20</v>
      </c>
      <c r="H423" s="207"/>
    </row>
    <row r="424" spans="1:8" ht="63">
      <c r="A424" s="41" t="s">
        <v>422</v>
      </c>
      <c r="B424" s="17">
        <v>903</v>
      </c>
      <c r="C424" s="21" t="s">
        <v>295</v>
      </c>
      <c r="D424" s="21" t="s">
        <v>266</v>
      </c>
      <c r="E424" s="21" t="s">
        <v>421</v>
      </c>
      <c r="F424" s="21" t="s">
        <v>423</v>
      </c>
      <c r="G424" s="27">
        <f>30-10</f>
        <v>20</v>
      </c>
      <c r="H424" s="130"/>
    </row>
    <row r="425" spans="1:8" ht="15.75" hidden="1">
      <c r="A425" s="41"/>
      <c r="B425" s="17"/>
      <c r="C425" s="21"/>
      <c r="D425" s="21"/>
      <c r="E425" s="21"/>
      <c r="F425" s="21"/>
      <c r="G425" s="27"/>
      <c r="H425" s="132"/>
    </row>
    <row r="426" spans="1:8" ht="15.75" hidden="1">
      <c r="A426" s="41"/>
      <c r="B426" s="17"/>
      <c r="C426" s="21"/>
      <c r="D426" s="21"/>
      <c r="E426" s="21"/>
      <c r="F426" s="21"/>
      <c r="G426" s="27"/>
      <c r="H426" s="132"/>
    </row>
    <row r="427" spans="1:8" ht="15.75" hidden="1">
      <c r="A427" s="41"/>
      <c r="B427" s="17"/>
      <c r="C427" s="21"/>
      <c r="D427" s="21"/>
      <c r="E427" s="21"/>
      <c r="F427" s="21"/>
      <c r="G427" s="27"/>
      <c r="H427" s="132"/>
    </row>
    <row r="428" spans="1:8" ht="126" hidden="1">
      <c r="A428" s="26" t="s">
        <v>424</v>
      </c>
      <c r="B428" s="17">
        <v>903</v>
      </c>
      <c r="C428" s="21" t="s">
        <v>295</v>
      </c>
      <c r="D428" s="21" t="s">
        <v>266</v>
      </c>
      <c r="E428" s="21" t="s">
        <v>425</v>
      </c>
      <c r="F428" s="21"/>
      <c r="G428" s="27">
        <f>G429</f>
        <v>0</v>
      </c>
      <c r="H428" s="207"/>
    </row>
    <row r="429" spans="1:8" ht="15.75" hidden="1">
      <c r="A429" s="26" t="s">
        <v>186</v>
      </c>
      <c r="B429" s="17">
        <v>903</v>
      </c>
      <c r="C429" s="21" t="s">
        <v>295</v>
      </c>
      <c r="D429" s="21" t="s">
        <v>266</v>
      </c>
      <c r="E429" s="21" t="s">
        <v>425</v>
      </c>
      <c r="F429" s="21" t="s">
        <v>196</v>
      </c>
      <c r="G429" s="27">
        <f>G430</f>
        <v>0</v>
      </c>
      <c r="H429" s="207"/>
    </row>
    <row r="430" spans="1:8" ht="63" hidden="1">
      <c r="A430" s="26" t="s">
        <v>235</v>
      </c>
      <c r="B430" s="17">
        <v>903</v>
      </c>
      <c r="C430" s="21" t="s">
        <v>295</v>
      </c>
      <c r="D430" s="21" t="s">
        <v>266</v>
      </c>
      <c r="E430" s="21" t="s">
        <v>425</v>
      </c>
      <c r="F430" s="21" t="s">
        <v>211</v>
      </c>
      <c r="G430" s="27">
        <v>0</v>
      </c>
      <c r="H430" s="207"/>
    </row>
    <row r="431" spans="1:8" ht="63">
      <c r="A431" s="26" t="s">
        <v>426</v>
      </c>
      <c r="B431" s="17">
        <v>903</v>
      </c>
      <c r="C431" s="21" t="s">
        <v>295</v>
      </c>
      <c r="D431" s="21" t="s">
        <v>266</v>
      </c>
      <c r="E431" s="21" t="s">
        <v>427</v>
      </c>
      <c r="F431" s="21"/>
      <c r="G431" s="27">
        <f>G432</f>
        <v>10</v>
      </c>
      <c r="H431" s="207"/>
    </row>
    <row r="432" spans="1:8" ht="31.5">
      <c r="A432" s="26" t="s">
        <v>299</v>
      </c>
      <c r="B432" s="17">
        <v>903</v>
      </c>
      <c r="C432" s="21" t="s">
        <v>295</v>
      </c>
      <c r="D432" s="21" t="s">
        <v>266</v>
      </c>
      <c r="E432" s="21" t="s">
        <v>427</v>
      </c>
      <c r="F432" s="21" t="s">
        <v>300</v>
      </c>
      <c r="G432" s="27">
        <f>G433</f>
        <v>10</v>
      </c>
      <c r="H432" s="207"/>
    </row>
    <row r="433" spans="1:8" ht="31.5">
      <c r="A433" s="26" t="s">
        <v>301</v>
      </c>
      <c r="B433" s="17">
        <v>903</v>
      </c>
      <c r="C433" s="21" t="s">
        <v>295</v>
      </c>
      <c r="D433" s="21" t="s">
        <v>266</v>
      </c>
      <c r="E433" s="21" t="s">
        <v>427</v>
      </c>
      <c r="F433" s="21" t="s">
        <v>302</v>
      </c>
      <c r="G433" s="27">
        <v>10</v>
      </c>
      <c r="H433" s="130"/>
    </row>
    <row r="434" spans="1:8" ht="31.5" hidden="1">
      <c r="A434" s="26" t="s">
        <v>428</v>
      </c>
      <c r="B434" s="17">
        <v>903</v>
      </c>
      <c r="C434" s="21" t="s">
        <v>295</v>
      </c>
      <c r="D434" s="21" t="s">
        <v>266</v>
      </c>
      <c r="E434" s="21" t="s">
        <v>429</v>
      </c>
      <c r="F434" s="21"/>
      <c r="G434" s="27">
        <f>G435+G437</f>
        <v>0</v>
      </c>
      <c r="H434" s="207"/>
    </row>
    <row r="435" spans="1:8" ht="31.5" hidden="1">
      <c r="A435" s="26" t="s">
        <v>182</v>
      </c>
      <c r="B435" s="17">
        <v>903</v>
      </c>
      <c r="C435" s="21" t="s">
        <v>295</v>
      </c>
      <c r="D435" s="21" t="s">
        <v>266</v>
      </c>
      <c r="E435" s="21" t="s">
        <v>429</v>
      </c>
      <c r="F435" s="21" t="s">
        <v>183</v>
      </c>
      <c r="G435" s="27">
        <f>G436</f>
        <v>0</v>
      </c>
      <c r="H435" s="207"/>
    </row>
    <row r="436" spans="1:8" ht="47.25" hidden="1">
      <c r="A436" s="26" t="s">
        <v>184</v>
      </c>
      <c r="B436" s="17">
        <v>903</v>
      </c>
      <c r="C436" s="21" t="s">
        <v>295</v>
      </c>
      <c r="D436" s="21" t="s">
        <v>266</v>
      </c>
      <c r="E436" s="21" t="s">
        <v>429</v>
      </c>
      <c r="F436" s="21" t="s">
        <v>185</v>
      </c>
      <c r="G436" s="27">
        <v>0</v>
      </c>
      <c r="H436" s="207"/>
    </row>
    <row r="437" spans="1:8" ht="15.75" hidden="1">
      <c r="A437" s="26" t="s">
        <v>186</v>
      </c>
      <c r="B437" s="17">
        <v>903</v>
      </c>
      <c r="C437" s="21" t="s">
        <v>295</v>
      </c>
      <c r="D437" s="21" t="s">
        <v>266</v>
      </c>
      <c r="E437" s="21" t="s">
        <v>430</v>
      </c>
      <c r="F437" s="21" t="s">
        <v>196</v>
      </c>
      <c r="G437" s="27">
        <f>G438</f>
        <v>0</v>
      </c>
      <c r="H437" s="207"/>
    </row>
    <row r="438" spans="1:8" ht="63" hidden="1">
      <c r="A438" s="26" t="s">
        <v>235</v>
      </c>
      <c r="B438" s="17">
        <v>903</v>
      </c>
      <c r="C438" s="21" t="s">
        <v>295</v>
      </c>
      <c r="D438" s="21" t="s">
        <v>266</v>
      </c>
      <c r="E438" s="21" t="s">
        <v>430</v>
      </c>
      <c r="F438" s="21" t="s">
        <v>211</v>
      </c>
      <c r="G438" s="27">
        <v>0</v>
      </c>
      <c r="H438" s="207"/>
    </row>
    <row r="439" spans="1:8" ht="94.5">
      <c r="A439" s="31" t="s">
        <v>431</v>
      </c>
      <c r="B439" s="17">
        <v>903</v>
      </c>
      <c r="C439" s="42" t="s">
        <v>295</v>
      </c>
      <c r="D439" s="42" t="s">
        <v>266</v>
      </c>
      <c r="E439" s="42" t="s">
        <v>432</v>
      </c>
      <c r="F439" s="42"/>
      <c r="G439" s="27">
        <f>G440</f>
        <v>105</v>
      </c>
      <c r="H439" s="207"/>
    </row>
    <row r="440" spans="1:8" ht="31.5">
      <c r="A440" s="31" t="s">
        <v>208</v>
      </c>
      <c r="B440" s="17">
        <v>903</v>
      </c>
      <c r="C440" s="42" t="s">
        <v>295</v>
      </c>
      <c r="D440" s="42" t="s">
        <v>266</v>
      </c>
      <c r="E440" s="42" t="s">
        <v>433</v>
      </c>
      <c r="F440" s="42"/>
      <c r="G440" s="27">
        <f>G441</f>
        <v>105</v>
      </c>
      <c r="H440" s="207"/>
    </row>
    <row r="441" spans="1:8" ht="31.5">
      <c r="A441" s="31" t="s">
        <v>182</v>
      </c>
      <c r="B441" s="17">
        <v>903</v>
      </c>
      <c r="C441" s="42" t="s">
        <v>295</v>
      </c>
      <c r="D441" s="42" t="s">
        <v>266</v>
      </c>
      <c r="E441" s="42" t="s">
        <v>433</v>
      </c>
      <c r="F441" s="42" t="s">
        <v>183</v>
      </c>
      <c r="G441" s="27">
        <f>G442</f>
        <v>105</v>
      </c>
      <c r="H441" s="207"/>
    </row>
    <row r="442" spans="1:8" ht="47.25">
      <c r="A442" s="31" t="s">
        <v>184</v>
      </c>
      <c r="B442" s="17">
        <v>903</v>
      </c>
      <c r="C442" s="42" t="s">
        <v>295</v>
      </c>
      <c r="D442" s="42" t="s">
        <v>266</v>
      </c>
      <c r="E442" s="42" t="s">
        <v>433</v>
      </c>
      <c r="F442" s="42" t="s">
        <v>185</v>
      </c>
      <c r="G442" s="27">
        <f>50+55</f>
        <v>105</v>
      </c>
      <c r="H442" s="207"/>
    </row>
    <row r="443" spans="1:8" ht="15.75">
      <c r="A443" s="26" t="s">
        <v>172</v>
      </c>
      <c r="B443" s="17">
        <v>903</v>
      </c>
      <c r="C443" s="21" t="s">
        <v>295</v>
      </c>
      <c r="D443" s="21" t="s">
        <v>266</v>
      </c>
      <c r="E443" s="21" t="s">
        <v>173</v>
      </c>
      <c r="F443" s="21"/>
      <c r="G443" s="27">
        <f>G444+G455</f>
        <v>932</v>
      </c>
      <c r="H443" s="207"/>
    </row>
    <row r="444" spans="1:8" ht="31.5">
      <c r="A444" s="26" t="s">
        <v>236</v>
      </c>
      <c r="B444" s="17">
        <v>903</v>
      </c>
      <c r="C444" s="21" t="s">
        <v>295</v>
      </c>
      <c r="D444" s="21" t="s">
        <v>266</v>
      </c>
      <c r="E444" s="21" t="s">
        <v>237</v>
      </c>
      <c r="F444" s="21"/>
      <c r="G444" s="27">
        <f>G451+G445+G448</f>
        <v>932</v>
      </c>
      <c r="H444" s="207"/>
    </row>
    <row r="445" spans="1:8" ht="15.75">
      <c r="A445" s="26" t="s">
        <v>434</v>
      </c>
      <c r="B445" s="17">
        <v>903</v>
      </c>
      <c r="C445" s="21" t="s">
        <v>295</v>
      </c>
      <c r="D445" s="21" t="s">
        <v>266</v>
      </c>
      <c r="E445" s="21" t="s">
        <v>435</v>
      </c>
      <c r="F445" s="21"/>
      <c r="G445" s="27">
        <f>G446</f>
        <v>372.6</v>
      </c>
      <c r="H445" s="207"/>
    </row>
    <row r="446" spans="1:8" ht="31.5">
      <c r="A446" s="26" t="s">
        <v>299</v>
      </c>
      <c r="B446" s="17">
        <v>903</v>
      </c>
      <c r="C446" s="21" t="s">
        <v>295</v>
      </c>
      <c r="D446" s="21" t="s">
        <v>266</v>
      </c>
      <c r="E446" s="21" t="s">
        <v>435</v>
      </c>
      <c r="F446" s="21" t="s">
        <v>300</v>
      </c>
      <c r="G446" s="27">
        <f>G447</f>
        <v>372.6</v>
      </c>
      <c r="H446" s="207"/>
    </row>
    <row r="447" spans="1:9" ht="31.5">
      <c r="A447" s="26" t="s">
        <v>301</v>
      </c>
      <c r="B447" s="17">
        <v>903</v>
      </c>
      <c r="C447" s="21" t="s">
        <v>295</v>
      </c>
      <c r="D447" s="21" t="s">
        <v>266</v>
      </c>
      <c r="E447" s="21" t="s">
        <v>435</v>
      </c>
      <c r="F447" s="21" t="s">
        <v>302</v>
      </c>
      <c r="G447" s="27">
        <v>372.6</v>
      </c>
      <c r="H447" s="130"/>
      <c r="I447" s="150"/>
    </row>
    <row r="448" spans="1:10" ht="63">
      <c r="A448" s="26" t="s">
        <v>426</v>
      </c>
      <c r="B448" s="17">
        <v>903</v>
      </c>
      <c r="C448" s="21" t="s">
        <v>295</v>
      </c>
      <c r="D448" s="21" t="s">
        <v>266</v>
      </c>
      <c r="E448" s="21" t="s">
        <v>436</v>
      </c>
      <c r="F448" s="21"/>
      <c r="G448" s="27">
        <f>G449</f>
        <v>500</v>
      </c>
      <c r="H448" s="207"/>
      <c r="J448" s="133"/>
    </row>
    <row r="449" spans="1:10" ht="31.5">
      <c r="A449" s="26" t="s">
        <v>299</v>
      </c>
      <c r="B449" s="17">
        <v>903</v>
      </c>
      <c r="C449" s="21" t="s">
        <v>295</v>
      </c>
      <c r="D449" s="21" t="s">
        <v>266</v>
      </c>
      <c r="E449" s="21" t="s">
        <v>436</v>
      </c>
      <c r="F449" s="21" t="s">
        <v>300</v>
      </c>
      <c r="G449" s="27">
        <f>G450</f>
        <v>500</v>
      </c>
      <c r="H449" s="207"/>
      <c r="J449" s="133"/>
    </row>
    <row r="450" spans="1:10" ht="31.5">
      <c r="A450" s="26" t="s">
        <v>301</v>
      </c>
      <c r="B450" s="17">
        <v>903</v>
      </c>
      <c r="C450" s="21" t="s">
        <v>295</v>
      </c>
      <c r="D450" s="21" t="s">
        <v>266</v>
      </c>
      <c r="E450" s="21" t="s">
        <v>436</v>
      </c>
      <c r="F450" s="21" t="s">
        <v>302</v>
      </c>
      <c r="G450" s="27">
        <v>500</v>
      </c>
      <c r="H450" s="130"/>
      <c r="J450" s="133"/>
    </row>
    <row r="451" spans="1:10" ht="54" customHeight="1">
      <c r="A451" s="193" t="s">
        <v>826</v>
      </c>
      <c r="B451" s="17">
        <v>903</v>
      </c>
      <c r="C451" s="21" t="s">
        <v>295</v>
      </c>
      <c r="D451" s="21" t="s">
        <v>266</v>
      </c>
      <c r="E451" s="21" t="s">
        <v>438</v>
      </c>
      <c r="F451" s="21"/>
      <c r="G451" s="27">
        <f>G452</f>
        <v>59.4</v>
      </c>
      <c r="H451" s="207"/>
      <c r="J451" s="133"/>
    </row>
    <row r="452" spans="1:10" ht="31.5">
      <c r="A452" s="26" t="s">
        <v>299</v>
      </c>
      <c r="B452" s="17">
        <v>903</v>
      </c>
      <c r="C452" s="21" t="s">
        <v>295</v>
      </c>
      <c r="D452" s="21" t="s">
        <v>266</v>
      </c>
      <c r="E452" s="21" t="s">
        <v>438</v>
      </c>
      <c r="F452" s="21" t="s">
        <v>300</v>
      </c>
      <c r="G452" s="27">
        <f>G453+G454</f>
        <v>59.4</v>
      </c>
      <c r="H452" s="207"/>
      <c r="J452" s="133"/>
    </row>
    <row r="453" spans="1:10" ht="31.5">
      <c r="A453" s="26" t="s">
        <v>399</v>
      </c>
      <c r="B453" s="17">
        <v>903</v>
      </c>
      <c r="C453" s="21" t="s">
        <v>295</v>
      </c>
      <c r="D453" s="21" t="s">
        <v>266</v>
      </c>
      <c r="E453" s="21" t="s">
        <v>438</v>
      </c>
      <c r="F453" s="21" t="s">
        <v>400</v>
      </c>
      <c r="G453" s="191">
        <v>59.4</v>
      </c>
      <c r="H453" s="186" t="s">
        <v>816</v>
      </c>
      <c r="J453" s="133"/>
    </row>
    <row r="454" spans="1:8" ht="31.5">
      <c r="A454" s="26" t="s">
        <v>301</v>
      </c>
      <c r="B454" s="17">
        <v>903</v>
      </c>
      <c r="C454" s="21" t="s">
        <v>295</v>
      </c>
      <c r="D454" s="21" t="s">
        <v>266</v>
      </c>
      <c r="E454" s="21" t="s">
        <v>438</v>
      </c>
      <c r="F454" s="21" t="s">
        <v>302</v>
      </c>
      <c r="G454" s="27"/>
      <c r="H454" s="207"/>
    </row>
    <row r="455" spans="1:8" ht="15.75">
      <c r="A455" s="26" t="s">
        <v>192</v>
      </c>
      <c r="B455" s="17">
        <v>903</v>
      </c>
      <c r="C455" s="21" t="s">
        <v>295</v>
      </c>
      <c r="D455" s="21" t="s">
        <v>266</v>
      </c>
      <c r="E455" s="21" t="s">
        <v>193</v>
      </c>
      <c r="F455" s="21"/>
      <c r="G455" s="27">
        <f>G456</f>
        <v>0</v>
      </c>
      <c r="H455" s="207"/>
    </row>
    <row r="456" spans="1:8" ht="15.75">
      <c r="A456" s="26" t="s">
        <v>252</v>
      </c>
      <c r="B456" s="17">
        <v>903</v>
      </c>
      <c r="C456" s="21" t="s">
        <v>295</v>
      </c>
      <c r="D456" s="21" t="s">
        <v>266</v>
      </c>
      <c r="E456" s="21" t="s">
        <v>253</v>
      </c>
      <c r="F456" s="21"/>
      <c r="G456" s="27">
        <f>G457</f>
        <v>0</v>
      </c>
      <c r="H456" s="207"/>
    </row>
    <row r="457" spans="1:8" ht="31.5">
      <c r="A457" s="26" t="s">
        <v>299</v>
      </c>
      <c r="B457" s="17">
        <v>903</v>
      </c>
      <c r="C457" s="21" t="s">
        <v>295</v>
      </c>
      <c r="D457" s="21" t="s">
        <v>266</v>
      </c>
      <c r="E457" s="21" t="s">
        <v>253</v>
      </c>
      <c r="F457" s="21" t="s">
        <v>300</v>
      </c>
      <c r="G457" s="27">
        <f>G458</f>
        <v>0</v>
      </c>
      <c r="H457" s="207"/>
    </row>
    <row r="458" spans="1:8" ht="31.5">
      <c r="A458" s="26" t="s">
        <v>399</v>
      </c>
      <c r="B458" s="17">
        <v>903</v>
      </c>
      <c r="C458" s="21" t="s">
        <v>295</v>
      </c>
      <c r="D458" s="21" t="s">
        <v>266</v>
      </c>
      <c r="E458" s="21" t="s">
        <v>253</v>
      </c>
      <c r="F458" s="21" t="s">
        <v>400</v>
      </c>
      <c r="G458" s="27">
        <v>0</v>
      </c>
      <c r="H458" s="207"/>
    </row>
    <row r="459" spans="1:8" ht="47.25">
      <c r="A459" s="20" t="s">
        <v>439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7"/>
    </row>
    <row r="460" spans="1:8" ht="15.75">
      <c r="A460" s="24" t="s">
        <v>168</v>
      </c>
      <c r="B460" s="20">
        <v>905</v>
      </c>
      <c r="C460" s="25" t="s">
        <v>169</v>
      </c>
      <c r="D460" s="21"/>
      <c r="E460" s="21"/>
      <c r="F460" s="21"/>
      <c r="G460" s="22">
        <f>G461+G471</f>
        <v>14701.94</v>
      </c>
      <c r="H460" s="207"/>
    </row>
    <row r="461" spans="1:8" ht="78.75">
      <c r="A461" s="24" t="s">
        <v>200</v>
      </c>
      <c r="B461" s="20">
        <v>905</v>
      </c>
      <c r="C461" s="25" t="s">
        <v>169</v>
      </c>
      <c r="D461" s="25" t="s">
        <v>201</v>
      </c>
      <c r="E461" s="25"/>
      <c r="F461" s="25"/>
      <c r="G461" s="22">
        <f>G462</f>
        <v>11089</v>
      </c>
      <c r="H461" s="207"/>
    </row>
    <row r="462" spans="1:8" ht="15.75">
      <c r="A462" s="26" t="s">
        <v>172</v>
      </c>
      <c r="B462" s="17">
        <v>905</v>
      </c>
      <c r="C462" s="21" t="s">
        <v>169</v>
      </c>
      <c r="D462" s="21" t="s">
        <v>201</v>
      </c>
      <c r="E462" s="21" t="s">
        <v>173</v>
      </c>
      <c r="F462" s="21"/>
      <c r="G462" s="27">
        <f>G463</f>
        <v>11089</v>
      </c>
      <c r="H462" s="207"/>
    </row>
    <row r="463" spans="1:8" ht="31.5">
      <c r="A463" s="26" t="s">
        <v>174</v>
      </c>
      <c r="B463" s="17">
        <v>905</v>
      </c>
      <c r="C463" s="21" t="s">
        <v>169</v>
      </c>
      <c r="D463" s="21" t="s">
        <v>201</v>
      </c>
      <c r="E463" s="21" t="s">
        <v>175</v>
      </c>
      <c r="F463" s="21"/>
      <c r="G463" s="27">
        <f>G464</f>
        <v>11089</v>
      </c>
      <c r="H463" s="207"/>
    </row>
    <row r="464" spans="1:8" ht="47.25">
      <c r="A464" s="26" t="s">
        <v>176</v>
      </c>
      <c r="B464" s="17">
        <v>905</v>
      </c>
      <c r="C464" s="21" t="s">
        <v>169</v>
      </c>
      <c r="D464" s="21" t="s">
        <v>201</v>
      </c>
      <c r="E464" s="21" t="s">
        <v>177</v>
      </c>
      <c r="F464" s="21"/>
      <c r="G464" s="27">
        <f>G465+G467+G469</f>
        <v>11089</v>
      </c>
      <c r="H464" s="207"/>
    </row>
    <row r="465" spans="1:8" ht="94.5">
      <c r="A465" s="26" t="s">
        <v>178</v>
      </c>
      <c r="B465" s="17">
        <v>905</v>
      </c>
      <c r="C465" s="21" t="s">
        <v>169</v>
      </c>
      <c r="D465" s="21" t="s">
        <v>201</v>
      </c>
      <c r="E465" s="21" t="s">
        <v>177</v>
      </c>
      <c r="F465" s="21" t="s">
        <v>179</v>
      </c>
      <c r="G465" s="27">
        <f>G466</f>
        <v>10200.7</v>
      </c>
      <c r="H465" s="207"/>
    </row>
    <row r="466" spans="1:8" ht="31.5">
      <c r="A466" s="26" t="s">
        <v>180</v>
      </c>
      <c r="B466" s="17">
        <v>905</v>
      </c>
      <c r="C466" s="21" t="s">
        <v>169</v>
      </c>
      <c r="D466" s="21" t="s">
        <v>201</v>
      </c>
      <c r="E466" s="21" t="s">
        <v>177</v>
      </c>
      <c r="F466" s="21" t="s">
        <v>181</v>
      </c>
      <c r="G466" s="28">
        <v>10200.7</v>
      </c>
      <c r="H466" s="207"/>
    </row>
    <row r="467" spans="1:8" ht="31.5">
      <c r="A467" s="26" t="s">
        <v>182</v>
      </c>
      <c r="B467" s="17">
        <v>905</v>
      </c>
      <c r="C467" s="21" t="s">
        <v>169</v>
      </c>
      <c r="D467" s="21" t="s">
        <v>201</v>
      </c>
      <c r="E467" s="21" t="s">
        <v>177</v>
      </c>
      <c r="F467" s="21" t="s">
        <v>183</v>
      </c>
      <c r="G467" s="27">
        <f>G468</f>
        <v>811.8</v>
      </c>
      <c r="H467" s="207"/>
    </row>
    <row r="468" spans="1:8" ht="47.25">
      <c r="A468" s="26" t="s">
        <v>184</v>
      </c>
      <c r="B468" s="17">
        <v>905</v>
      </c>
      <c r="C468" s="21" t="s">
        <v>169</v>
      </c>
      <c r="D468" s="21" t="s">
        <v>201</v>
      </c>
      <c r="E468" s="21" t="s">
        <v>177</v>
      </c>
      <c r="F468" s="21" t="s">
        <v>185</v>
      </c>
      <c r="G468" s="185">
        <f>885.8-74</f>
        <v>811.8</v>
      </c>
      <c r="H468" s="186" t="s">
        <v>811</v>
      </c>
    </row>
    <row r="469" spans="1:8" ht="15.75">
      <c r="A469" s="26" t="s">
        <v>186</v>
      </c>
      <c r="B469" s="17">
        <v>905</v>
      </c>
      <c r="C469" s="21" t="s">
        <v>169</v>
      </c>
      <c r="D469" s="21" t="s">
        <v>201</v>
      </c>
      <c r="E469" s="21" t="s">
        <v>177</v>
      </c>
      <c r="F469" s="21" t="s">
        <v>196</v>
      </c>
      <c r="G469" s="27">
        <f>G470</f>
        <v>76.5</v>
      </c>
      <c r="H469" s="207"/>
    </row>
    <row r="470" spans="1:8" ht="15.75">
      <c r="A470" s="26" t="s">
        <v>620</v>
      </c>
      <c r="B470" s="17">
        <v>905</v>
      </c>
      <c r="C470" s="21" t="s">
        <v>169</v>
      </c>
      <c r="D470" s="21" t="s">
        <v>201</v>
      </c>
      <c r="E470" s="21" t="s">
        <v>177</v>
      </c>
      <c r="F470" s="21" t="s">
        <v>189</v>
      </c>
      <c r="G470" s="187">
        <f>2.5+74</f>
        <v>76.5</v>
      </c>
      <c r="H470" s="186" t="s">
        <v>812</v>
      </c>
    </row>
    <row r="471" spans="1:8" ht="15.75">
      <c r="A471" s="24" t="s">
        <v>190</v>
      </c>
      <c r="B471" s="20">
        <v>905</v>
      </c>
      <c r="C471" s="25" t="s">
        <v>169</v>
      </c>
      <c r="D471" s="25" t="s">
        <v>191</v>
      </c>
      <c r="E471" s="25"/>
      <c r="F471" s="25"/>
      <c r="G471" s="22">
        <f>G472</f>
        <v>3612.94</v>
      </c>
      <c r="H471" s="207"/>
    </row>
    <row r="472" spans="1:8" ht="15.75">
      <c r="A472" s="26" t="s">
        <v>172</v>
      </c>
      <c r="B472" s="17">
        <v>905</v>
      </c>
      <c r="C472" s="21" t="s">
        <v>169</v>
      </c>
      <c r="D472" s="21" t="s">
        <v>191</v>
      </c>
      <c r="E472" s="21" t="s">
        <v>173</v>
      </c>
      <c r="F472" s="21"/>
      <c r="G472" s="27">
        <f>G473</f>
        <v>3612.94</v>
      </c>
      <c r="H472" s="207"/>
    </row>
    <row r="473" spans="1:8" ht="15.75">
      <c r="A473" s="26" t="s">
        <v>192</v>
      </c>
      <c r="B473" s="17">
        <v>905</v>
      </c>
      <c r="C473" s="21" t="s">
        <v>169</v>
      </c>
      <c r="D473" s="21" t="s">
        <v>191</v>
      </c>
      <c r="E473" s="21" t="s">
        <v>193</v>
      </c>
      <c r="F473" s="21"/>
      <c r="G473" s="27">
        <f>G474</f>
        <v>3612.94</v>
      </c>
      <c r="H473" s="207"/>
    </row>
    <row r="474" spans="1:8" ht="47.25">
      <c r="A474" s="26" t="s">
        <v>440</v>
      </c>
      <c r="B474" s="17">
        <v>905</v>
      </c>
      <c r="C474" s="21" t="s">
        <v>169</v>
      </c>
      <c r="D474" s="21" t="s">
        <v>191</v>
      </c>
      <c r="E474" s="21" t="s">
        <v>441</v>
      </c>
      <c r="F474" s="21"/>
      <c r="G474" s="27">
        <f>G475</f>
        <v>3612.94</v>
      </c>
      <c r="H474" s="207"/>
    </row>
    <row r="475" spans="1:8" ht="31.5">
      <c r="A475" s="26" t="s">
        <v>182</v>
      </c>
      <c r="B475" s="17">
        <v>905</v>
      </c>
      <c r="C475" s="21" t="s">
        <v>169</v>
      </c>
      <c r="D475" s="21" t="s">
        <v>191</v>
      </c>
      <c r="E475" s="21" t="s">
        <v>441</v>
      </c>
      <c r="F475" s="21" t="s">
        <v>183</v>
      </c>
      <c r="G475" s="27">
        <f>G476</f>
        <v>3612.94</v>
      </c>
      <c r="H475" s="207"/>
    </row>
    <row r="476" spans="1:9" ht="47.25">
      <c r="A476" s="26" t="s">
        <v>184</v>
      </c>
      <c r="B476" s="17">
        <v>905</v>
      </c>
      <c r="C476" s="21" t="s">
        <v>169</v>
      </c>
      <c r="D476" s="21" t="s">
        <v>191</v>
      </c>
      <c r="E476" s="21" t="s">
        <v>441</v>
      </c>
      <c r="F476" s="21" t="s">
        <v>185</v>
      </c>
      <c r="G476" s="191">
        <f>1961.14+1251.8+400</f>
        <v>3612.94</v>
      </c>
      <c r="H476" s="130" t="s">
        <v>829</v>
      </c>
      <c r="I476" s="150"/>
    </row>
    <row r="477" spans="1:8" ht="15.75">
      <c r="A477" s="43" t="s">
        <v>442</v>
      </c>
      <c r="B477" s="20">
        <v>905</v>
      </c>
      <c r="C477" s="25" t="s">
        <v>285</v>
      </c>
      <c r="D477" s="25"/>
      <c r="E477" s="25"/>
      <c r="F477" s="25"/>
      <c r="G477" s="22">
        <f>G478</f>
        <v>1099.8</v>
      </c>
      <c r="H477" s="207"/>
    </row>
    <row r="478" spans="1:8" ht="15.75">
      <c r="A478" s="43" t="s">
        <v>443</v>
      </c>
      <c r="B478" s="20">
        <v>905</v>
      </c>
      <c r="C478" s="25" t="s">
        <v>285</v>
      </c>
      <c r="D478" s="25" t="s">
        <v>169</v>
      </c>
      <c r="E478" s="25"/>
      <c r="F478" s="25"/>
      <c r="G478" s="27">
        <f>G479</f>
        <v>1099.8</v>
      </c>
      <c r="H478" s="207"/>
    </row>
    <row r="479" spans="1:8" ht="15.75">
      <c r="A479" s="31" t="s">
        <v>172</v>
      </c>
      <c r="B479" s="17">
        <v>905</v>
      </c>
      <c r="C479" s="21" t="s">
        <v>285</v>
      </c>
      <c r="D479" s="21" t="s">
        <v>169</v>
      </c>
      <c r="E479" s="21" t="s">
        <v>173</v>
      </c>
      <c r="F479" s="21"/>
      <c r="G479" s="27">
        <f>G485+G480</f>
        <v>1099.8</v>
      </c>
      <c r="H479" s="207"/>
    </row>
    <row r="480" spans="1:8" ht="31.5" hidden="1">
      <c r="A480" s="26" t="s">
        <v>236</v>
      </c>
      <c r="B480" s="39">
        <v>905</v>
      </c>
      <c r="C480" s="21" t="s">
        <v>285</v>
      </c>
      <c r="D480" s="21" t="s">
        <v>169</v>
      </c>
      <c r="E480" s="21" t="s">
        <v>237</v>
      </c>
      <c r="F480" s="21"/>
      <c r="G480" s="27">
        <f>G481</f>
        <v>0</v>
      </c>
      <c r="H480" s="207"/>
    </row>
    <row r="481" spans="1:8" ht="47.25" hidden="1">
      <c r="A481" s="38" t="s">
        <v>444</v>
      </c>
      <c r="B481" s="39">
        <v>905</v>
      </c>
      <c r="C481" s="21" t="s">
        <v>285</v>
      </c>
      <c r="D481" s="21" t="s">
        <v>169</v>
      </c>
      <c r="E481" s="21" t="s">
        <v>445</v>
      </c>
      <c r="F481" s="21"/>
      <c r="G481" s="27">
        <f>G482</f>
        <v>0</v>
      </c>
      <c r="H481" s="207"/>
    </row>
    <row r="482" spans="1:8" ht="31.5" hidden="1">
      <c r="A482" s="44" t="s">
        <v>446</v>
      </c>
      <c r="B482" s="39">
        <v>905</v>
      </c>
      <c r="C482" s="21" t="s">
        <v>285</v>
      </c>
      <c r="D482" s="21" t="s">
        <v>169</v>
      </c>
      <c r="E482" s="21" t="s">
        <v>447</v>
      </c>
      <c r="F482" s="21"/>
      <c r="G482" s="27">
        <f>G483</f>
        <v>0</v>
      </c>
      <c r="H482" s="207"/>
    </row>
    <row r="483" spans="1:8" ht="31.5" hidden="1">
      <c r="A483" s="26" t="s">
        <v>182</v>
      </c>
      <c r="B483" s="17">
        <v>905</v>
      </c>
      <c r="C483" s="21" t="s">
        <v>285</v>
      </c>
      <c r="D483" s="21" t="s">
        <v>169</v>
      </c>
      <c r="E483" s="21" t="s">
        <v>447</v>
      </c>
      <c r="F483" s="21" t="s">
        <v>183</v>
      </c>
      <c r="G483" s="27">
        <f>G484</f>
        <v>0</v>
      </c>
      <c r="H483" s="207"/>
    </row>
    <row r="484" spans="1:8" ht="47.25" hidden="1">
      <c r="A484" s="26" t="s">
        <v>184</v>
      </c>
      <c r="B484" s="17">
        <v>905</v>
      </c>
      <c r="C484" s="21" t="s">
        <v>285</v>
      </c>
      <c r="D484" s="21" t="s">
        <v>169</v>
      </c>
      <c r="E484" s="21" t="s">
        <v>447</v>
      </c>
      <c r="F484" s="21" t="s">
        <v>185</v>
      </c>
      <c r="G484" s="27"/>
      <c r="H484" s="207"/>
    </row>
    <row r="485" spans="1:8" ht="15.75">
      <c r="A485" s="31" t="s">
        <v>192</v>
      </c>
      <c r="B485" s="17">
        <v>905</v>
      </c>
      <c r="C485" s="21" t="s">
        <v>285</v>
      </c>
      <c r="D485" s="21" t="s">
        <v>169</v>
      </c>
      <c r="E485" s="21" t="s">
        <v>193</v>
      </c>
      <c r="F485" s="21"/>
      <c r="G485" s="27">
        <f>G486+G489</f>
        <v>1099.8</v>
      </c>
      <c r="H485" s="207"/>
    </row>
    <row r="486" spans="1:8" ht="31.5">
      <c r="A486" s="31" t="s">
        <v>450</v>
      </c>
      <c r="B486" s="17">
        <v>905</v>
      </c>
      <c r="C486" s="21" t="s">
        <v>285</v>
      </c>
      <c r="D486" s="21" t="s">
        <v>169</v>
      </c>
      <c r="E486" s="21" t="s">
        <v>451</v>
      </c>
      <c r="F486" s="21"/>
      <c r="G486" s="27">
        <f>G487</f>
        <v>260.8</v>
      </c>
      <c r="H486" s="207"/>
    </row>
    <row r="487" spans="1:8" ht="31.5">
      <c r="A487" s="26" t="s">
        <v>182</v>
      </c>
      <c r="B487" s="17">
        <v>905</v>
      </c>
      <c r="C487" s="21" t="s">
        <v>285</v>
      </c>
      <c r="D487" s="21" t="s">
        <v>169</v>
      </c>
      <c r="E487" s="21" t="s">
        <v>451</v>
      </c>
      <c r="F487" s="21" t="s">
        <v>183</v>
      </c>
      <c r="G487" s="27">
        <f>G488</f>
        <v>260.8</v>
      </c>
      <c r="H487" s="207"/>
    </row>
    <row r="488" spans="1:8" ht="47.25">
      <c r="A488" s="26" t="s">
        <v>184</v>
      </c>
      <c r="B488" s="17">
        <v>905</v>
      </c>
      <c r="C488" s="21" t="s">
        <v>285</v>
      </c>
      <c r="D488" s="21" t="s">
        <v>169</v>
      </c>
      <c r="E488" s="21" t="s">
        <v>451</v>
      </c>
      <c r="F488" s="21" t="s">
        <v>185</v>
      </c>
      <c r="G488" s="27">
        <v>260.8</v>
      </c>
      <c r="H488" s="207"/>
    </row>
    <row r="489" spans="1:8" ht="15.75">
      <c r="A489" s="31" t="s">
        <v>448</v>
      </c>
      <c r="B489" s="17">
        <v>905</v>
      </c>
      <c r="C489" s="21" t="s">
        <v>285</v>
      </c>
      <c r="D489" s="21" t="s">
        <v>169</v>
      </c>
      <c r="E489" s="21" t="s">
        <v>449</v>
      </c>
      <c r="F489" s="21"/>
      <c r="G489" s="27">
        <f>G490</f>
        <v>839</v>
      </c>
      <c r="H489" s="207"/>
    </row>
    <row r="490" spans="1:8" ht="31.5">
      <c r="A490" s="26" t="s">
        <v>182</v>
      </c>
      <c r="B490" s="17">
        <v>905</v>
      </c>
      <c r="C490" s="21" t="s">
        <v>285</v>
      </c>
      <c r="D490" s="21" t="s">
        <v>169</v>
      </c>
      <c r="E490" s="21" t="s">
        <v>449</v>
      </c>
      <c r="F490" s="21" t="s">
        <v>183</v>
      </c>
      <c r="G490" s="27">
        <f>G491</f>
        <v>839</v>
      </c>
      <c r="H490" s="207"/>
    </row>
    <row r="491" spans="1:9" ht="47.25">
      <c r="A491" s="26" t="s">
        <v>184</v>
      </c>
      <c r="B491" s="17">
        <v>905</v>
      </c>
      <c r="C491" s="21" t="s">
        <v>285</v>
      </c>
      <c r="D491" s="21" t="s">
        <v>169</v>
      </c>
      <c r="E491" s="21" t="s">
        <v>449</v>
      </c>
      <c r="F491" s="21" t="s">
        <v>185</v>
      </c>
      <c r="G491" s="27">
        <v>839</v>
      </c>
      <c r="H491" s="207"/>
      <c r="I491" s="139"/>
    </row>
    <row r="492" spans="1:8" ht="15.75" hidden="1">
      <c r="A492" s="45" t="s">
        <v>294</v>
      </c>
      <c r="B492" s="20">
        <v>905</v>
      </c>
      <c r="C492" s="25" t="s">
        <v>295</v>
      </c>
      <c r="D492" s="25"/>
      <c r="E492" s="25"/>
      <c r="F492" s="25"/>
      <c r="G492" s="22">
        <f>G493</f>
        <v>0</v>
      </c>
      <c r="H492" s="207"/>
    </row>
    <row r="493" spans="1:8" ht="15.75" hidden="1">
      <c r="A493" s="24" t="s">
        <v>452</v>
      </c>
      <c r="B493" s="20">
        <v>905</v>
      </c>
      <c r="C493" s="25" t="s">
        <v>295</v>
      </c>
      <c r="D493" s="25" t="s">
        <v>201</v>
      </c>
      <c r="E493" s="25"/>
      <c r="F493" s="25"/>
      <c r="G493" s="22">
        <f>G494</f>
        <v>0</v>
      </c>
      <c r="H493" s="207"/>
    </row>
    <row r="494" spans="1:8" ht="31.5" hidden="1">
      <c r="A494" s="26" t="s">
        <v>236</v>
      </c>
      <c r="B494" s="17">
        <v>905</v>
      </c>
      <c r="C494" s="21" t="s">
        <v>295</v>
      </c>
      <c r="D494" s="21" t="s">
        <v>201</v>
      </c>
      <c r="E494" s="21" t="s">
        <v>237</v>
      </c>
      <c r="F494" s="21"/>
      <c r="G494" s="27">
        <f>G495</f>
        <v>0</v>
      </c>
      <c r="H494" s="207"/>
    </row>
    <row r="495" spans="1:8" ht="47.25" hidden="1">
      <c r="A495" s="33" t="s">
        <v>453</v>
      </c>
      <c r="B495" s="17">
        <v>905</v>
      </c>
      <c r="C495" s="21" t="s">
        <v>295</v>
      </c>
      <c r="D495" s="21" t="s">
        <v>201</v>
      </c>
      <c r="E495" s="21" t="s">
        <v>454</v>
      </c>
      <c r="F495" s="21"/>
      <c r="G495" s="27">
        <f>G496</f>
        <v>0</v>
      </c>
      <c r="H495" s="207"/>
    </row>
    <row r="496" spans="1:8" ht="31.5" hidden="1">
      <c r="A496" s="26" t="s">
        <v>182</v>
      </c>
      <c r="B496" s="17">
        <v>905</v>
      </c>
      <c r="C496" s="21" t="s">
        <v>295</v>
      </c>
      <c r="D496" s="21" t="s">
        <v>201</v>
      </c>
      <c r="E496" s="21" t="s">
        <v>454</v>
      </c>
      <c r="F496" s="21" t="s">
        <v>183</v>
      </c>
      <c r="G496" s="27">
        <f>G497</f>
        <v>0</v>
      </c>
      <c r="H496" s="207"/>
    </row>
    <row r="497" spans="1:9" ht="47.25" hidden="1">
      <c r="A497" s="26" t="s">
        <v>184</v>
      </c>
      <c r="B497" s="17">
        <v>905</v>
      </c>
      <c r="C497" s="21" t="s">
        <v>295</v>
      </c>
      <c r="D497" s="21" t="s">
        <v>201</v>
      </c>
      <c r="E497" s="21" t="s">
        <v>454</v>
      </c>
      <c r="F497" s="21" t="s">
        <v>185</v>
      </c>
      <c r="G497" s="27">
        <f>1330-1330</f>
        <v>0</v>
      </c>
      <c r="H497" s="207"/>
      <c r="I497" s="139"/>
    </row>
    <row r="498" spans="1:12" ht="31.5">
      <c r="A498" s="20" t="s">
        <v>455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7"/>
      <c r="L498" s="140"/>
    </row>
    <row r="499" spans="1:8" ht="15.75">
      <c r="A499" s="24" t="s">
        <v>168</v>
      </c>
      <c r="B499" s="20">
        <v>906</v>
      </c>
      <c r="C499" s="25" t="s">
        <v>169</v>
      </c>
      <c r="D499" s="25"/>
      <c r="E499" s="25"/>
      <c r="F499" s="25"/>
      <c r="G499" s="22">
        <f aca="true" t="shared" si="2" ref="G499:G504">G500</f>
        <v>5</v>
      </c>
      <c r="H499" s="207"/>
    </row>
    <row r="500" spans="1:8" ht="15.75">
      <c r="A500" s="36" t="s">
        <v>190</v>
      </c>
      <c r="B500" s="20">
        <v>906</v>
      </c>
      <c r="C500" s="25" t="s">
        <v>169</v>
      </c>
      <c r="D500" s="25" t="s">
        <v>191</v>
      </c>
      <c r="E500" s="25"/>
      <c r="F500" s="25"/>
      <c r="G500" s="22">
        <f t="shared" si="2"/>
        <v>5</v>
      </c>
      <c r="H500" s="207"/>
    </row>
    <row r="501" spans="1:8" ht="18" customHeight="1">
      <c r="A501" s="33" t="s">
        <v>172</v>
      </c>
      <c r="B501" s="17">
        <v>906</v>
      </c>
      <c r="C501" s="21" t="s">
        <v>169</v>
      </c>
      <c r="D501" s="21" t="s">
        <v>191</v>
      </c>
      <c r="E501" s="21" t="s">
        <v>173</v>
      </c>
      <c r="F501" s="21"/>
      <c r="G501" s="27">
        <f t="shared" si="2"/>
        <v>5</v>
      </c>
      <c r="H501" s="207"/>
    </row>
    <row r="502" spans="1:8" ht="15.75">
      <c r="A502" s="33" t="s">
        <v>192</v>
      </c>
      <c r="B502" s="17">
        <v>906</v>
      </c>
      <c r="C502" s="21" t="s">
        <v>169</v>
      </c>
      <c r="D502" s="21" t="s">
        <v>191</v>
      </c>
      <c r="E502" s="21" t="s">
        <v>193</v>
      </c>
      <c r="F502" s="21"/>
      <c r="G502" s="27">
        <f t="shared" si="2"/>
        <v>5</v>
      </c>
      <c r="H502" s="207"/>
    </row>
    <row r="503" spans="1:8" ht="15.75">
      <c r="A503" s="26" t="s">
        <v>230</v>
      </c>
      <c r="B503" s="17">
        <v>906</v>
      </c>
      <c r="C503" s="21" t="s">
        <v>169</v>
      </c>
      <c r="D503" s="21" t="s">
        <v>191</v>
      </c>
      <c r="E503" s="21" t="s">
        <v>256</v>
      </c>
      <c r="F503" s="21"/>
      <c r="G503" s="27">
        <f t="shared" si="2"/>
        <v>5</v>
      </c>
      <c r="H503" s="207"/>
    </row>
    <row r="504" spans="1:8" ht="31.5">
      <c r="A504" s="26" t="s">
        <v>182</v>
      </c>
      <c r="B504" s="17">
        <v>906</v>
      </c>
      <c r="C504" s="21" t="s">
        <v>169</v>
      </c>
      <c r="D504" s="21" t="s">
        <v>191</v>
      </c>
      <c r="E504" s="21" t="s">
        <v>256</v>
      </c>
      <c r="F504" s="21" t="s">
        <v>183</v>
      </c>
      <c r="G504" s="27">
        <f t="shared" si="2"/>
        <v>5</v>
      </c>
      <c r="H504" s="207"/>
    </row>
    <row r="505" spans="1:8" ht="47.25">
      <c r="A505" s="26" t="s">
        <v>184</v>
      </c>
      <c r="B505" s="17">
        <v>906</v>
      </c>
      <c r="C505" s="21" t="s">
        <v>169</v>
      </c>
      <c r="D505" s="21" t="s">
        <v>191</v>
      </c>
      <c r="E505" s="21" t="s">
        <v>256</v>
      </c>
      <c r="F505" s="21" t="s">
        <v>185</v>
      </c>
      <c r="G505" s="27">
        <v>5</v>
      </c>
      <c r="H505" s="207"/>
    </row>
    <row r="506" spans="1:8" ht="15.75">
      <c r="A506" s="24" t="s">
        <v>314</v>
      </c>
      <c r="B506" s="20">
        <v>906</v>
      </c>
      <c r="C506" s="25" t="s">
        <v>315</v>
      </c>
      <c r="D506" s="25"/>
      <c r="E506" s="25"/>
      <c r="F506" s="25"/>
      <c r="G506" s="22">
        <f>G507+G546+G633+G645+G612</f>
        <v>261516.80000000002</v>
      </c>
      <c r="H506" s="207"/>
    </row>
    <row r="507" spans="1:8" ht="15.75">
      <c r="A507" s="24" t="s">
        <v>456</v>
      </c>
      <c r="B507" s="20">
        <v>906</v>
      </c>
      <c r="C507" s="25" t="s">
        <v>315</v>
      </c>
      <c r="D507" s="25" t="s">
        <v>169</v>
      </c>
      <c r="E507" s="25"/>
      <c r="F507" s="25"/>
      <c r="G507" s="22">
        <f>G508+G526</f>
        <v>84659.4</v>
      </c>
      <c r="H507" s="207"/>
    </row>
    <row r="508" spans="1:8" ht="47.25">
      <c r="A508" s="26" t="s">
        <v>457</v>
      </c>
      <c r="B508" s="17">
        <v>906</v>
      </c>
      <c r="C508" s="21" t="s">
        <v>315</v>
      </c>
      <c r="D508" s="21" t="s">
        <v>169</v>
      </c>
      <c r="E508" s="21" t="s">
        <v>458</v>
      </c>
      <c r="F508" s="21"/>
      <c r="G508" s="27">
        <f>G509+G513</f>
        <v>23453.4</v>
      </c>
      <c r="H508" s="207"/>
    </row>
    <row r="509" spans="1:8" ht="47.25">
      <c r="A509" s="26" t="s">
        <v>459</v>
      </c>
      <c r="B509" s="17">
        <v>906</v>
      </c>
      <c r="C509" s="21" t="s">
        <v>315</v>
      </c>
      <c r="D509" s="21" t="s">
        <v>169</v>
      </c>
      <c r="E509" s="21" t="s">
        <v>460</v>
      </c>
      <c r="F509" s="21"/>
      <c r="G509" s="27">
        <f>G510</f>
        <v>15578.400000000001</v>
      </c>
      <c r="H509" s="207"/>
    </row>
    <row r="510" spans="1:8" ht="47.25">
      <c r="A510" s="26" t="s">
        <v>461</v>
      </c>
      <c r="B510" s="17">
        <v>906</v>
      </c>
      <c r="C510" s="21" t="s">
        <v>315</v>
      </c>
      <c r="D510" s="21" t="s">
        <v>169</v>
      </c>
      <c r="E510" s="21" t="s">
        <v>462</v>
      </c>
      <c r="F510" s="21"/>
      <c r="G510" s="27">
        <f>G511</f>
        <v>15578.400000000001</v>
      </c>
      <c r="H510" s="207"/>
    </row>
    <row r="511" spans="1:8" ht="47.25">
      <c r="A511" s="26" t="s">
        <v>323</v>
      </c>
      <c r="B511" s="17">
        <v>906</v>
      </c>
      <c r="C511" s="21" t="s">
        <v>315</v>
      </c>
      <c r="D511" s="21" t="s">
        <v>169</v>
      </c>
      <c r="E511" s="21" t="s">
        <v>462</v>
      </c>
      <c r="F511" s="21" t="s">
        <v>324</v>
      </c>
      <c r="G511" s="27">
        <f>G512</f>
        <v>15578.400000000001</v>
      </c>
      <c r="H511" s="207"/>
    </row>
    <row r="512" spans="1:9" ht="15.75">
      <c r="A512" s="26" t="s">
        <v>325</v>
      </c>
      <c r="B512" s="17">
        <v>906</v>
      </c>
      <c r="C512" s="21" t="s">
        <v>315</v>
      </c>
      <c r="D512" s="21" t="s">
        <v>169</v>
      </c>
      <c r="E512" s="21" t="s">
        <v>462</v>
      </c>
      <c r="F512" s="21" t="s">
        <v>326</v>
      </c>
      <c r="G512" s="28">
        <f>17368.2+6858.7-6314-1360.2-974.3</f>
        <v>15578.400000000001</v>
      </c>
      <c r="H512" s="209"/>
      <c r="I512" s="151"/>
    </row>
    <row r="513" spans="1:8" ht="47.25">
      <c r="A513" s="26" t="s">
        <v>463</v>
      </c>
      <c r="B513" s="17">
        <v>906</v>
      </c>
      <c r="C513" s="21" t="s">
        <v>315</v>
      </c>
      <c r="D513" s="21" t="s">
        <v>169</v>
      </c>
      <c r="E513" s="21" t="s">
        <v>464</v>
      </c>
      <c r="F513" s="21"/>
      <c r="G513" s="27">
        <f>G514+G517+G520+G523</f>
        <v>7875</v>
      </c>
      <c r="H513" s="207"/>
    </row>
    <row r="514" spans="1:8" ht="47.25" hidden="1">
      <c r="A514" s="26" t="s">
        <v>329</v>
      </c>
      <c r="B514" s="17">
        <v>906</v>
      </c>
      <c r="C514" s="21" t="s">
        <v>315</v>
      </c>
      <c r="D514" s="21" t="s">
        <v>169</v>
      </c>
      <c r="E514" s="21" t="s">
        <v>465</v>
      </c>
      <c r="F514" s="21"/>
      <c r="G514" s="27">
        <f>G515</f>
        <v>0</v>
      </c>
      <c r="H514" s="207"/>
    </row>
    <row r="515" spans="1:8" ht="47.25" hidden="1">
      <c r="A515" s="26" t="s">
        <v>323</v>
      </c>
      <c r="B515" s="17">
        <v>906</v>
      </c>
      <c r="C515" s="21" t="s">
        <v>315</v>
      </c>
      <c r="D515" s="21" t="s">
        <v>169</v>
      </c>
      <c r="E515" s="21" t="s">
        <v>465</v>
      </c>
      <c r="F515" s="21" t="s">
        <v>324</v>
      </c>
      <c r="G515" s="27">
        <f>G516</f>
        <v>0</v>
      </c>
      <c r="H515" s="207"/>
    </row>
    <row r="516" spans="1:8" ht="15.75" hidden="1">
      <c r="A516" s="26" t="s">
        <v>325</v>
      </c>
      <c r="B516" s="17">
        <v>906</v>
      </c>
      <c r="C516" s="21" t="s">
        <v>315</v>
      </c>
      <c r="D516" s="21" t="s">
        <v>169</v>
      </c>
      <c r="E516" s="21" t="s">
        <v>465</v>
      </c>
      <c r="F516" s="21" t="s">
        <v>326</v>
      </c>
      <c r="G516" s="27">
        <v>0</v>
      </c>
      <c r="H516" s="207"/>
    </row>
    <row r="517" spans="1:8" ht="31.5">
      <c r="A517" s="26" t="s">
        <v>331</v>
      </c>
      <c r="B517" s="17">
        <v>906</v>
      </c>
      <c r="C517" s="21" t="s">
        <v>315</v>
      </c>
      <c r="D517" s="21" t="s">
        <v>169</v>
      </c>
      <c r="E517" s="21" t="s">
        <v>466</v>
      </c>
      <c r="F517" s="21"/>
      <c r="G517" s="27">
        <f>G518</f>
        <v>1145</v>
      </c>
      <c r="H517" s="207"/>
    </row>
    <row r="518" spans="1:8" ht="47.25">
      <c r="A518" s="26" t="s">
        <v>323</v>
      </c>
      <c r="B518" s="17">
        <v>906</v>
      </c>
      <c r="C518" s="21" t="s">
        <v>315</v>
      </c>
      <c r="D518" s="21" t="s">
        <v>169</v>
      </c>
      <c r="E518" s="21" t="s">
        <v>466</v>
      </c>
      <c r="F518" s="21" t="s">
        <v>324</v>
      </c>
      <c r="G518" s="27">
        <f>G519</f>
        <v>1145</v>
      </c>
      <c r="H518" s="207"/>
    </row>
    <row r="519" spans="1:8" ht="15.75">
      <c r="A519" s="26" t="s">
        <v>325</v>
      </c>
      <c r="B519" s="17">
        <v>906</v>
      </c>
      <c r="C519" s="21" t="s">
        <v>315</v>
      </c>
      <c r="D519" s="21" t="s">
        <v>169</v>
      </c>
      <c r="E519" s="21" t="s">
        <v>466</v>
      </c>
      <c r="F519" s="21" t="s">
        <v>326</v>
      </c>
      <c r="G519" s="187">
        <f>800+300+45</f>
        <v>1145</v>
      </c>
      <c r="H519" s="194" t="s">
        <v>831</v>
      </c>
    </row>
    <row r="520" spans="1:8" ht="47.25">
      <c r="A520" s="26" t="s">
        <v>467</v>
      </c>
      <c r="B520" s="17">
        <v>906</v>
      </c>
      <c r="C520" s="21" t="s">
        <v>315</v>
      </c>
      <c r="D520" s="21" t="s">
        <v>169</v>
      </c>
      <c r="E520" s="21" t="s">
        <v>468</v>
      </c>
      <c r="F520" s="21"/>
      <c r="G520" s="27">
        <f>G521</f>
        <v>6730</v>
      </c>
      <c r="H520" s="207"/>
    </row>
    <row r="521" spans="1:8" ht="47.25">
      <c r="A521" s="26" t="s">
        <v>323</v>
      </c>
      <c r="B521" s="17">
        <v>906</v>
      </c>
      <c r="C521" s="21" t="s">
        <v>315</v>
      </c>
      <c r="D521" s="21" t="s">
        <v>169</v>
      </c>
      <c r="E521" s="21" t="s">
        <v>468</v>
      </c>
      <c r="F521" s="21" t="s">
        <v>324</v>
      </c>
      <c r="G521" s="27">
        <f>G522</f>
        <v>6730</v>
      </c>
      <c r="H521" s="207"/>
    </row>
    <row r="522" spans="1:8" ht="15.75">
      <c r="A522" s="26" t="s">
        <v>325</v>
      </c>
      <c r="B522" s="17">
        <v>906</v>
      </c>
      <c r="C522" s="21" t="s">
        <v>315</v>
      </c>
      <c r="D522" s="21" t="s">
        <v>169</v>
      </c>
      <c r="E522" s="21" t="s">
        <v>468</v>
      </c>
      <c r="F522" s="21" t="s">
        <v>326</v>
      </c>
      <c r="G522" s="28">
        <v>6730</v>
      </c>
      <c r="H522" s="207"/>
    </row>
    <row r="523" spans="1:8" ht="31.5" hidden="1">
      <c r="A523" s="26" t="s">
        <v>335</v>
      </c>
      <c r="B523" s="17">
        <v>906</v>
      </c>
      <c r="C523" s="21" t="s">
        <v>315</v>
      </c>
      <c r="D523" s="21" t="s">
        <v>169</v>
      </c>
      <c r="E523" s="21" t="s">
        <v>469</v>
      </c>
      <c r="F523" s="21"/>
      <c r="G523" s="27">
        <f>G524</f>
        <v>0</v>
      </c>
      <c r="H523" s="207"/>
    </row>
    <row r="524" spans="1:8" ht="47.25" hidden="1">
      <c r="A524" s="26" t="s">
        <v>323</v>
      </c>
      <c r="B524" s="17">
        <v>906</v>
      </c>
      <c r="C524" s="21" t="s">
        <v>315</v>
      </c>
      <c r="D524" s="21" t="s">
        <v>169</v>
      </c>
      <c r="E524" s="21" t="s">
        <v>469</v>
      </c>
      <c r="F524" s="21" t="s">
        <v>324</v>
      </c>
      <c r="G524" s="27">
        <f>G525</f>
        <v>0</v>
      </c>
      <c r="H524" s="207"/>
    </row>
    <row r="525" spans="1:8" ht="15.75" hidden="1">
      <c r="A525" s="26" t="s">
        <v>325</v>
      </c>
      <c r="B525" s="17">
        <v>906</v>
      </c>
      <c r="C525" s="21" t="s">
        <v>315</v>
      </c>
      <c r="D525" s="21" t="s">
        <v>169</v>
      </c>
      <c r="E525" s="21" t="s">
        <v>469</v>
      </c>
      <c r="F525" s="21" t="s">
        <v>326</v>
      </c>
      <c r="G525" s="27">
        <v>0</v>
      </c>
      <c r="H525" s="207"/>
    </row>
    <row r="526" spans="1:8" ht="15.75">
      <c r="A526" s="26" t="s">
        <v>172</v>
      </c>
      <c r="B526" s="17">
        <v>906</v>
      </c>
      <c r="C526" s="21" t="s">
        <v>315</v>
      </c>
      <c r="D526" s="21" t="s">
        <v>169</v>
      </c>
      <c r="E526" s="21" t="s">
        <v>173</v>
      </c>
      <c r="F526" s="21"/>
      <c r="G526" s="27">
        <f>G527</f>
        <v>61206</v>
      </c>
      <c r="H526" s="207"/>
    </row>
    <row r="527" spans="1:8" ht="31.5">
      <c r="A527" s="26" t="s">
        <v>236</v>
      </c>
      <c r="B527" s="17">
        <v>906</v>
      </c>
      <c r="C527" s="21" t="s">
        <v>315</v>
      </c>
      <c r="D527" s="21" t="s">
        <v>169</v>
      </c>
      <c r="E527" s="21" t="s">
        <v>237</v>
      </c>
      <c r="F527" s="21"/>
      <c r="G527" s="27">
        <f>G528+G531+G534+G537+G540+G543</f>
        <v>61206</v>
      </c>
      <c r="H527" s="207"/>
    </row>
    <row r="528" spans="1:8" ht="31.5" hidden="1">
      <c r="A528" s="26" t="s">
        <v>470</v>
      </c>
      <c r="B528" s="17">
        <v>906</v>
      </c>
      <c r="C528" s="21" t="s">
        <v>315</v>
      </c>
      <c r="D528" s="21" t="s">
        <v>169</v>
      </c>
      <c r="E528" s="21" t="s">
        <v>471</v>
      </c>
      <c r="F528" s="21"/>
      <c r="G528" s="27">
        <f>G529</f>
        <v>0</v>
      </c>
      <c r="H528" s="207"/>
    </row>
    <row r="529" spans="1:8" ht="47.25" hidden="1">
      <c r="A529" s="26" t="s">
        <v>323</v>
      </c>
      <c r="B529" s="17">
        <v>906</v>
      </c>
      <c r="C529" s="21" t="s">
        <v>315</v>
      </c>
      <c r="D529" s="21" t="s">
        <v>169</v>
      </c>
      <c r="E529" s="21" t="s">
        <v>471</v>
      </c>
      <c r="F529" s="21" t="s">
        <v>324</v>
      </c>
      <c r="G529" s="27">
        <f>G530</f>
        <v>0</v>
      </c>
      <c r="H529" s="207"/>
    </row>
    <row r="530" spans="1:8" ht="15.75" hidden="1">
      <c r="A530" s="26" t="s">
        <v>325</v>
      </c>
      <c r="B530" s="17">
        <v>906</v>
      </c>
      <c r="C530" s="21" t="s">
        <v>315</v>
      </c>
      <c r="D530" s="21" t="s">
        <v>169</v>
      </c>
      <c r="E530" s="21" t="s">
        <v>471</v>
      </c>
      <c r="F530" s="21" t="s">
        <v>326</v>
      </c>
      <c r="G530" s="27"/>
      <c r="H530" s="207"/>
    </row>
    <row r="531" spans="1:8" ht="63">
      <c r="A531" s="33" t="s">
        <v>340</v>
      </c>
      <c r="B531" s="17">
        <v>906</v>
      </c>
      <c r="C531" s="21" t="s">
        <v>315</v>
      </c>
      <c r="D531" s="21" t="s">
        <v>169</v>
      </c>
      <c r="E531" s="21" t="s">
        <v>341</v>
      </c>
      <c r="F531" s="21"/>
      <c r="G531" s="27">
        <f>G532</f>
        <v>310.2</v>
      </c>
      <c r="H531" s="207"/>
    </row>
    <row r="532" spans="1:8" ht="47.25">
      <c r="A532" s="26" t="s">
        <v>323</v>
      </c>
      <c r="B532" s="17">
        <v>906</v>
      </c>
      <c r="C532" s="21" t="s">
        <v>315</v>
      </c>
      <c r="D532" s="21" t="s">
        <v>169</v>
      </c>
      <c r="E532" s="21" t="s">
        <v>341</v>
      </c>
      <c r="F532" s="21" t="s">
        <v>324</v>
      </c>
      <c r="G532" s="27">
        <f>G533</f>
        <v>310.2</v>
      </c>
      <c r="H532" s="207"/>
    </row>
    <row r="533" spans="1:9" ht="15.75">
      <c r="A533" s="26" t="s">
        <v>325</v>
      </c>
      <c r="B533" s="17">
        <v>906</v>
      </c>
      <c r="C533" s="21" t="s">
        <v>315</v>
      </c>
      <c r="D533" s="21" t="s">
        <v>169</v>
      </c>
      <c r="E533" s="21" t="s">
        <v>341</v>
      </c>
      <c r="F533" s="21" t="s">
        <v>326</v>
      </c>
      <c r="G533" s="27">
        <f>416.2-106</f>
        <v>310.2</v>
      </c>
      <c r="H533" s="207"/>
      <c r="I533" s="139"/>
    </row>
    <row r="534" spans="1:8" ht="78.75">
      <c r="A534" s="33" t="s">
        <v>472</v>
      </c>
      <c r="B534" s="17">
        <v>906</v>
      </c>
      <c r="C534" s="21" t="s">
        <v>315</v>
      </c>
      <c r="D534" s="21" t="s">
        <v>169</v>
      </c>
      <c r="E534" s="21" t="s">
        <v>343</v>
      </c>
      <c r="F534" s="21"/>
      <c r="G534" s="27">
        <f>G535</f>
        <v>1696.8</v>
      </c>
      <c r="H534" s="207"/>
    </row>
    <row r="535" spans="1:8" ht="47.25">
      <c r="A535" s="26" t="s">
        <v>323</v>
      </c>
      <c r="B535" s="17">
        <v>906</v>
      </c>
      <c r="C535" s="21" t="s">
        <v>315</v>
      </c>
      <c r="D535" s="21" t="s">
        <v>169</v>
      </c>
      <c r="E535" s="21" t="s">
        <v>343</v>
      </c>
      <c r="F535" s="21" t="s">
        <v>324</v>
      </c>
      <c r="G535" s="27">
        <f>G536</f>
        <v>1696.8</v>
      </c>
      <c r="H535" s="207"/>
    </row>
    <row r="536" spans="1:9" ht="15.75">
      <c r="A536" s="26" t="s">
        <v>325</v>
      </c>
      <c r="B536" s="17">
        <v>906</v>
      </c>
      <c r="C536" s="21" t="s">
        <v>315</v>
      </c>
      <c r="D536" s="21" t="s">
        <v>169</v>
      </c>
      <c r="E536" s="21" t="s">
        <v>343</v>
      </c>
      <c r="F536" s="21" t="s">
        <v>326</v>
      </c>
      <c r="G536" s="27">
        <f>1900-203.2</f>
        <v>1696.8</v>
      </c>
      <c r="H536" s="207"/>
      <c r="I536" s="139"/>
    </row>
    <row r="537" spans="1:8" ht="94.5">
      <c r="A537" s="33" t="s">
        <v>473</v>
      </c>
      <c r="B537" s="17">
        <v>906</v>
      </c>
      <c r="C537" s="21" t="s">
        <v>315</v>
      </c>
      <c r="D537" s="21" t="s">
        <v>169</v>
      </c>
      <c r="E537" s="21" t="s">
        <v>474</v>
      </c>
      <c r="F537" s="21"/>
      <c r="G537" s="27">
        <f>G538</f>
        <v>56320</v>
      </c>
      <c r="H537" s="207"/>
    </row>
    <row r="538" spans="1:8" ht="47.25">
      <c r="A538" s="26" t="s">
        <v>323</v>
      </c>
      <c r="B538" s="17">
        <v>906</v>
      </c>
      <c r="C538" s="21" t="s">
        <v>315</v>
      </c>
      <c r="D538" s="21" t="s">
        <v>169</v>
      </c>
      <c r="E538" s="21" t="s">
        <v>474</v>
      </c>
      <c r="F538" s="21" t="s">
        <v>324</v>
      </c>
      <c r="G538" s="27">
        <f>G539</f>
        <v>56320</v>
      </c>
      <c r="H538" s="207"/>
    </row>
    <row r="539" spans="1:9" ht="15.75">
      <c r="A539" s="26" t="s">
        <v>325</v>
      </c>
      <c r="B539" s="17">
        <v>906</v>
      </c>
      <c r="C539" s="21" t="s">
        <v>315</v>
      </c>
      <c r="D539" s="21" t="s">
        <v>169</v>
      </c>
      <c r="E539" s="21" t="s">
        <v>474</v>
      </c>
      <c r="F539" s="21" t="s">
        <v>326</v>
      </c>
      <c r="G539" s="28">
        <f>66162.2-7643.6-2198.6</f>
        <v>56320</v>
      </c>
      <c r="H539" s="130"/>
      <c r="I539" s="139"/>
    </row>
    <row r="540" spans="1:8" ht="110.25">
      <c r="A540" s="33" t="s">
        <v>344</v>
      </c>
      <c r="B540" s="17">
        <v>906</v>
      </c>
      <c r="C540" s="21" t="s">
        <v>315</v>
      </c>
      <c r="D540" s="21" t="s">
        <v>169</v>
      </c>
      <c r="E540" s="21" t="s">
        <v>345</v>
      </c>
      <c r="F540" s="21"/>
      <c r="G540" s="27">
        <f>G541</f>
        <v>2879</v>
      </c>
      <c r="H540" s="207"/>
    </row>
    <row r="541" spans="1:8" ht="47.25">
      <c r="A541" s="26" t="s">
        <v>323</v>
      </c>
      <c r="B541" s="17">
        <v>906</v>
      </c>
      <c r="C541" s="21" t="s">
        <v>315</v>
      </c>
      <c r="D541" s="21" t="s">
        <v>169</v>
      </c>
      <c r="E541" s="21" t="s">
        <v>345</v>
      </c>
      <c r="F541" s="21" t="s">
        <v>324</v>
      </c>
      <c r="G541" s="27">
        <f>G542</f>
        <v>2879</v>
      </c>
      <c r="H541" s="207"/>
    </row>
    <row r="542" spans="1:9" ht="15.75">
      <c r="A542" s="26" t="s">
        <v>325</v>
      </c>
      <c r="B542" s="17">
        <v>906</v>
      </c>
      <c r="C542" s="21" t="s">
        <v>315</v>
      </c>
      <c r="D542" s="21" t="s">
        <v>169</v>
      </c>
      <c r="E542" s="21" t="s">
        <v>345</v>
      </c>
      <c r="F542" s="21" t="s">
        <v>326</v>
      </c>
      <c r="G542" s="28">
        <f>2937.2-58.2</f>
        <v>2879</v>
      </c>
      <c r="H542" s="207"/>
      <c r="I542" s="139"/>
    </row>
    <row r="543" spans="1:8" ht="157.5" hidden="1">
      <c r="A543" s="26" t="s">
        <v>475</v>
      </c>
      <c r="B543" s="17">
        <v>906</v>
      </c>
      <c r="C543" s="21" t="s">
        <v>315</v>
      </c>
      <c r="D543" s="21" t="s">
        <v>169</v>
      </c>
      <c r="E543" s="21" t="s">
        <v>476</v>
      </c>
      <c r="F543" s="21"/>
      <c r="G543" s="28">
        <f>G544</f>
        <v>0</v>
      </c>
      <c r="H543" s="207"/>
    </row>
    <row r="544" spans="1:8" ht="47.25" hidden="1">
      <c r="A544" s="26" t="s">
        <v>323</v>
      </c>
      <c r="B544" s="17">
        <v>906</v>
      </c>
      <c r="C544" s="21" t="s">
        <v>315</v>
      </c>
      <c r="D544" s="21" t="s">
        <v>169</v>
      </c>
      <c r="E544" s="21" t="s">
        <v>476</v>
      </c>
      <c r="F544" s="21" t="s">
        <v>324</v>
      </c>
      <c r="G544" s="28">
        <f>G545</f>
        <v>0</v>
      </c>
      <c r="H544" s="207"/>
    </row>
    <row r="545" spans="1:9" ht="15.75" hidden="1">
      <c r="A545" s="26" t="s">
        <v>325</v>
      </c>
      <c r="B545" s="17">
        <v>906</v>
      </c>
      <c r="C545" s="21" t="s">
        <v>315</v>
      </c>
      <c r="D545" s="21" t="s">
        <v>169</v>
      </c>
      <c r="E545" s="21" t="s">
        <v>476</v>
      </c>
      <c r="F545" s="21" t="s">
        <v>326</v>
      </c>
      <c r="G545" s="28">
        <f>276.5-276.5</f>
        <v>0</v>
      </c>
      <c r="H545" s="207"/>
      <c r="I545" s="139"/>
    </row>
    <row r="546" spans="1:8" ht="15.75">
      <c r="A546" s="24" t="s">
        <v>477</v>
      </c>
      <c r="B546" s="20">
        <v>906</v>
      </c>
      <c r="C546" s="25" t="s">
        <v>315</v>
      </c>
      <c r="D546" s="25" t="s">
        <v>264</v>
      </c>
      <c r="E546" s="25"/>
      <c r="F546" s="25"/>
      <c r="G546" s="22">
        <f>G547+G580</f>
        <v>130684.4</v>
      </c>
      <c r="H546" s="207"/>
    </row>
    <row r="547" spans="1:8" ht="47.25">
      <c r="A547" s="26" t="s">
        <v>478</v>
      </c>
      <c r="B547" s="17">
        <v>906</v>
      </c>
      <c r="C547" s="21" t="s">
        <v>315</v>
      </c>
      <c r="D547" s="21" t="s">
        <v>264</v>
      </c>
      <c r="E547" s="21" t="s">
        <v>458</v>
      </c>
      <c r="F547" s="21"/>
      <c r="G547" s="27">
        <f>G548+G552</f>
        <v>40826.6</v>
      </c>
      <c r="H547" s="207"/>
    </row>
    <row r="548" spans="1:8" ht="47.25">
      <c r="A548" s="26" t="s">
        <v>459</v>
      </c>
      <c r="B548" s="17">
        <v>906</v>
      </c>
      <c r="C548" s="21" t="s">
        <v>315</v>
      </c>
      <c r="D548" s="21" t="s">
        <v>264</v>
      </c>
      <c r="E548" s="21" t="s">
        <v>460</v>
      </c>
      <c r="F548" s="21"/>
      <c r="G548" s="27">
        <f>G549</f>
        <v>34151.2</v>
      </c>
      <c r="H548" s="207"/>
    </row>
    <row r="549" spans="1:8" ht="47.25">
      <c r="A549" s="26" t="s">
        <v>479</v>
      </c>
      <c r="B549" s="17">
        <v>906</v>
      </c>
      <c r="C549" s="21" t="s">
        <v>315</v>
      </c>
      <c r="D549" s="21" t="s">
        <v>264</v>
      </c>
      <c r="E549" s="21" t="s">
        <v>480</v>
      </c>
      <c r="F549" s="21"/>
      <c r="G549" s="27">
        <f>G550</f>
        <v>34151.2</v>
      </c>
      <c r="H549" s="207"/>
    </row>
    <row r="550" spans="1:8" ht="47.25">
      <c r="A550" s="26" t="s">
        <v>323</v>
      </c>
      <c r="B550" s="17">
        <v>906</v>
      </c>
      <c r="C550" s="21" t="s">
        <v>315</v>
      </c>
      <c r="D550" s="21" t="s">
        <v>264</v>
      </c>
      <c r="E550" s="21" t="s">
        <v>480</v>
      </c>
      <c r="F550" s="21" t="s">
        <v>324</v>
      </c>
      <c r="G550" s="27">
        <f>G551</f>
        <v>34151.2</v>
      </c>
      <c r="H550" s="207"/>
    </row>
    <row r="551" spans="1:9" ht="15.75">
      <c r="A551" s="26" t="s">
        <v>325</v>
      </c>
      <c r="B551" s="17">
        <v>906</v>
      </c>
      <c r="C551" s="21" t="s">
        <v>315</v>
      </c>
      <c r="D551" s="21" t="s">
        <v>264</v>
      </c>
      <c r="E551" s="21" t="s">
        <v>480</v>
      </c>
      <c r="F551" s="21" t="s">
        <v>326</v>
      </c>
      <c r="G551" s="28">
        <f>21817.5+13206.2-481.7+562.6-953.4</f>
        <v>34151.2</v>
      </c>
      <c r="H551" s="209"/>
      <c r="I551" s="151"/>
    </row>
    <row r="552" spans="1:8" ht="31.5">
      <c r="A552" s="26" t="s">
        <v>482</v>
      </c>
      <c r="B552" s="17">
        <v>906</v>
      </c>
      <c r="C552" s="21" t="s">
        <v>315</v>
      </c>
      <c r="D552" s="21" t="s">
        <v>264</v>
      </c>
      <c r="E552" s="21" t="s">
        <v>483</v>
      </c>
      <c r="F552" s="21"/>
      <c r="G552" s="27">
        <f>G558+G574+G571+G577+G568+G553+G559+G562+G565</f>
        <v>6675.4</v>
      </c>
      <c r="H552" s="207"/>
    </row>
    <row r="553" spans="1:8" ht="63" hidden="1">
      <c r="A553" s="26" t="s">
        <v>484</v>
      </c>
      <c r="B553" s="17">
        <v>906</v>
      </c>
      <c r="C553" s="21" t="s">
        <v>315</v>
      </c>
      <c r="D553" s="21" t="s">
        <v>264</v>
      </c>
      <c r="E553" s="21" t="s">
        <v>485</v>
      </c>
      <c r="F553" s="21"/>
      <c r="G553" s="27">
        <f>G554</f>
        <v>0</v>
      </c>
      <c r="H553" s="207"/>
    </row>
    <row r="554" spans="1:8" ht="47.25" hidden="1">
      <c r="A554" s="26" t="s">
        <v>323</v>
      </c>
      <c r="B554" s="17">
        <v>906</v>
      </c>
      <c r="C554" s="21" t="s">
        <v>315</v>
      </c>
      <c r="D554" s="21" t="s">
        <v>264</v>
      </c>
      <c r="E554" s="21" t="s">
        <v>485</v>
      </c>
      <c r="F554" s="21" t="s">
        <v>324</v>
      </c>
      <c r="G554" s="27">
        <f>G555</f>
        <v>0</v>
      </c>
      <c r="H554" s="207"/>
    </row>
    <row r="555" spans="1:8" ht="15.75" hidden="1">
      <c r="A555" s="26" t="s">
        <v>325</v>
      </c>
      <c r="B555" s="17">
        <v>906</v>
      </c>
      <c r="C555" s="21" t="s">
        <v>315</v>
      </c>
      <c r="D555" s="21" t="s">
        <v>264</v>
      </c>
      <c r="E555" s="21" t="s">
        <v>485</v>
      </c>
      <c r="F555" s="21" t="s">
        <v>326</v>
      </c>
      <c r="G555" s="27">
        <v>0</v>
      </c>
      <c r="H555" s="207"/>
    </row>
    <row r="556" spans="1:8" ht="48.75" customHeight="1" hidden="1">
      <c r="A556" s="26" t="s">
        <v>486</v>
      </c>
      <c r="B556" s="17">
        <v>906</v>
      </c>
      <c r="C556" s="21" t="s">
        <v>315</v>
      </c>
      <c r="D556" s="21" t="s">
        <v>264</v>
      </c>
      <c r="E556" s="21" t="s">
        <v>487</v>
      </c>
      <c r="F556" s="21"/>
      <c r="G556" s="27">
        <f>G557</f>
        <v>0</v>
      </c>
      <c r="H556" s="207"/>
    </row>
    <row r="557" spans="1:8" ht="47.25" hidden="1">
      <c r="A557" s="26" t="s">
        <v>323</v>
      </c>
      <c r="B557" s="17">
        <v>906</v>
      </c>
      <c r="C557" s="21" t="s">
        <v>315</v>
      </c>
      <c r="D557" s="21" t="s">
        <v>264</v>
      </c>
      <c r="E557" s="21" t="s">
        <v>487</v>
      </c>
      <c r="F557" s="21" t="s">
        <v>324</v>
      </c>
      <c r="G557" s="27">
        <f>G558</f>
        <v>0</v>
      </c>
      <c r="H557" s="207"/>
    </row>
    <row r="558" spans="1:8" ht="15.75" hidden="1">
      <c r="A558" s="26" t="s">
        <v>325</v>
      </c>
      <c r="B558" s="17">
        <v>906</v>
      </c>
      <c r="C558" s="21" t="s">
        <v>315</v>
      </c>
      <c r="D558" s="21" t="s">
        <v>264</v>
      </c>
      <c r="E558" s="21" t="s">
        <v>487</v>
      </c>
      <c r="F558" s="21" t="s">
        <v>326</v>
      </c>
      <c r="G558" s="27">
        <v>0</v>
      </c>
      <c r="H558" s="207"/>
    </row>
    <row r="559" spans="1:8" ht="63">
      <c r="A559" s="26" t="s">
        <v>488</v>
      </c>
      <c r="B559" s="17">
        <v>906</v>
      </c>
      <c r="C559" s="21" t="s">
        <v>315</v>
      </c>
      <c r="D559" s="21" t="s">
        <v>264</v>
      </c>
      <c r="E559" s="21" t="s">
        <v>489</v>
      </c>
      <c r="F559" s="21"/>
      <c r="G559" s="27">
        <f>G560</f>
        <v>2690</v>
      </c>
      <c r="H559" s="207"/>
    </row>
    <row r="560" spans="1:8" ht="47.25">
      <c r="A560" s="26" t="s">
        <v>323</v>
      </c>
      <c r="B560" s="17">
        <v>906</v>
      </c>
      <c r="C560" s="21" t="s">
        <v>315</v>
      </c>
      <c r="D560" s="21" t="s">
        <v>264</v>
      </c>
      <c r="E560" s="21" t="s">
        <v>489</v>
      </c>
      <c r="F560" s="21" t="s">
        <v>324</v>
      </c>
      <c r="G560" s="27">
        <f>G561</f>
        <v>2690</v>
      </c>
      <c r="H560" s="207"/>
    </row>
    <row r="561" spans="1:8" ht="15.75">
      <c r="A561" s="26" t="s">
        <v>325</v>
      </c>
      <c r="B561" s="17">
        <v>906</v>
      </c>
      <c r="C561" s="21" t="s">
        <v>315</v>
      </c>
      <c r="D561" s="21" t="s">
        <v>264</v>
      </c>
      <c r="E561" s="21" t="s">
        <v>489</v>
      </c>
      <c r="F561" s="21" t="s">
        <v>326</v>
      </c>
      <c r="G561" s="28">
        <f>3010-320</f>
        <v>2690</v>
      </c>
      <c r="H561" s="207"/>
    </row>
    <row r="562" spans="1:8" ht="63">
      <c r="A562" s="26" t="s">
        <v>490</v>
      </c>
      <c r="B562" s="17">
        <v>906</v>
      </c>
      <c r="C562" s="21" t="s">
        <v>315</v>
      </c>
      <c r="D562" s="21" t="s">
        <v>264</v>
      </c>
      <c r="E562" s="21" t="s">
        <v>491</v>
      </c>
      <c r="F562" s="21"/>
      <c r="G562" s="27">
        <f>G563</f>
        <v>320</v>
      </c>
      <c r="H562" s="207"/>
    </row>
    <row r="563" spans="1:8" ht="47.25">
      <c r="A563" s="26" t="s">
        <v>323</v>
      </c>
      <c r="B563" s="17">
        <v>906</v>
      </c>
      <c r="C563" s="21" t="s">
        <v>315</v>
      </c>
      <c r="D563" s="21" t="s">
        <v>264</v>
      </c>
      <c r="E563" s="21" t="s">
        <v>491</v>
      </c>
      <c r="F563" s="21" t="s">
        <v>324</v>
      </c>
      <c r="G563" s="27">
        <f>G564</f>
        <v>320</v>
      </c>
      <c r="H563" s="207"/>
    </row>
    <row r="564" spans="1:8" ht="15.75">
      <c r="A564" s="26" t="s">
        <v>325</v>
      </c>
      <c r="B564" s="17">
        <v>906</v>
      </c>
      <c r="C564" s="21" t="s">
        <v>315</v>
      </c>
      <c r="D564" s="21" t="s">
        <v>264</v>
      </c>
      <c r="E564" s="21" t="s">
        <v>491</v>
      </c>
      <c r="F564" s="21" t="s">
        <v>326</v>
      </c>
      <c r="G564" s="27">
        <v>320</v>
      </c>
      <c r="H564" s="207"/>
    </row>
    <row r="565" spans="1:8" ht="47.25" hidden="1">
      <c r="A565" s="26" t="s">
        <v>492</v>
      </c>
      <c r="B565" s="17">
        <v>906</v>
      </c>
      <c r="C565" s="21" t="s">
        <v>315</v>
      </c>
      <c r="D565" s="21" t="s">
        <v>264</v>
      </c>
      <c r="E565" s="21" t="s">
        <v>493</v>
      </c>
      <c r="F565" s="21"/>
      <c r="G565" s="27">
        <f>G566</f>
        <v>0</v>
      </c>
      <c r="H565" s="207"/>
    </row>
    <row r="566" spans="1:8" ht="47.25" hidden="1">
      <c r="A566" s="26" t="s">
        <v>323</v>
      </c>
      <c r="B566" s="17">
        <v>906</v>
      </c>
      <c r="C566" s="21" t="s">
        <v>315</v>
      </c>
      <c r="D566" s="21" t="s">
        <v>264</v>
      </c>
      <c r="E566" s="21" t="s">
        <v>493</v>
      </c>
      <c r="F566" s="21" t="s">
        <v>324</v>
      </c>
      <c r="G566" s="27">
        <f>G567</f>
        <v>0</v>
      </c>
      <c r="H566" s="207"/>
    </row>
    <row r="567" spans="1:8" ht="15.75" hidden="1">
      <c r="A567" s="26" t="s">
        <v>325</v>
      </c>
      <c r="B567" s="17">
        <v>906</v>
      </c>
      <c r="C567" s="21" t="s">
        <v>315</v>
      </c>
      <c r="D567" s="21" t="s">
        <v>264</v>
      </c>
      <c r="E567" s="21" t="s">
        <v>493</v>
      </c>
      <c r="F567" s="21" t="s">
        <v>326</v>
      </c>
      <c r="G567" s="27">
        <v>0</v>
      </c>
      <c r="H567" s="207"/>
    </row>
    <row r="568" spans="1:8" ht="47.25">
      <c r="A568" s="26" t="s">
        <v>329</v>
      </c>
      <c r="B568" s="17">
        <v>906</v>
      </c>
      <c r="C568" s="21" t="s">
        <v>315</v>
      </c>
      <c r="D568" s="21" t="s">
        <v>264</v>
      </c>
      <c r="E568" s="21" t="s">
        <v>494</v>
      </c>
      <c r="F568" s="21"/>
      <c r="G568" s="27">
        <f>G569</f>
        <v>3309</v>
      </c>
      <c r="H568" s="207"/>
    </row>
    <row r="569" spans="1:8" ht="47.25">
      <c r="A569" s="26" t="s">
        <v>323</v>
      </c>
      <c r="B569" s="17">
        <v>906</v>
      </c>
      <c r="C569" s="21" t="s">
        <v>315</v>
      </c>
      <c r="D569" s="21" t="s">
        <v>264</v>
      </c>
      <c r="E569" s="21" t="s">
        <v>494</v>
      </c>
      <c r="F569" s="21" t="s">
        <v>324</v>
      </c>
      <c r="G569" s="27">
        <f>G570</f>
        <v>3309</v>
      </c>
      <c r="H569" s="207"/>
    </row>
    <row r="570" spans="1:8" ht="15.75">
      <c r="A570" s="26" t="s">
        <v>325</v>
      </c>
      <c r="B570" s="17">
        <v>906</v>
      </c>
      <c r="C570" s="21" t="s">
        <v>315</v>
      </c>
      <c r="D570" s="21" t="s">
        <v>264</v>
      </c>
      <c r="E570" s="21" t="s">
        <v>494</v>
      </c>
      <c r="F570" s="21" t="s">
        <v>326</v>
      </c>
      <c r="G570" s="27">
        <f>341+2968</f>
        <v>3309</v>
      </c>
      <c r="H570" s="144"/>
    </row>
    <row r="571" spans="1:8" ht="31.5" hidden="1">
      <c r="A571" s="26" t="s">
        <v>331</v>
      </c>
      <c r="B571" s="17">
        <v>906</v>
      </c>
      <c r="C571" s="21" t="s">
        <v>315</v>
      </c>
      <c r="D571" s="21" t="s">
        <v>264</v>
      </c>
      <c r="E571" s="21" t="s">
        <v>495</v>
      </c>
      <c r="F571" s="21"/>
      <c r="G571" s="27">
        <f>G572</f>
        <v>0</v>
      </c>
      <c r="H571" s="207"/>
    </row>
    <row r="572" spans="1:8" ht="47.25" hidden="1">
      <c r="A572" s="26" t="s">
        <v>323</v>
      </c>
      <c r="B572" s="17">
        <v>906</v>
      </c>
      <c r="C572" s="21" t="s">
        <v>315</v>
      </c>
      <c r="D572" s="21" t="s">
        <v>264</v>
      </c>
      <c r="E572" s="21" t="s">
        <v>495</v>
      </c>
      <c r="F572" s="21" t="s">
        <v>324</v>
      </c>
      <c r="G572" s="27">
        <f>G573</f>
        <v>0</v>
      </c>
      <c r="H572" s="207"/>
    </row>
    <row r="573" spans="1:8" ht="15.75" hidden="1">
      <c r="A573" s="26" t="s">
        <v>325</v>
      </c>
      <c r="B573" s="17">
        <v>906</v>
      </c>
      <c r="C573" s="21" t="s">
        <v>315</v>
      </c>
      <c r="D573" s="21" t="s">
        <v>264</v>
      </c>
      <c r="E573" s="21" t="s">
        <v>495</v>
      </c>
      <c r="F573" s="21" t="s">
        <v>326</v>
      </c>
      <c r="G573" s="27">
        <v>0</v>
      </c>
      <c r="H573" s="207"/>
    </row>
    <row r="574" spans="1:8" ht="47.25">
      <c r="A574" s="26" t="s">
        <v>333</v>
      </c>
      <c r="B574" s="17">
        <v>906</v>
      </c>
      <c r="C574" s="21" t="s">
        <v>315</v>
      </c>
      <c r="D574" s="21" t="s">
        <v>264</v>
      </c>
      <c r="E574" s="21" t="s">
        <v>496</v>
      </c>
      <c r="F574" s="21"/>
      <c r="G574" s="27">
        <f>G575</f>
        <v>127</v>
      </c>
      <c r="H574" s="207"/>
    </row>
    <row r="575" spans="1:8" ht="47.25">
      <c r="A575" s="26" t="s">
        <v>323</v>
      </c>
      <c r="B575" s="17">
        <v>906</v>
      </c>
      <c r="C575" s="21" t="s">
        <v>315</v>
      </c>
      <c r="D575" s="21" t="s">
        <v>264</v>
      </c>
      <c r="E575" s="21" t="s">
        <v>496</v>
      </c>
      <c r="F575" s="21" t="s">
        <v>324</v>
      </c>
      <c r="G575" s="27">
        <f>G576</f>
        <v>127</v>
      </c>
      <c r="H575" s="207"/>
    </row>
    <row r="576" spans="1:8" ht="15.75">
      <c r="A576" s="26" t="s">
        <v>325</v>
      </c>
      <c r="B576" s="17">
        <v>906</v>
      </c>
      <c r="C576" s="21" t="s">
        <v>315</v>
      </c>
      <c r="D576" s="21" t="s">
        <v>264</v>
      </c>
      <c r="E576" s="21" t="s">
        <v>496</v>
      </c>
      <c r="F576" s="21" t="s">
        <v>326</v>
      </c>
      <c r="G576" s="27">
        <v>127</v>
      </c>
      <c r="H576" s="207"/>
    </row>
    <row r="577" spans="1:8" ht="31.5">
      <c r="A577" s="26" t="s">
        <v>335</v>
      </c>
      <c r="B577" s="17">
        <v>906</v>
      </c>
      <c r="C577" s="21" t="s">
        <v>315</v>
      </c>
      <c r="D577" s="21" t="s">
        <v>264</v>
      </c>
      <c r="E577" s="21" t="s">
        <v>497</v>
      </c>
      <c r="F577" s="21"/>
      <c r="G577" s="27">
        <f>G578</f>
        <v>229.4</v>
      </c>
      <c r="H577" s="207"/>
    </row>
    <row r="578" spans="1:8" ht="47.25">
      <c r="A578" s="26" t="s">
        <v>323</v>
      </c>
      <c r="B578" s="17">
        <v>906</v>
      </c>
      <c r="C578" s="21" t="s">
        <v>315</v>
      </c>
      <c r="D578" s="21" t="s">
        <v>264</v>
      </c>
      <c r="E578" s="21" t="s">
        <v>497</v>
      </c>
      <c r="F578" s="21" t="s">
        <v>324</v>
      </c>
      <c r="G578" s="27">
        <f>G579</f>
        <v>229.4</v>
      </c>
      <c r="H578" s="207"/>
    </row>
    <row r="579" spans="1:9" ht="15.75">
      <c r="A579" s="26" t="s">
        <v>325</v>
      </c>
      <c r="B579" s="17">
        <v>906</v>
      </c>
      <c r="C579" s="21" t="s">
        <v>315</v>
      </c>
      <c r="D579" s="21" t="s">
        <v>264</v>
      </c>
      <c r="E579" s="21" t="s">
        <v>497</v>
      </c>
      <c r="F579" s="21" t="s">
        <v>326</v>
      </c>
      <c r="G579" s="27">
        <v>229.4</v>
      </c>
      <c r="H579" s="130"/>
      <c r="I579" s="150"/>
    </row>
    <row r="580" spans="1:8" ht="15.75">
      <c r="A580" s="26" t="s">
        <v>172</v>
      </c>
      <c r="B580" s="17">
        <v>906</v>
      </c>
      <c r="C580" s="21" t="s">
        <v>315</v>
      </c>
      <c r="D580" s="21" t="s">
        <v>264</v>
      </c>
      <c r="E580" s="21" t="s">
        <v>173</v>
      </c>
      <c r="F580" s="21"/>
      <c r="G580" s="27">
        <f>G581</f>
        <v>89857.8</v>
      </c>
      <c r="H580" s="207"/>
    </row>
    <row r="581" spans="1:8" ht="31.5">
      <c r="A581" s="26" t="s">
        <v>236</v>
      </c>
      <c r="B581" s="17">
        <v>906</v>
      </c>
      <c r="C581" s="21" t="s">
        <v>315</v>
      </c>
      <c r="D581" s="21" t="s">
        <v>264</v>
      </c>
      <c r="E581" s="21" t="s">
        <v>237</v>
      </c>
      <c r="F581" s="21"/>
      <c r="G581" s="27">
        <f>G588+G591+G597+G600+G603+G606+G582+G585+G609+G594</f>
        <v>89857.8</v>
      </c>
      <c r="H581" s="207"/>
    </row>
    <row r="582" spans="1:8" ht="47.25" hidden="1">
      <c r="A582" s="26" t="s">
        <v>502</v>
      </c>
      <c r="B582" s="17">
        <v>906</v>
      </c>
      <c r="C582" s="21" t="s">
        <v>315</v>
      </c>
      <c r="D582" s="21" t="s">
        <v>264</v>
      </c>
      <c r="E582" s="21" t="s">
        <v>503</v>
      </c>
      <c r="F582" s="21"/>
      <c r="G582" s="27">
        <f>G583</f>
        <v>0</v>
      </c>
      <c r="H582" s="207"/>
    </row>
    <row r="583" spans="1:8" ht="47.25" hidden="1">
      <c r="A583" s="26" t="s">
        <v>323</v>
      </c>
      <c r="B583" s="17">
        <v>906</v>
      </c>
      <c r="C583" s="21" t="s">
        <v>315</v>
      </c>
      <c r="D583" s="21" t="s">
        <v>264</v>
      </c>
      <c r="E583" s="21" t="s">
        <v>503</v>
      </c>
      <c r="F583" s="21" t="s">
        <v>324</v>
      </c>
      <c r="G583" s="27">
        <f>G584</f>
        <v>0</v>
      </c>
      <c r="H583" s="207"/>
    </row>
    <row r="584" spans="1:8" ht="15.75" hidden="1">
      <c r="A584" s="26" t="s">
        <v>325</v>
      </c>
      <c r="B584" s="17">
        <v>906</v>
      </c>
      <c r="C584" s="21" t="s">
        <v>315</v>
      </c>
      <c r="D584" s="21" t="s">
        <v>264</v>
      </c>
      <c r="E584" s="21" t="s">
        <v>503</v>
      </c>
      <c r="F584" s="21" t="s">
        <v>326</v>
      </c>
      <c r="G584" s="27">
        <v>0</v>
      </c>
      <c r="H584" s="207"/>
    </row>
    <row r="585" spans="1:8" ht="15.75" hidden="1">
      <c r="A585" s="26" t="s">
        <v>504</v>
      </c>
      <c r="B585" s="17">
        <v>906</v>
      </c>
      <c r="C585" s="21" t="s">
        <v>315</v>
      </c>
      <c r="D585" s="21" t="s">
        <v>264</v>
      </c>
      <c r="E585" s="21" t="s">
        <v>505</v>
      </c>
      <c r="F585" s="21"/>
      <c r="G585" s="27">
        <f>G586</f>
        <v>0</v>
      </c>
      <c r="H585" s="207"/>
    </row>
    <row r="586" spans="1:8" ht="47.25" hidden="1">
      <c r="A586" s="26" t="s">
        <v>323</v>
      </c>
      <c r="B586" s="17">
        <v>906</v>
      </c>
      <c r="C586" s="21" t="s">
        <v>315</v>
      </c>
      <c r="D586" s="21" t="s">
        <v>264</v>
      </c>
      <c r="E586" s="21" t="s">
        <v>505</v>
      </c>
      <c r="F586" s="21" t="s">
        <v>324</v>
      </c>
      <c r="G586" s="27">
        <f>G587</f>
        <v>0</v>
      </c>
      <c r="H586" s="207"/>
    </row>
    <row r="587" spans="1:8" ht="15.75" hidden="1">
      <c r="A587" s="26" t="s">
        <v>325</v>
      </c>
      <c r="B587" s="17">
        <v>906</v>
      </c>
      <c r="C587" s="21" t="s">
        <v>315</v>
      </c>
      <c r="D587" s="21" t="s">
        <v>264</v>
      </c>
      <c r="E587" s="21" t="s">
        <v>505</v>
      </c>
      <c r="F587" s="21" t="s">
        <v>326</v>
      </c>
      <c r="G587" s="28">
        <v>0</v>
      </c>
      <c r="H587" s="207"/>
    </row>
    <row r="588" spans="1:8" ht="31.5" hidden="1">
      <c r="A588" s="26" t="s">
        <v>506</v>
      </c>
      <c r="B588" s="17">
        <v>906</v>
      </c>
      <c r="C588" s="21" t="s">
        <v>315</v>
      </c>
      <c r="D588" s="21" t="s">
        <v>264</v>
      </c>
      <c r="E588" s="21" t="s">
        <v>507</v>
      </c>
      <c r="F588" s="21"/>
      <c r="G588" s="27">
        <f>G589</f>
        <v>0</v>
      </c>
      <c r="H588" s="207"/>
    </row>
    <row r="589" spans="1:8" ht="47.25" hidden="1">
      <c r="A589" s="26" t="s">
        <v>323</v>
      </c>
      <c r="B589" s="17">
        <v>906</v>
      </c>
      <c r="C589" s="21" t="s">
        <v>315</v>
      </c>
      <c r="D589" s="21" t="s">
        <v>264</v>
      </c>
      <c r="E589" s="21" t="s">
        <v>507</v>
      </c>
      <c r="F589" s="21" t="s">
        <v>324</v>
      </c>
      <c r="G589" s="27">
        <f>G590</f>
        <v>0</v>
      </c>
      <c r="H589" s="207"/>
    </row>
    <row r="590" spans="1:9" ht="15.75" hidden="1">
      <c r="A590" s="26" t="s">
        <v>325</v>
      </c>
      <c r="B590" s="17">
        <v>906</v>
      </c>
      <c r="C590" s="21" t="s">
        <v>315</v>
      </c>
      <c r="D590" s="21" t="s">
        <v>264</v>
      </c>
      <c r="E590" s="21" t="s">
        <v>507</v>
      </c>
      <c r="F590" s="21" t="s">
        <v>326</v>
      </c>
      <c r="G590" s="27">
        <f>157.3-157.3</f>
        <v>0</v>
      </c>
      <c r="H590" s="207"/>
      <c r="I590" s="139"/>
    </row>
    <row r="591" spans="1:8" ht="31.5">
      <c r="A591" s="26" t="s">
        <v>508</v>
      </c>
      <c r="B591" s="17">
        <v>906</v>
      </c>
      <c r="C591" s="21" t="s">
        <v>315</v>
      </c>
      <c r="D591" s="21" t="s">
        <v>264</v>
      </c>
      <c r="E591" s="21" t="s">
        <v>509</v>
      </c>
      <c r="F591" s="21"/>
      <c r="G591" s="27">
        <f>G592</f>
        <v>1293.6</v>
      </c>
      <c r="H591" s="207"/>
    </row>
    <row r="592" spans="1:12" ht="47.25">
      <c r="A592" s="26" t="s">
        <v>323</v>
      </c>
      <c r="B592" s="17">
        <v>906</v>
      </c>
      <c r="C592" s="21" t="s">
        <v>315</v>
      </c>
      <c r="D592" s="21" t="s">
        <v>264</v>
      </c>
      <c r="E592" s="21" t="s">
        <v>509</v>
      </c>
      <c r="F592" s="21" t="s">
        <v>324</v>
      </c>
      <c r="G592" s="27">
        <f>G593</f>
        <v>1293.6</v>
      </c>
      <c r="H592" s="207"/>
      <c r="L592" s="140"/>
    </row>
    <row r="593" spans="1:9" ht="15.75">
      <c r="A593" s="26" t="s">
        <v>325</v>
      </c>
      <c r="B593" s="17">
        <v>906</v>
      </c>
      <c r="C593" s="21" t="s">
        <v>315</v>
      </c>
      <c r="D593" s="21" t="s">
        <v>264</v>
      </c>
      <c r="E593" s="21" t="s">
        <v>509</v>
      </c>
      <c r="F593" s="21" t="s">
        <v>326</v>
      </c>
      <c r="G593" s="28">
        <f>1572.5-278.9</f>
        <v>1293.6</v>
      </c>
      <c r="H593" s="207"/>
      <c r="I593" s="139"/>
    </row>
    <row r="594" spans="1:8" ht="47.25">
      <c r="A594" s="26" t="s">
        <v>510</v>
      </c>
      <c r="B594" s="17">
        <v>906</v>
      </c>
      <c r="C594" s="21" t="s">
        <v>315</v>
      </c>
      <c r="D594" s="21" t="s">
        <v>264</v>
      </c>
      <c r="E594" s="21" t="s">
        <v>511</v>
      </c>
      <c r="F594" s="21"/>
      <c r="G594" s="28">
        <f>G595</f>
        <v>488.7</v>
      </c>
      <c r="H594" s="207"/>
    </row>
    <row r="595" spans="1:8" ht="47.25">
      <c r="A595" s="26" t="s">
        <v>323</v>
      </c>
      <c r="B595" s="17">
        <v>906</v>
      </c>
      <c r="C595" s="21" t="s">
        <v>315</v>
      </c>
      <c r="D595" s="21" t="s">
        <v>264</v>
      </c>
      <c r="E595" s="21" t="s">
        <v>511</v>
      </c>
      <c r="F595" s="21" t="s">
        <v>324</v>
      </c>
      <c r="G595" s="28">
        <f>G596</f>
        <v>488.7</v>
      </c>
      <c r="H595" s="207"/>
    </row>
    <row r="596" spans="1:9" ht="15.75">
      <c r="A596" s="26" t="s">
        <v>325</v>
      </c>
      <c r="B596" s="17">
        <v>906</v>
      </c>
      <c r="C596" s="21" t="s">
        <v>315</v>
      </c>
      <c r="D596" s="21" t="s">
        <v>264</v>
      </c>
      <c r="E596" s="21" t="s">
        <v>511</v>
      </c>
      <c r="F596" s="21" t="s">
        <v>326</v>
      </c>
      <c r="G596" s="28">
        <f>733.5-244.8</f>
        <v>488.7</v>
      </c>
      <c r="H596" s="207"/>
      <c r="I596" s="139"/>
    </row>
    <row r="597" spans="1:8" ht="94.5">
      <c r="A597" s="33" t="s">
        <v>512</v>
      </c>
      <c r="B597" s="17">
        <v>906</v>
      </c>
      <c r="C597" s="21" t="s">
        <v>315</v>
      </c>
      <c r="D597" s="21" t="s">
        <v>264</v>
      </c>
      <c r="E597" s="21" t="s">
        <v>513</v>
      </c>
      <c r="F597" s="21"/>
      <c r="G597" s="27">
        <f>G598</f>
        <v>79753.6</v>
      </c>
      <c r="H597" s="207"/>
    </row>
    <row r="598" spans="1:8" ht="47.25">
      <c r="A598" s="26" t="s">
        <v>323</v>
      </c>
      <c r="B598" s="17">
        <v>906</v>
      </c>
      <c r="C598" s="21" t="s">
        <v>315</v>
      </c>
      <c r="D598" s="21" t="s">
        <v>264</v>
      </c>
      <c r="E598" s="21" t="s">
        <v>513</v>
      </c>
      <c r="F598" s="21" t="s">
        <v>324</v>
      </c>
      <c r="G598" s="27">
        <f>G599</f>
        <v>79753.6</v>
      </c>
      <c r="H598" s="207"/>
    </row>
    <row r="599" spans="1:9" ht="15.75">
      <c r="A599" s="26" t="s">
        <v>325</v>
      </c>
      <c r="B599" s="17">
        <v>906</v>
      </c>
      <c r="C599" s="21" t="s">
        <v>315</v>
      </c>
      <c r="D599" s="21" t="s">
        <v>264</v>
      </c>
      <c r="E599" s="21" t="s">
        <v>513</v>
      </c>
      <c r="F599" s="21" t="s">
        <v>326</v>
      </c>
      <c r="G599" s="28">
        <f>93568.6-13815</f>
        <v>79753.6</v>
      </c>
      <c r="H599" s="207"/>
      <c r="I599" s="139"/>
    </row>
    <row r="600" spans="1:8" ht="63">
      <c r="A600" s="33" t="s">
        <v>340</v>
      </c>
      <c r="B600" s="17">
        <v>906</v>
      </c>
      <c r="C600" s="21" t="s">
        <v>315</v>
      </c>
      <c r="D600" s="21" t="s">
        <v>264</v>
      </c>
      <c r="E600" s="21" t="s">
        <v>341</v>
      </c>
      <c r="F600" s="21"/>
      <c r="G600" s="27">
        <f>G601</f>
        <v>910.9000000000001</v>
      </c>
      <c r="H600" s="207"/>
    </row>
    <row r="601" spans="1:8" ht="47.25">
      <c r="A601" s="26" t="s">
        <v>323</v>
      </c>
      <c r="B601" s="17">
        <v>906</v>
      </c>
      <c r="C601" s="21" t="s">
        <v>315</v>
      </c>
      <c r="D601" s="21" t="s">
        <v>264</v>
      </c>
      <c r="E601" s="21" t="s">
        <v>341</v>
      </c>
      <c r="F601" s="21" t="s">
        <v>324</v>
      </c>
      <c r="G601" s="27">
        <f>G602</f>
        <v>910.9000000000001</v>
      </c>
      <c r="H601" s="207"/>
    </row>
    <row r="602" spans="1:9" ht="15.75">
      <c r="A602" s="26" t="s">
        <v>325</v>
      </c>
      <c r="B602" s="17">
        <v>906</v>
      </c>
      <c r="C602" s="21" t="s">
        <v>315</v>
      </c>
      <c r="D602" s="21" t="s">
        <v>264</v>
      </c>
      <c r="E602" s="21" t="s">
        <v>341</v>
      </c>
      <c r="F602" s="21" t="s">
        <v>326</v>
      </c>
      <c r="G602" s="28">
        <f>1101.7-190.8</f>
        <v>910.9000000000001</v>
      </c>
      <c r="H602" s="207"/>
      <c r="I602" s="139"/>
    </row>
    <row r="603" spans="1:8" ht="78.75">
      <c r="A603" s="33" t="s">
        <v>342</v>
      </c>
      <c r="B603" s="17">
        <v>906</v>
      </c>
      <c r="C603" s="21" t="s">
        <v>315</v>
      </c>
      <c r="D603" s="21" t="s">
        <v>264</v>
      </c>
      <c r="E603" s="21" t="s">
        <v>343</v>
      </c>
      <c r="F603" s="21"/>
      <c r="G603" s="27">
        <f>G604</f>
        <v>2155.5</v>
      </c>
      <c r="H603" s="207"/>
    </row>
    <row r="604" spans="1:8" ht="47.25">
      <c r="A604" s="26" t="s">
        <v>323</v>
      </c>
      <c r="B604" s="17">
        <v>906</v>
      </c>
      <c r="C604" s="21" t="s">
        <v>315</v>
      </c>
      <c r="D604" s="21" t="s">
        <v>264</v>
      </c>
      <c r="E604" s="21" t="s">
        <v>343</v>
      </c>
      <c r="F604" s="21" t="s">
        <v>324</v>
      </c>
      <c r="G604" s="27">
        <f>G605</f>
        <v>2155.5</v>
      </c>
      <c r="H604" s="207"/>
    </row>
    <row r="605" spans="1:9" ht="15.75">
      <c r="A605" s="26" t="s">
        <v>325</v>
      </c>
      <c r="B605" s="17">
        <v>906</v>
      </c>
      <c r="C605" s="21" t="s">
        <v>315</v>
      </c>
      <c r="D605" s="21" t="s">
        <v>264</v>
      </c>
      <c r="E605" s="21" t="s">
        <v>343</v>
      </c>
      <c r="F605" s="21" t="s">
        <v>326</v>
      </c>
      <c r="G605" s="28">
        <f>2823.2-667.7</f>
        <v>2155.5</v>
      </c>
      <c r="H605" s="207"/>
      <c r="I605" s="139"/>
    </row>
    <row r="606" spans="1:8" ht="47.25">
      <c r="A606" s="33" t="s">
        <v>514</v>
      </c>
      <c r="B606" s="17">
        <v>906</v>
      </c>
      <c r="C606" s="21" t="s">
        <v>315</v>
      </c>
      <c r="D606" s="21" t="s">
        <v>264</v>
      </c>
      <c r="E606" s="21" t="s">
        <v>515</v>
      </c>
      <c r="F606" s="21"/>
      <c r="G606" s="27">
        <f>G607</f>
        <v>886.5</v>
      </c>
      <c r="H606" s="207"/>
    </row>
    <row r="607" spans="1:8" ht="47.25">
      <c r="A607" s="26" t="s">
        <v>323</v>
      </c>
      <c r="B607" s="17">
        <v>906</v>
      </c>
      <c r="C607" s="21" t="s">
        <v>315</v>
      </c>
      <c r="D607" s="21" t="s">
        <v>264</v>
      </c>
      <c r="E607" s="21" t="s">
        <v>515</v>
      </c>
      <c r="F607" s="21" t="s">
        <v>324</v>
      </c>
      <c r="G607" s="27">
        <f>G608</f>
        <v>886.5</v>
      </c>
      <c r="H607" s="207"/>
    </row>
    <row r="608" spans="1:9" ht="15.75">
      <c r="A608" s="26" t="s">
        <v>325</v>
      </c>
      <c r="B608" s="17">
        <v>906</v>
      </c>
      <c r="C608" s="21" t="s">
        <v>315</v>
      </c>
      <c r="D608" s="21" t="s">
        <v>264</v>
      </c>
      <c r="E608" s="21" t="s">
        <v>515</v>
      </c>
      <c r="F608" s="21" t="s">
        <v>326</v>
      </c>
      <c r="G608" s="28">
        <f>998.4-111.9</f>
        <v>886.5</v>
      </c>
      <c r="H608" s="207"/>
      <c r="I608" s="139"/>
    </row>
    <row r="609" spans="1:8" ht="110.25">
      <c r="A609" s="33" t="s">
        <v>516</v>
      </c>
      <c r="B609" s="17">
        <v>906</v>
      </c>
      <c r="C609" s="21" t="s">
        <v>315</v>
      </c>
      <c r="D609" s="21" t="s">
        <v>264</v>
      </c>
      <c r="E609" s="21" t="s">
        <v>345</v>
      </c>
      <c r="F609" s="21"/>
      <c r="G609" s="27">
        <f>G610</f>
        <v>4369</v>
      </c>
      <c r="H609" s="207"/>
    </row>
    <row r="610" spans="1:8" ht="47.25">
      <c r="A610" s="26" t="s">
        <v>323</v>
      </c>
      <c r="B610" s="17">
        <v>906</v>
      </c>
      <c r="C610" s="21" t="s">
        <v>315</v>
      </c>
      <c r="D610" s="21" t="s">
        <v>264</v>
      </c>
      <c r="E610" s="21" t="s">
        <v>345</v>
      </c>
      <c r="F610" s="21" t="s">
        <v>324</v>
      </c>
      <c r="G610" s="27">
        <f>G611</f>
        <v>4369</v>
      </c>
      <c r="H610" s="207"/>
    </row>
    <row r="611" spans="1:9" ht="15.75">
      <c r="A611" s="26" t="s">
        <v>325</v>
      </c>
      <c r="B611" s="17">
        <v>906</v>
      </c>
      <c r="C611" s="21" t="s">
        <v>315</v>
      </c>
      <c r="D611" s="21" t="s">
        <v>264</v>
      </c>
      <c r="E611" s="21" t="s">
        <v>345</v>
      </c>
      <c r="F611" s="21" t="s">
        <v>326</v>
      </c>
      <c r="G611" s="28">
        <f>5441.9-1072.9</f>
        <v>4369</v>
      </c>
      <c r="H611" s="207"/>
      <c r="I611" s="139"/>
    </row>
    <row r="612" spans="1:9" ht="15.75">
      <c r="A612" s="24" t="s">
        <v>316</v>
      </c>
      <c r="B612" s="20">
        <v>906</v>
      </c>
      <c r="C612" s="25" t="s">
        <v>315</v>
      </c>
      <c r="D612" s="25" t="s">
        <v>266</v>
      </c>
      <c r="E612" s="25"/>
      <c r="F612" s="25"/>
      <c r="G612" s="46">
        <f>G613+G622</f>
        <v>23062.100000000002</v>
      </c>
      <c r="H612" s="207"/>
      <c r="I612" s="139"/>
    </row>
    <row r="613" spans="1:9" ht="47.25">
      <c r="A613" s="26" t="s">
        <v>478</v>
      </c>
      <c r="B613" s="17">
        <v>906</v>
      </c>
      <c r="C613" s="21" t="s">
        <v>315</v>
      </c>
      <c r="D613" s="21" t="s">
        <v>266</v>
      </c>
      <c r="E613" s="21" t="s">
        <v>458</v>
      </c>
      <c r="F613" s="21"/>
      <c r="G613" s="28">
        <f>G614+G620</f>
        <v>21479.9</v>
      </c>
      <c r="H613" s="207"/>
      <c r="I613" s="139"/>
    </row>
    <row r="614" spans="1:9" ht="47.25">
      <c r="A614" s="26" t="s">
        <v>459</v>
      </c>
      <c r="B614" s="17">
        <v>906</v>
      </c>
      <c r="C614" s="21" t="s">
        <v>315</v>
      </c>
      <c r="D614" s="21" t="s">
        <v>266</v>
      </c>
      <c r="E614" s="21" t="s">
        <v>460</v>
      </c>
      <c r="F614" s="21"/>
      <c r="G614" s="28">
        <f>G615</f>
        <v>21124</v>
      </c>
      <c r="H614" s="207"/>
      <c r="I614" s="139"/>
    </row>
    <row r="615" spans="1:9" ht="47.25">
      <c r="A615" s="26" t="s">
        <v>321</v>
      </c>
      <c r="B615" s="17">
        <v>906</v>
      </c>
      <c r="C615" s="21" t="s">
        <v>315</v>
      </c>
      <c r="D615" s="21" t="s">
        <v>266</v>
      </c>
      <c r="E615" s="21" t="s">
        <v>481</v>
      </c>
      <c r="F615" s="21"/>
      <c r="G615" s="28">
        <f>G616</f>
        <v>21124</v>
      </c>
      <c r="H615" s="207"/>
      <c r="I615" s="139"/>
    </row>
    <row r="616" spans="1:9" ht="47.25">
      <c r="A616" s="26" t="s">
        <v>323</v>
      </c>
      <c r="B616" s="17">
        <v>906</v>
      </c>
      <c r="C616" s="21" t="s">
        <v>315</v>
      </c>
      <c r="D616" s="21" t="s">
        <v>266</v>
      </c>
      <c r="E616" s="21" t="s">
        <v>481</v>
      </c>
      <c r="F616" s="21" t="s">
        <v>324</v>
      </c>
      <c r="G616" s="28">
        <f>G617</f>
        <v>21124</v>
      </c>
      <c r="H616" s="207"/>
      <c r="I616" s="139"/>
    </row>
    <row r="617" spans="1:9" ht="15.75">
      <c r="A617" s="26" t="s">
        <v>325</v>
      </c>
      <c r="B617" s="17">
        <v>906</v>
      </c>
      <c r="C617" s="21" t="s">
        <v>315</v>
      </c>
      <c r="D617" s="21" t="s">
        <v>266</v>
      </c>
      <c r="E617" s="21" t="s">
        <v>481</v>
      </c>
      <c r="F617" s="21" t="s">
        <v>326</v>
      </c>
      <c r="G617" s="28">
        <f>21044+80</f>
        <v>21124</v>
      </c>
      <c r="H617" s="130"/>
      <c r="I617" s="151"/>
    </row>
    <row r="618" spans="1:9" ht="47.25">
      <c r="A618" s="33" t="s">
        <v>787</v>
      </c>
      <c r="B618" s="17">
        <v>906</v>
      </c>
      <c r="C618" s="21" t="s">
        <v>315</v>
      </c>
      <c r="D618" s="21" t="s">
        <v>266</v>
      </c>
      <c r="E618" s="21" t="s">
        <v>499</v>
      </c>
      <c r="F618" s="21"/>
      <c r="G618" s="28">
        <f>G619</f>
        <v>355.9</v>
      </c>
      <c r="H618" s="207"/>
      <c r="I618" s="139"/>
    </row>
    <row r="619" spans="1:9" ht="31.5">
      <c r="A619" s="47" t="s">
        <v>788</v>
      </c>
      <c r="B619" s="17">
        <v>906</v>
      </c>
      <c r="C619" s="21" t="s">
        <v>315</v>
      </c>
      <c r="D619" s="21" t="s">
        <v>266</v>
      </c>
      <c r="E619" s="21" t="s">
        <v>789</v>
      </c>
      <c r="F619" s="21"/>
      <c r="G619" s="28">
        <f>G620</f>
        <v>355.9</v>
      </c>
      <c r="H619" s="207"/>
      <c r="I619" s="139"/>
    </row>
    <row r="620" spans="1:9" ht="47.25">
      <c r="A620" s="33" t="s">
        <v>323</v>
      </c>
      <c r="B620" s="17">
        <v>906</v>
      </c>
      <c r="C620" s="21" t="s">
        <v>315</v>
      </c>
      <c r="D620" s="21" t="s">
        <v>266</v>
      </c>
      <c r="E620" s="21" t="s">
        <v>789</v>
      </c>
      <c r="F620" s="21" t="s">
        <v>324</v>
      </c>
      <c r="G620" s="28">
        <f>G621</f>
        <v>355.9</v>
      </c>
      <c r="H620" s="130"/>
      <c r="I620" s="139"/>
    </row>
    <row r="621" spans="1:9" ht="15.75">
      <c r="A621" s="33" t="s">
        <v>325</v>
      </c>
      <c r="B621" s="17">
        <v>906</v>
      </c>
      <c r="C621" s="21" t="s">
        <v>315</v>
      </c>
      <c r="D621" s="21" t="s">
        <v>266</v>
      </c>
      <c r="E621" s="21" t="s">
        <v>789</v>
      </c>
      <c r="F621" s="21" t="s">
        <v>326</v>
      </c>
      <c r="G621" s="28">
        <v>355.9</v>
      </c>
      <c r="H621" s="207"/>
      <c r="I621" s="139"/>
    </row>
    <row r="622" spans="1:9" ht="15.75">
      <c r="A622" s="26" t="s">
        <v>517</v>
      </c>
      <c r="B622" s="17">
        <v>906</v>
      </c>
      <c r="C622" s="21" t="s">
        <v>315</v>
      </c>
      <c r="D622" s="21" t="s">
        <v>266</v>
      </c>
      <c r="E622" s="21" t="s">
        <v>173</v>
      </c>
      <c r="F622" s="21"/>
      <c r="G622" s="28">
        <f>G623</f>
        <v>1582.2</v>
      </c>
      <c r="H622" s="207"/>
      <c r="I622" s="139"/>
    </row>
    <row r="623" spans="1:9" ht="31.5">
      <c r="A623" s="26" t="s">
        <v>236</v>
      </c>
      <c r="B623" s="17">
        <v>906</v>
      </c>
      <c r="C623" s="21" t="s">
        <v>315</v>
      </c>
      <c r="D623" s="21" t="s">
        <v>266</v>
      </c>
      <c r="E623" s="21" t="s">
        <v>237</v>
      </c>
      <c r="F623" s="21"/>
      <c r="G623" s="28">
        <f>G624+G627+G630</f>
        <v>1582.2</v>
      </c>
      <c r="H623" s="207"/>
      <c r="I623" s="139"/>
    </row>
    <row r="624" spans="1:9" ht="63">
      <c r="A624" s="33" t="s">
        <v>340</v>
      </c>
      <c r="B624" s="17">
        <v>906</v>
      </c>
      <c r="C624" s="21" t="s">
        <v>315</v>
      </c>
      <c r="D624" s="21" t="s">
        <v>266</v>
      </c>
      <c r="E624" s="21" t="s">
        <v>341</v>
      </c>
      <c r="F624" s="21"/>
      <c r="G624" s="28">
        <f>G625</f>
        <v>110</v>
      </c>
      <c r="H624" s="207"/>
      <c r="I624" s="139"/>
    </row>
    <row r="625" spans="1:9" ht="47.25">
      <c r="A625" s="26" t="s">
        <v>323</v>
      </c>
      <c r="B625" s="17">
        <v>906</v>
      </c>
      <c r="C625" s="21" t="s">
        <v>315</v>
      </c>
      <c r="D625" s="21" t="s">
        <v>266</v>
      </c>
      <c r="E625" s="21" t="s">
        <v>341</v>
      </c>
      <c r="F625" s="21" t="s">
        <v>324</v>
      </c>
      <c r="G625" s="28">
        <f>G626</f>
        <v>110</v>
      </c>
      <c r="H625" s="207"/>
      <c r="I625" s="139"/>
    </row>
    <row r="626" spans="1:9" ht="15.75">
      <c r="A626" s="26" t="s">
        <v>325</v>
      </c>
      <c r="B626" s="17">
        <v>906</v>
      </c>
      <c r="C626" s="21" t="s">
        <v>315</v>
      </c>
      <c r="D626" s="21" t="s">
        <v>266</v>
      </c>
      <c r="E626" s="21" t="s">
        <v>341</v>
      </c>
      <c r="F626" s="21" t="s">
        <v>326</v>
      </c>
      <c r="G626" s="28">
        <v>110</v>
      </c>
      <c r="H626" s="207"/>
      <c r="I626" s="139"/>
    </row>
    <row r="627" spans="1:9" ht="78.75">
      <c r="A627" s="33" t="s">
        <v>342</v>
      </c>
      <c r="B627" s="17">
        <v>906</v>
      </c>
      <c r="C627" s="21" t="s">
        <v>315</v>
      </c>
      <c r="D627" s="21" t="s">
        <v>266</v>
      </c>
      <c r="E627" s="21" t="s">
        <v>343</v>
      </c>
      <c r="F627" s="21"/>
      <c r="G627" s="28">
        <f>G628</f>
        <v>572.2</v>
      </c>
      <c r="H627" s="207"/>
      <c r="I627" s="139"/>
    </row>
    <row r="628" spans="1:9" ht="47.25">
      <c r="A628" s="26" t="s">
        <v>323</v>
      </c>
      <c r="B628" s="17">
        <v>906</v>
      </c>
      <c r="C628" s="21" t="s">
        <v>315</v>
      </c>
      <c r="D628" s="21" t="s">
        <v>266</v>
      </c>
      <c r="E628" s="21" t="s">
        <v>343</v>
      </c>
      <c r="F628" s="21" t="s">
        <v>324</v>
      </c>
      <c r="G628" s="28">
        <f>G629</f>
        <v>572.2</v>
      </c>
      <c r="H628" s="207"/>
      <c r="I628" s="139"/>
    </row>
    <row r="629" spans="1:9" ht="15.75">
      <c r="A629" s="26" t="s">
        <v>325</v>
      </c>
      <c r="B629" s="17">
        <v>906</v>
      </c>
      <c r="C629" s="21" t="s">
        <v>315</v>
      </c>
      <c r="D629" s="21" t="s">
        <v>266</v>
      </c>
      <c r="E629" s="21" t="s">
        <v>343</v>
      </c>
      <c r="F629" s="21" t="s">
        <v>326</v>
      </c>
      <c r="G629" s="28">
        <v>572.2</v>
      </c>
      <c r="H629" s="207"/>
      <c r="I629" s="139"/>
    </row>
    <row r="630" spans="1:9" ht="110.25">
      <c r="A630" s="33" t="s">
        <v>344</v>
      </c>
      <c r="B630" s="17">
        <v>906</v>
      </c>
      <c r="C630" s="21" t="s">
        <v>315</v>
      </c>
      <c r="D630" s="21" t="s">
        <v>266</v>
      </c>
      <c r="E630" s="21" t="s">
        <v>345</v>
      </c>
      <c r="F630" s="21"/>
      <c r="G630" s="28">
        <f>G631</f>
        <v>900</v>
      </c>
      <c r="H630" s="207"/>
      <c r="I630" s="139"/>
    </row>
    <row r="631" spans="1:9" ht="47.25">
      <c r="A631" s="26" t="s">
        <v>323</v>
      </c>
      <c r="B631" s="17">
        <v>906</v>
      </c>
      <c r="C631" s="21" t="s">
        <v>315</v>
      </c>
      <c r="D631" s="21" t="s">
        <v>266</v>
      </c>
      <c r="E631" s="21" t="s">
        <v>345</v>
      </c>
      <c r="F631" s="21" t="s">
        <v>324</v>
      </c>
      <c r="G631" s="28">
        <f>G632</f>
        <v>900</v>
      </c>
      <c r="H631" s="207"/>
      <c r="I631" s="139"/>
    </row>
    <row r="632" spans="1:9" ht="15.75">
      <c r="A632" s="26" t="s">
        <v>325</v>
      </c>
      <c r="B632" s="17">
        <v>906</v>
      </c>
      <c r="C632" s="21" t="s">
        <v>315</v>
      </c>
      <c r="D632" s="21" t="s">
        <v>266</v>
      </c>
      <c r="E632" s="21" t="s">
        <v>345</v>
      </c>
      <c r="F632" s="21" t="s">
        <v>326</v>
      </c>
      <c r="G632" s="28">
        <v>900</v>
      </c>
      <c r="H632" s="207"/>
      <c r="I632" s="139"/>
    </row>
    <row r="633" spans="1:8" ht="31.5">
      <c r="A633" s="24" t="s">
        <v>518</v>
      </c>
      <c r="B633" s="20">
        <v>906</v>
      </c>
      <c r="C633" s="25" t="s">
        <v>315</v>
      </c>
      <c r="D633" s="25" t="s">
        <v>315</v>
      </c>
      <c r="E633" s="25"/>
      <c r="F633" s="25"/>
      <c r="G633" s="22">
        <f>G634+G639</f>
        <v>4788.6</v>
      </c>
      <c r="H633" s="207"/>
    </row>
    <row r="634" spans="1:8" ht="47.25">
      <c r="A634" s="26" t="s">
        <v>478</v>
      </c>
      <c r="B634" s="17">
        <v>906</v>
      </c>
      <c r="C634" s="21" t="s">
        <v>315</v>
      </c>
      <c r="D634" s="21" t="s">
        <v>315</v>
      </c>
      <c r="E634" s="21" t="s">
        <v>458</v>
      </c>
      <c r="F634" s="21"/>
      <c r="G634" s="27">
        <f>G635</f>
        <v>3484.8</v>
      </c>
      <c r="H634" s="207"/>
    </row>
    <row r="635" spans="1:8" ht="31.5">
      <c r="A635" s="26" t="s">
        <v>519</v>
      </c>
      <c r="B635" s="17">
        <v>906</v>
      </c>
      <c r="C635" s="21" t="s">
        <v>315</v>
      </c>
      <c r="D635" s="21" t="s">
        <v>520</v>
      </c>
      <c r="E635" s="21" t="s">
        <v>521</v>
      </c>
      <c r="F635" s="21"/>
      <c r="G635" s="27">
        <f>G636</f>
        <v>3484.8</v>
      </c>
      <c r="H635" s="207"/>
    </row>
    <row r="636" spans="1:8" ht="47.25">
      <c r="A636" s="26" t="s">
        <v>522</v>
      </c>
      <c r="B636" s="17">
        <v>906</v>
      </c>
      <c r="C636" s="21" t="s">
        <v>315</v>
      </c>
      <c r="D636" s="21" t="s">
        <v>315</v>
      </c>
      <c r="E636" s="21" t="s">
        <v>523</v>
      </c>
      <c r="F636" s="21"/>
      <c r="G636" s="27">
        <f>G637</f>
        <v>3484.8</v>
      </c>
      <c r="H636" s="207"/>
    </row>
    <row r="637" spans="1:8" ht="47.25">
      <c r="A637" s="26" t="s">
        <v>323</v>
      </c>
      <c r="B637" s="17">
        <v>906</v>
      </c>
      <c r="C637" s="21" t="s">
        <v>315</v>
      </c>
      <c r="D637" s="21" t="s">
        <v>315</v>
      </c>
      <c r="E637" s="21" t="s">
        <v>523</v>
      </c>
      <c r="F637" s="21" t="s">
        <v>324</v>
      </c>
      <c r="G637" s="27">
        <f aca="true" t="shared" si="3" ref="G637:G642">G638</f>
        <v>3484.8</v>
      </c>
      <c r="H637" s="207"/>
    </row>
    <row r="638" spans="1:8" ht="15.75">
      <c r="A638" s="26" t="s">
        <v>325</v>
      </c>
      <c r="B638" s="17">
        <v>906</v>
      </c>
      <c r="C638" s="21" t="s">
        <v>315</v>
      </c>
      <c r="D638" s="21" t="s">
        <v>315</v>
      </c>
      <c r="E638" s="21" t="s">
        <v>523</v>
      </c>
      <c r="F638" s="21" t="s">
        <v>326</v>
      </c>
      <c r="G638" s="28">
        <v>3484.8</v>
      </c>
      <c r="H638" s="207"/>
    </row>
    <row r="639" spans="1:8" ht="15.75">
      <c r="A639" s="26" t="s">
        <v>172</v>
      </c>
      <c r="B639" s="17">
        <v>906</v>
      </c>
      <c r="C639" s="21" t="s">
        <v>315</v>
      </c>
      <c r="D639" s="21" t="s">
        <v>315</v>
      </c>
      <c r="E639" s="21" t="s">
        <v>173</v>
      </c>
      <c r="F639" s="21"/>
      <c r="G639" s="27">
        <f>G640</f>
        <v>1303.8000000000002</v>
      </c>
      <c r="H639" s="207"/>
    </row>
    <row r="640" spans="1:8" ht="31.5">
      <c r="A640" s="26" t="s">
        <v>236</v>
      </c>
      <c r="B640" s="17">
        <v>906</v>
      </c>
      <c r="C640" s="21" t="s">
        <v>315</v>
      </c>
      <c r="D640" s="21" t="s">
        <v>315</v>
      </c>
      <c r="E640" s="21" t="s">
        <v>237</v>
      </c>
      <c r="F640" s="21"/>
      <c r="G640" s="27">
        <f>G642</f>
        <v>1303.8000000000002</v>
      </c>
      <c r="H640" s="207"/>
    </row>
    <row r="641" spans="1:8" ht="63" hidden="1">
      <c r="A641" s="26" t="s">
        <v>524</v>
      </c>
      <c r="B641" s="17">
        <v>906</v>
      </c>
      <c r="C641" s="21" t="s">
        <v>315</v>
      </c>
      <c r="D641" s="21" t="s">
        <v>315</v>
      </c>
      <c r="E641" s="21" t="s">
        <v>525</v>
      </c>
      <c r="F641" s="21"/>
      <c r="G641" s="27">
        <f t="shared" si="3"/>
        <v>1303.8000000000002</v>
      </c>
      <c r="H641" s="207"/>
    </row>
    <row r="642" spans="1:8" ht="31.5">
      <c r="A642" s="33" t="s">
        <v>526</v>
      </c>
      <c r="B642" s="17">
        <v>906</v>
      </c>
      <c r="C642" s="21" t="s">
        <v>315</v>
      </c>
      <c r="D642" s="21" t="s">
        <v>315</v>
      </c>
      <c r="E642" s="21" t="s">
        <v>527</v>
      </c>
      <c r="F642" s="21"/>
      <c r="G642" s="27">
        <f t="shared" si="3"/>
        <v>1303.8000000000002</v>
      </c>
      <c r="H642" s="207"/>
    </row>
    <row r="643" spans="1:8" ht="47.25">
      <c r="A643" s="26" t="s">
        <v>323</v>
      </c>
      <c r="B643" s="17">
        <v>906</v>
      </c>
      <c r="C643" s="21" t="s">
        <v>315</v>
      </c>
      <c r="D643" s="21" t="s">
        <v>315</v>
      </c>
      <c r="E643" s="21" t="s">
        <v>527</v>
      </c>
      <c r="F643" s="21" t="s">
        <v>324</v>
      </c>
      <c r="G643" s="27">
        <f>G644</f>
        <v>1303.8000000000002</v>
      </c>
      <c r="H643" s="207"/>
    </row>
    <row r="644" spans="1:9" ht="15.75">
      <c r="A644" s="26" t="s">
        <v>325</v>
      </c>
      <c r="B644" s="17">
        <v>906</v>
      </c>
      <c r="C644" s="21" t="s">
        <v>315</v>
      </c>
      <c r="D644" s="21" t="s">
        <v>315</v>
      </c>
      <c r="E644" s="21" t="s">
        <v>527</v>
      </c>
      <c r="F644" s="21" t="s">
        <v>326</v>
      </c>
      <c r="G644" s="28">
        <f>1660.4-356.6</f>
        <v>1303.8000000000002</v>
      </c>
      <c r="H644" s="207"/>
      <c r="I644" s="139"/>
    </row>
    <row r="645" spans="1:8" ht="15.75">
      <c r="A645" s="24" t="s">
        <v>346</v>
      </c>
      <c r="B645" s="20">
        <v>906</v>
      </c>
      <c r="C645" s="25" t="s">
        <v>315</v>
      </c>
      <c r="D645" s="25" t="s">
        <v>270</v>
      </c>
      <c r="E645" s="25"/>
      <c r="F645" s="25"/>
      <c r="G645" s="22">
        <f>G646+G655</f>
        <v>18322.300000000003</v>
      </c>
      <c r="H645" s="207"/>
    </row>
    <row r="646" spans="1:9" ht="47.25">
      <c r="A646" s="26" t="s">
        <v>385</v>
      </c>
      <c r="B646" s="17">
        <v>906</v>
      </c>
      <c r="C646" s="21" t="s">
        <v>315</v>
      </c>
      <c r="D646" s="21" t="s">
        <v>270</v>
      </c>
      <c r="E646" s="21" t="s">
        <v>386</v>
      </c>
      <c r="F646" s="21"/>
      <c r="G646" s="27">
        <f>G647+G650</f>
        <v>20</v>
      </c>
      <c r="H646" s="207"/>
      <c r="I646" s="139"/>
    </row>
    <row r="647" spans="1:8" ht="31.5" hidden="1">
      <c r="A647" s="26" t="s">
        <v>387</v>
      </c>
      <c r="B647" s="17">
        <v>906</v>
      </c>
      <c r="C647" s="21" t="s">
        <v>315</v>
      </c>
      <c r="D647" s="21" t="s">
        <v>270</v>
      </c>
      <c r="E647" s="21" t="s">
        <v>388</v>
      </c>
      <c r="F647" s="21"/>
      <c r="G647" s="27">
        <f>G648</f>
        <v>0</v>
      </c>
      <c r="H647" s="207"/>
    </row>
    <row r="648" spans="1:8" ht="31.5" hidden="1">
      <c r="A648" s="26" t="s">
        <v>182</v>
      </c>
      <c r="B648" s="17">
        <v>906</v>
      </c>
      <c r="C648" s="21" t="s">
        <v>315</v>
      </c>
      <c r="D648" s="21" t="s">
        <v>270</v>
      </c>
      <c r="E648" s="21" t="s">
        <v>388</v>
      </c>
      <c r="F648" s="21" t="s">
        <v>183</v>
      </c>
      <c r="G648" s="27">
        <f>G649</f>
        <v>0</v>
      </c>
      <c r="H648" s="207"/>
    </row>
    <row r="649" spans="1:9" ht="47.25" hidden="1">
      <c r="A649" s="26" t="s">
        <v>184</v>
      </c>
      <c r="B649" s="17">
        <v>906</v>
      </c>
      <c r="C649" s="21" t="s">
        <v>315</v>
      </c>
      <c r="D649" s="21" t="s">
        <v>270</v>
      </c>
      <c r="E649" s="21" t="s">
        <v>388</v>
      </c>
      <c r="F649" s="21" t="s">
        <v>185</v>
      </c>
      <c r="G649" s="27">
        <f>50-50</f>
        <v>0</v>
      </c>
      <c r="H649" s="130"/>
      <c r="I649" s="150"/>
    </row>
    <row r="650" spans="1:8" ht="63">
      <c r="A650" s="26" t="s">
        <v>528</v>
      </c>
      <c r="B650" s="17">
        <v>906</v>
      </c>
      <c r="C650" s="21" t="s">
        <v>315</v>
      </c>
      <c r="D650" s="21" t="s">
        <v>270</v>
      </c>
      <c r="E650" s="21" t="s">
        <v>529</v>
      </c>
      <c r="F650" s="21"/>
      <c r="G650" s="27">
        <f>G651+G653</f>
        <v>20</v>
      </c>
      <c r="H650" s="207"/>
    </row>
    <row r="651" spans="1:8" ht="94.5">
      <c r="A651" s="26" t="s">
        <v>178</v>
      </c>
      <c r="B651" s="17">
        <v>906</v>
      </c>
      <c r="C651" s="21" t="s">
        <v>315</v>
      </c>
      <c r="D651" s="21" t="s">
        <v>270</v>
      </c>
      <c r="E651" s="21" t="s">
        <v>529</v>
      </c>
      <c r="F651" s="21" t="s">
        <v>179</v>
      </c>
      <c r="G651" s="27">
        <f>G652</f>
        <v>5</v>
      </c>
      <c r="H651" s="207"/>
    </row>
    <row r="652" spans="1:8" ht="31.5">
      <c r="A652" s="26" t="s">
        <v>393</v>
      </c>
      <c r="B652" s="17">
        <v>906</v>
      </c>
      <c r="C652" s="21" t="s">
        <v>315</v>
      </c>
      <c r="D652" s="21" t="s">
        <v>270</v>
      </c>
      <c r="E652" s="21" t="s">
        <v>529</v>
      </c>
      <c r="F652" s="21" t="s">
        <v>260</v>
      </c>
      <c r="G652" s="27">
        <v>5</v>
      </c>
      <c r="H652" s="207"/>
    </row>
    <row r="653" spans="1:8" ht="31.5">
      <c r="A653" s="26" t="s">
        <v>182</v>
      </c>
      <c r="B653" s="17">
        <v>906</v>
      </c>
      <c r="C653" s="21" t="s">
        <v>315</v>
      </c>
      <c r="D653" s="21" t="s">
        <v>270</v>
      </c>
      <c r="E653" s="21" t="s">
        <v>529</v>
      </c>
      <c r="F653" s="21" t="s">
        <v>183</v>
      </c>
      <c r="G653" s="27">
        <f>G654</f>
        <v>15</v>
      </c>
      <c r="H653" s="207"/>
    </row>
    <row r="654" spans="1:8" ht="47.25">
      <c r="A654" s="26" t="s">
        <v>184</v>
      </c>
      <c r="B654" s="17">
        <v>906</v>
      </c>
      <c r="C654" s="21" t="s">
        <v>315</v>
      </c>
      <c r="D654" s="21" t="s">
        <v>270</v>
      </c>
      <c r="E654" s="21" t="s">
        <v>529</v>
      </c>
      <c r="F654" s="21" t="s">
        <v>185</v>
      </c>
      <c r="G654" s="27">
        <v>15</v>
      </c>
      <c r="H654" s="207"/>
    </row>
    <row r="655" spans="1:8" ht="15.75">
      <c r="A655" s="26" t="s">
        <v>172</v>
      </c>
      <c r="B655" s="17">
        <v>906</v>
      </c>
      <c r="C655" s="21" t="s">
        <v>315</v>
      </c>
      <c r="D655" s="21" t="s">
        <v>270</v>
      </c>
      <c r="E655" s="21" t="s">
        <v>173</v>
      </c>
      <c r="F655" s="21"/>
      <c r="G655" s="27">
        <f>G656+G662</f>
        <v>18302.300000000003</v>
      </c>
      <c r="H655" s="207"/>
    </row>
    <row r="656" spans="1:8" ht="31.5">
      <c r="A656" s="26" t="s">
        <v>174</v>
      </c>
      <c r="B656" s="17">
        <v>906</v>
      </c>
      <c r="C656" s="21" t="s">
        <v>315</v>
      </c>
      <c r="D656" s="21" t="s">
        <v>270</v>
      </c>
      <c r="E656" s="21" t="s">
        <v>175</v>
      </c>
      <c r="F656" s="21"/>
      <c r="G656" s="27">
        <f>G657</f>
        <v>5138.7</v>
      </c>
      <c r="H656" s="207"/>
    </row>
    <row r="657" spans="1:8" ht="47.25">
      <c r="A657" s="26" t="s">
        <v>176</v>
      </c>
      <c r="B657" s="17">
        <v>906</v>
      </c>
      <c r="C657" s="21" t="s">
        <v>315</v>
      </c>
      <c r="D657" s="21" t="s">
        <v>270</v>
      </c>
      <c r="E657" s="21" t="s">
        <v>177</v>
      </c>
      <c r="F657" s="21"/>
      <c r="G657" s="27">
        <f>G658+G660</f>
        <v>5138.7</v>
      </c>
      <c r="H657" s="207"/>
    </row>
    <row r="658" spans="1:8" ht="94.5">
      <c r="A658" s="26" t="s">
        <v>178</v>
      </c>
      <c r="B658" s="17">
        <v>906</v>
      </c>
      <c r="C658" s="21" t="s">
        <v>315</v>
      </c>
      <c r="D658" s="21" t="s">
        <v>270</v>
      </c>
      <c r="E658" s="21" t="s">
        <v>177</v>
      </c>
      <c r="F658" s="21" t="s">
        <v>179</v>
      </c>
      <c r="G658" s="27">
        <f>G659</f>
        <v>4981.5</v>
      </c>
      <c r="H658" s="207"/>
    </row>
    <row r="659" spans="1:8" ht="31.5">
      <c r="A659" s="26" t="s">
        <v>180</v>
      </c>
      <c r="B659" s="17">
        <v>906</v>
      </c>
      <c r="C659" s="21" t="s">
        <v>315</v>
      </c>
      <c r="D659" s="21" t="s">
        <v>270</v>
      </c>
      <c r="E659" s="21" t="s">
        <v>177</v>
      </c>
      <c r="F659" s="21" t="s">
        <v>181</v>
      </c>
      <c r="G659" s="185">
        <f>4975.7+5.8</f>
        <v>4981.5</v>
      </c>
      <c r="H659" s="186" t="s">
        <v>814</v>
      </c>
    </row>
    <row r="660" spans="1:8" ht="31.5">
      <c r="A660" s="26" t="s">
        <v>182</v>
      </c>
      <c r="B660" s="17">
        <v>906</v>
      </c>
      <c r="C660" s="21" t="s">
        <v>315</v>
      </c>
      <c r="D660" s="21" t="s">
        <v>270</v>
      </c>
      <c r="E660" s="21" t="s">
        <v>177</v>
      </c>
      <c r="F660" s="21" t="s">
        <v>183</v>
      </c>
      <c r="G660" s="27">
        <f>G661</f>
        <v>157.2</v>
      </c>
      <c r="H660" s="207"/>
    </row>
    <row r="661" spans="1:8" ht="47.25">
      <c r="A661" s="26" t="s">
        <v>184</v>
      </c>
      <c r="B661" s="17">
        <v>906</v>
      </c>
      <c r="C661" s="21" t="s">
        <v>315</v>
      </c>
      <c r="D661" s="21" t="s">
        <v>270</v>
      </c>
      <c r="E661" s="21" t="s">
        <v>177</v>
      </c>
      <c r="F661" s="21" t="s">
        <v>185</v>
      </c>
      <c r="G661" s="187">
        <f>163-5.8</f>
        <v>157.2</v>
      </c>
      <c r="H661" s="186" t="s">
        <v>813</v>
      </c>
    </row>
    <row r="662" spans="1:8" ht="15.75">
      <c r="A662" s="26" t="s">
        <v>192</v>
      </c>
      <c r="B662" s="17">
        <v>906</v>
      </c>
      <c r="C662" s="21" t="s">
        <v>315</v>
      </c>
      <c r="D662" s="21" t="s">
        <v>270</v>
      </c>
      <c r="E662" s="21" t="s">
        <v>193</v>
      </c>
      <c r="F662" s="21"/>
      <c r="G662" s="27">
        <f>G666+G663</f>
        <v>13163.600000000002</v>
      </c>
      <c r="H662" s="207"/>
    </row>
    <row r="663" spans="1:8" ht="15.75">
      <c r="A663" s="26" t="s">
        <v>530</v>
      </c>
      <c r="B663" s="17">
        <v>906</v>
      </c>
      <c r="C663" s="21" t="s">
        <v>315</v>
      </c>
      <c r="D663" s="21" t="s">
        <v>270</v>
      </c>
      <c r="E663" s="21" t="s">
        <v>531</v>
      </c>
      <c r="F663" s="21"/>
      <c r="G663" s="27">
        <f>G664</f>
        <v>375</v>
      </c>
      <c r="H663" s="207"/>
    </row>
    <row r="664" spans="1:8" ht="31.5">
      <c r="A664" s="26" t="s">
        <v>182</v>
      </c>
      <c r="B664" s="17">
        <v>906</v>
      </c>
      <c r="C664" s="21" t="s">
        <v>315</v>
      </c>
      <c r="D664" s="21" t="s">
        <v>270</v>
      </c>
      <c r="E664" s="21" t="s">
        <v>531</v>
      </c>
      <c r="F664" s="21" t="s">
        <v>183</v>
      </c>
      <c r="G664" s="27">
        <f>G665</f>
        <v>375</v>
      </c>
      <c r="H664" s="207"/>
    </row>
    <row r="665" spans="1:9" ht="47.25">
      <c r="A665" s="26" t="s">
        <v>184</v>
      </c>
      <c r="B665" s="17">
        <v>906</v>
      </c>
      <c r="C665" s="21" t="s">
        <v>315</v>
      </c>
      <c r="D665" s="21" t="s">
        <v>270</v>
      </c>
      <c r="E665" s="21" t="s">
        <v>531</v>
      </c>
      <c r="F665" s="21" t="s">
        <v>185</v>
      </c>
      <c r="G665" s="191">
        <f>206.3+143.7+25</f>
        <v>375</v>
      </c>
      <c r="H665" s="186" t="s">
        <v>830</v>
      </c>
      <c r="I665" s="139"/>
    </row>
    <row r="666" spans="1:11" ht="31.5">
      <c r="A666" s="26" t="s">
        <v>391</v>
      </c>
      <c r="B666" s="17">
        <v>906</v>
      </c>
      <c r="C666" s="21" t="s">
        <v>315</v>
      </c>
      <c r="D666" s="21" t="s">
        <v>270</v>
      </c>
      <c r="E666" s="21" t="s">
        <v>392</v>
      </c>
      <c r="F666" s="21"/>
      <c r="G666" s="27">
        <f>G667+G669+G671</f>
        <v>12788.600000000002</v>
      </c>
      <c r="H666" s="207"/>
      <c r="J666" s="406"/>
      <c r="K666" s="406"/>
    </row>
    <row r="667" spans="1:11" ht="94.5">
      <c r="A667" s="26" t="s">
        <v>178</v>
      </c>
      <c r="B667" s="17">
        <v>906</v>
      </c>
      <c r="C667" s="21" t="s">
        <v>315</v>
      </c>
      <c r="D667" s="21" t="s">
        <v>270</v>
      </c>
      <c r="E667" s="21" t="s">
        <v>392</v>
      </c>
      <c r="F667" s="21" t="s">
        <v>179</v>
      </c>
      <c r="G667" s="27">
        <f>G668</f>
        <v>11519.300000000001</v>
      </c>
      <c r="H667" s="207"/>
      <c r="J667" s="406"/>
      <c r="K667" s="406"/>
    </row>
    <row r="668" spans="1:11" ht="31.5">
      <c r="A668" s="26" t="s">
        <v>393</v>
      </c>
      <c r="B668" s="17">
        <v>906</v>
      </c>
      <c r="C668" s="21" t="s">
        <v>315</v>
      </c>
      <c r="D668" s="21" t="s">
        <v>270</v>
      </c>
      <c r="E668" s="21" t="s">
        <v>392</v>
      </c>
      <c r="F668" s="21" t="s">
        <v>260</v>
      </c>
      <c r="G668" s="28">
        <f>11988.7-469.4</f>
        <v>11519.300000000001</v>
      </c>
      <c r="H668" s="130"/>
      <c r="I668" s="150"/>
      <c r="J668" s="406"/>
      <c r="K668" s="406"/>
    </row>
    <row r="669" spans="1:11" ht="31.5">
      <c r="A669" s="26" t="s">
        <v>182</v>
      </c>
      <c r="B669" s="17">
        <v>906</v>
      </c>
      <c r="C669" s="21" t="s">
        <v>315</v>
      </c>
      <c r="D669" s="21" t="s">
        <v>270</v>
      </c>
      <c r="E669" s="21" t="s">
        <v>392</v>
      </c>
      <c r="F669" s="21" t="s">
        <v>183</v>
      </c>
      <c r="G669" s="27">
        <f>G670</f>
        <v>1264.1</v>
      </c>
      <c r="H669" s="207"/>
      <c r="J669" s="406"/>
      <c r="K669" s="406"/>
    </row>
    <row r="670" spans="1:11" ht="47.25">
      <c r="A670" s="26" t="s">
        <v>184</v>
      </c>
      <c r="B670" s="17">
        <v>906</v>
      </c>
      <c r="C670" s="21" t="s">
        <v>315</v>
      </c>
      <c r="D670" s="21" t="s">
        <v>270</v>
      </c>
      <c r="E670" s="21" t="s">
        <v>392</v>
      </c>
      <c r="F670" s="21" t="s">
        <v>185</v>
      </c>
      <c r="G670" s="27">
        <f>1416.8-152.7</f>
        <v>1264.1</v>
      </c>
      <c r="H670" s="130"/>
      <c r="I670" s="150"/>
      <c r="J670" s="406"/>
      <c r="K670" s="406"/>
    </row>
    <row r="671" spans="1:11" ht="15.75">
      <c r="A671" s="26" t="s">
        <v>186</v>
      </c>
      <c r="B671" s="17">
        <v>906</v>
      </c>
      <c r="C671" s="21" t="s">
        <v>315</v>
      </c>
      <c r="D671" s="21" t="s">
        <v>270</v>
      </c>
      <c r="E671" s="21" t="s">
        <v>392</v>
      </c>
      <c r="F671" s="21" t="s">
        <v>196</v>
      </c>
      <c r="G671" s="27">
        <f>G672</f>
        <v>5.2</v>
      </c>
      <c r="H671" s="207"/>
      <c r="J671" s="406"/>
      <c r="K671" s="406"/>
    </row>
    <row r="672" spans="1:11" ht="15.75">
      <c r="A672" s="26" t="s">
        <v>620</v>
      </c>
      <c r="B672" s="17">
        <v>906</v>
      </c>
      <c r="C672" s="21" t="s">
        <v>315</v>
      </c>
      <c r="D672" s="21" t="s">
        <v>270</v>
      </c>
      <c r="E672" s="21" t="s">
        <v>392</v>
      </c>
      <c r="F672" s="21" t="s">
        <v>189</v>
      </c>
      <c r="G672" s="27">
        <f>7-1.8</f>
        <v>5.2</v>
      </c>
      <c r="H672" s="130"/>
      <c r="I672" s="150"/>
      <c r="J672" s="406"/>
      <c r="K672" s="406"/>
    </row>
    <row r="673" spans="1:8" ht="47.25">
      <c r="A673" s="20" t="s">
        <v>532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7"/>
    </row>
    <row r="674" spans="1:8" ht="15.75">
      <c r="A674" s="24" t="s">
        <v>314</v>
      </c>
      <c r="B674" s="20">
        <v>907</v>
      </c>
      <c r="C674" s="25" t="s">
        <v>520</v>
      </c>
      <c r="D674" s="25"/>
      <c r="E674" s="25"/>
      <c r="F674" s="25"/>
      <c r="G674" s="22">
        <f>G675</f>
        <v>11485.1</v>
      </c>
      <c r="H674" s="207"/>
    </row>
    <row r="675" spans="1:10" ht="15.75">
      <c r="A675" s="24" t="s">
        <v>316</v>
      </c>
      <c r="B675" s="20">
        <v>907</v>
      </c>
      <c r="C675" s="25" t="s">
        <v>315</v>
      </c>
      <c r="D675" s="25" t="s">
        <v>266</v>
      </c>
      <c r="E675" s="25"/>
      <c r="F675" s="25"/>
      <c r="G675" s="22">
        <f>G676+G693</f>
        <v>11485.1</v>
      </c>
      <c r="H675" s="207"/>
      <c r="J675" s="140"/>
    </row>
    <row r="676" spans="1:8" ht="47.25">
      <c r="A676" s="26" t="s">
        <v>533</v>
      </c>
      <c r="B676" s="17">
        <v>907</v>
      </c>
      <c r="C676" s="21" t="s">
        <v>315</v>
      </c>
      <c r="D676" s="21" t="s">
        <v>266</v>
      </c>
      <c r="E676" s="21" t="s">
        <v>534</v>
      </c>
      <c r="F676" s="21"/>
      <c r="G676" s="27">
        <f>G677</f>
        <v>10758</v>
      </c>
      <c r="H676" s="207"/>
    </row>
    <row r="677" spans="1:8" ht="47.25">
      <c r="A677" s="26" t="s">
        <v>535</v>
      </c>
      <c r="B677" s="17">
        <v>907</v>
      </c>
      <c r="C677" s="21" t="s">
        <v>315</v>
      </c>
      <c r="D677" s="21" t="s">
        <v>266</v>
      </c>
      <c r="E677" s="21" t="s">
        <v>536</v>
      </c>
      <c r="F677" s="21"/>
      <c r="G677" s="27">
        <f>G678+G681+G684+G690+G687</f>
        <v>10758</v>
      </c>
      <c r="H677" s="207"/>
    </row>
    <row r="678" spans="1:8" ht="47.25">
      <c r="A678" s="26" t="s">
        <v>321</v>
      </c>
      <c r="B678" s="17">
        <v>907</v>
      </c>
      <c r="C678" s="21" t="s">
        <v>315</v>
      </c>
      <c r="D678" s="21" t="s">
        <v>266</v>
      </c>
      <c r="E678" s="21" t="s">
        <v>537</v>
      </c>
      <c r="F678" s="21"/>
      <c r="G678" s="27">
        <f>G679</f>
        <v>10722</v>
      </c>
      <c r="H678" s="207"/>
    </row>
    <row r="679" spans="1:8" ht="47.25">
      <c r="A679" s="26" t="s">
        <v>323</v>
      </c>
      <c r="B679" s="17">
        <v>907</v>
      </c>
      <c r="C679" s="21" t="s">
        <v>315</v>
      </c>
      <c r="D679" s="21" t="s">
        <v>266</v>
      </c>
      <c r="E679" s="21" t="s">
        <v>537</v>
      </c>
      <c r="F679" s="21" t="s">
        <v>324</v>
      </c>
      <c r="G679" s="27">
        <f>G680</f>
        <v>10722</v>
      </c>
      <c r="H679" s="207"/>
    </row>
    <row r="680" spans="1:9" ht="15.75">
      <c r="A680" s="26" t="s">
        <v>325</v>
      </c>
      <c r="B680" s="17">
        <v>907</v>
      </c>
      <c r="C680" s="21" t="s">
        <v>315</v>
      </c>
      <c r="D680" s="21" t="s">
        <v>266</v>
      </c>
      <c r="E680" s="21" t="s">
        <v>537</v>
      </c>
      <c r="F680" s="21" t="s">
        <v>326</v>
      </c>
      <c r="G680" s="28">
        <f>10500+753.9-531.9</f>
        <v>10722</v>
      </c>
      <c r="H680" s="130"/>
      <c r="I680" s="151"/>
    </row>
    <row r="681" spans="1:8" ht="47.25" hidden="1">
      <c r="A681" s="26" t="s">
        <v>329</v>
      </c>
      <c r="B681" s="17">
        <v>907</v>
      </c>
      <c r="C681" s="21" t="s">
        <v>315</v>
      </c>
      <c r="D681" s="21" t="s">
        <v>264</v>
      </c>
      <c r="E681" s="21" t="s">
        <v>538</v>
      </c>
      <c r="F681" s="21"/>
      <c r="G681" s="27">
        <f>G682</f>
        <v>0</v>
      </c>
      <c r="H681" s="207"/>
    </row>
    <row r="682" spans="1:8" ht="47.25" hidden="1">
      <c r="A682" s="26" t="s">
        <v>323</v>
      </c>
      <c r="B682" s="17">
        <v>907</v>
      </c>
      <c r="C682" s="21" t="s">
        <v>315</v>
      </c>
      <c r="D682" s="21" t="s">
        <v>264</v>
      </c>
      <c r="E682" s="21" t="s">
        <v>538</v>
      </c>
      <c r="F682" s="21" t="s">
        <v>324</v>
      </c>
      <c r="G682" s="27">
        <f>G683</f>
        <v>0</v>
      </c>
      <c r="H682" s="207"/>
    </row>
    <row r="683" spans="1:8" ht="15.75" hidden="1">
      <c r="A683" s="26" t="s">
        <v>325</v>
      </c>
      <c r="B683" s="17">
        <v>907</v>
      </c>
      <c r="C683" s="21" t="s">
        <v>315</v>
      </c>
      <c r="D683" s="21" t="s">
        <v>264</v>
      </c>
      <c r="E683" s="21" t="s">
        <v>538</v>
      </c>
      <c r="F683" s="21" t="s">
        <v>326</v>
      </c>
      <c r="G683" s="27">
        <v>0</v>
      </c>
      <c r="H683" s="207"/>
    </row>
    <row r="684" spans="1:8" ht="31.5" hidden="1">
      <c r="A684" s="26" t="s">
        <v>331</v>
      </c>
      <c r="B684" s="17">
        <v>907</v>
      </c>
      <c r="C684" s="21" t="s">
        <v>315</v>
      </c>
      <c r="D684" s="21" t="s">
        <v>264</v>
      </c>
      <c r="E684" s="21" t="s">
        <v>539</v>
      </c>
      <c r="F684" s="21"/>
      <c r="G684" s="27">
        <f>G685</f>
        <v>0</v>
      </c>
      <c r="H684" s="207"/>
    </row>
    <row r="685" spans="1:8" ht="47.25" hidden="1">
      <c r="A685" s="26" t="s">
        <v>323</v>
      </c>
      <c r="B685" s="17">
        <v>907</v>
      </c>
      <c r="C685" s="21" t="s">
        <v>315</v>
      </c>
      <c r="D685" s="21" t="s">
        <v>264</v>
      </c>
      <c r="E685" s="21" t="s">
        <v>539</v>
      </c>
      <c r="F685" s="21" t="s">
        <v>324</v>
      </c>
      <c r="G685" s="27">
        <f>G686</f>
        <v>0</v>
      </c>
      <c r="H685" s="207"/>
    </row>
    <row r="686" spans="1:8" ht="15.75" hidden="1">
      <c r="A686" s="26" t="s">
        <v>325</v>
      </c>
      <c r="B686" s="17">
        <v>907</v>
      </c>
      <c r="C686" s="21" t="s">
        <v>315</v>
      </c>
      <c r="D686" s="21" t="s">
        <v>264</v>
      </c>
      <c r="E686" s="21" t="s">
        <v>539</v>
      </c>
      <c r="F686" s="21" t="s">
        <v>326</v>
      </c>
      <c r="G686" s="27">
        <v>0</v>
      </c>
      <c r="H686" s="207"/>
    </row>
    <row r="687" spans="1:8" ht="47.25">
      <c r="A687" s="26" t="s">
        <v>333</v>
      </c>
      <c r="B687" s="17">
        <v>907</v>
      </c>
      <c r="C687" s="21" t="s">
        <v>315</v>
      </c>
      <c r="D687" s="21" t="s">
        <v>266</v>
      </c>
      <c r="E687" s="21" t="s">
        <v>540</v>
      </c>
      <c r="F687" s="21"/>
      <c r="G687" s="27">
        <f>G688</f>
        <v>36</v>
      </c>
      <c r="H687" s="207"/>
    </row>
    <row r="688" spans="1:8" ht="47.25">
      <c r="A688" s="26" t="s">
        <v>323</v>
      </c>
      <c r="B688" s="17">
        <v>907</v>
      </c>
      <c r="C688" s="21" t="s">
        <v>315</v>
      </c>
      <c r="D688" s="21" t="s">
        <v>266</v>
      </c>
      <c r="E688" s="21" t="s">
        <v>540</v>
      </c>
      <c r="F688" s="21" t="s">
        <v>324</v>
      </c>
      <c r="G688" s="27">
        <f>G689</f>
        <v>36</v>
      </c>
      <c r="H688" s="207"/>
    </row>
    <row r="689" spans="1:8" ht="15.75">
      <c r="A689" s="26" t="s">
        <v>325</v>
      </c>
      <c r="B689" s="17">
        <v>907</v>
      </c>
      <c r="C689" s="21" t="s">
        <v>315</v>
      </c>
      <c r="D689" s="21" t="s">
        <v>266</v>
      </c>
      <c r="E689" s="21" t="s">
        <v>540</v>
      </c>
      <c r="F689" s="21" t="s">
        <v>326</v>
      </c>
      <c r="G689" s="27">
        <v>36</v>
      </c>
      <c r="H689" s="207"/>
    </row>
    <row r="690" spans="1:8" ht="31.5" hidden="1">
      <c r="A690" s="26" t="s">
        <v>335</v>
      </c>
      <c r="B690" s="17">
        <v>907</v>
      </c>
      <c r="C690" s="21" t="s">
        <v>315</v>
      </c>
      <c r="D690" s="21" t="s">
        <v>264</v>
      </c>
      <c r="E690" s="21" t="s">
        <v>541</v>
      </c>
      <c r="F690" s="21"/>
      <c r="G690" s="27">
        <f>G691</f>
        <v>0</v>
      </c>
      <c r="H690" s="207"/>
    </row>
    <row r="691" spans="1:8" ht="47.25" hidden="1">
      <c r="A691" s="26" t="s">
        <v>323</v>
      </c>
      <c r="B691" s="17">
        <v>907</v>
      </c>
      <c r="C691" s="21" t="s">
        <v>315</v>
      </c>
      <c r="D691" s="21" t="s">
        <v>264</v>
      </c>
      <c r="E691" s="21" t="s">
        <v>541</v>
      </c>
      <c r="F691" s="21" t="s">
        <v>324</v>
      </c>
      <c r="G691" s="27">
        <f>G692</f>
        <v>0</v>
      </c>
      <c r="H691" s="207"/>
    </row>
    <row r="692" spans="1:8" ht="15.75" hidden="1">
      <c r="A692" s="26" t="s">
        <v>325</v>
      </c>
      <c r="B692" s="17">
        <v>907</v>
      </c>
      <c r="C692" s="21" t="s">
        <v>315</v>
      </c>
      <c r="D692" s="21" t="s">
        <v>264</v>
      </c>
      <c r="E692" s="21" t="s">
        <v>541</v>
      </c>
      <c r="F692" s="21" t="s">
        <v>326</v>
      </c>
      <c r="G692" s="27">
        <v>0</v>
      </c>
      <c r="H692" s="207"/>
    </row>
    <row r="693" spans="1:8" ht="15.75">
      <c r="A693" s="26" t="s">
        <v>172</v>
      </c>
      <c r="B693" s="17">
        <v>907</v>
      </c>
      <c r="C693" s="21" t="s">
        <v>315</v>
      </c>
      <c r="D693" s="21" t="s">
        <v>266</v>
      </c>
      <c r="E693" s="21" t="s">
        <v>173</v>
      </c>
      <c r="F693" s="21"/>
      <c r="G693" s="27">
        <f>G694</f>
        <v>727.1</v>
      </c>
      <c r="H693" s="207"/>
    </row>
    <row r="694" spans="1:8" ht="31.5">
      <c r="A694" s="26" t="s">
        <v>236</v>
      </c>
      <c r="B694" s="17">
        <v>907</v>
      </c>
      <c r="C694" s="21" t="s">
        <v>315</v>
      </c>
      <c r="D694" s="21" t="s">
        <v>266</v>
      </c>
      <c r="E694" s="21" t="s">
        <v>237</v>
      </c>
      <c r="F694" s="21"/>
      <c r="G694" s="27">
        <f>G695+G698+G701</f>
        <v>727.1</v>
      </c>
      <c r="H694" s="207"/>
    </row>
    <row r="695" spans="1:8" ht="63">
      <c r="A695" s="33" t="s">
        <v>340</v>
      </c>
      <c r="B695" s="17">
        <v>907</v>
      </c>
      <c r="C695" s="21" t="s">
        <v>315</v>
      </c>
      <c r="D695" s="21" t="s">
        <v>266</v>
      </c>
      <c r="E695" s="21" t="s">
        <v>341</v>
      </c>
      <c r="F695" s="21"/>
      <c r="G695" s="27">
        <f>G696</f>
        <v>50</v>
      </c>
      <c r="H695" s="207"/>
    </row>
    <row r="696" spans="1:8" ht="47.25">
      <c r="A696" s="26" t="s">
        <v>323</v>
      </c>
      <c r="B696" s="17">
        <v>907</v>
      </c>
      <c r="C696" s="21" t="s">
        <v>315</v>
      </c>
      <c r="D696" s="21" t="s">
        <v>266</v>
      </c>
      <c r="E696" s="21" t="s">
        <v>341</v>
      </c>
      <c r="F696" s="21" t="s">
        <v>324</v>
      </c>
      <c r="G696" s="27">
        <f>G697</f>
        <v>50</v>
      </c>
      <c r="H696" s="207"/>
    </row>
    <row r="697" spans="1:8" ht="15.75">
      <c r="A697" s="26" t="s">
        <v>325</v>
      </c>
      <c r="B697" s="17">
        <v>907</v>
      </c>
      <c r="C697" s="21" t="s">
        <v>315</v>
      </c>
      <c r="D697" s="21" t="s">
        <v>266</v>
      </c>
      <c r="E697" s="21" t="s">
        <v>341</v>
      </c>
      <c r="F697" s="21" t="s">
        <v>326</v>
      </c>
      <c r="G697" s="27">
        <v>50</v>
      </c>
      <c r="H697" s="207"/>
    </row>
    <row r="698" spans="1:8" ht="78.75">
      <c r="A698" s="33" t="s">
        <v>342</v>
      </c>
      <c r="B698" s="17">
        <v>907</v>
      </c>
      <c r="C698" s="21" t="s">
        <v>315</v>
      </c>
      <c r="D698" s="21" t="s">
        <v>266</v>
      </c>
      <c r="E698" s="21" t="s">
        <v>343</v>
      </c>
      <c r="F698" s="21"/>
      <c r="G698" s="27">
        <f>G699</f>
        <v>197.3</v>
      </c>
      <c r="H698" s="207"/>
    </row>
    <row r="699" spans="1:8" ht="47.25">
      <c r="A699" s="26" t="s">
        <v>323</v>
      </c>
      <c r="B699" s="17">
        <v>907</v>
      </c>
      <c r="C699" s="21" t="s">
        <v>315</v>
      </c>
      <c r="D699" s="21" t="s">
        <v>266</v>
      </c>
      <c r="E699" s="21" t="s">
        <v>343</v>
      </c>
      <c r="F699" s="21" t="s">
        <v>324</v>
      </c>
      <c r="G699" s="27">
        <f>G700</f>
        <v>197.3</v>
      </c>
      <c r="H699" s="207"/>
    </row>
    <row r="700" spans="1:10" ht="15.75">
      <c r="A700" s="26" t="s">
        <v>325</v>
      </c>
      <c r="B700" s="17">
        <v>907</v>
      </c>
      <c r="C700" s="21" t="s">
        <v>315</v>
      </c>
      <c r="D700" s="21" t="s">
        <v>266</v>
      </c>
      <c r="E700" s="21" t="s">
        <v>343</v>
      </c>
      <c r="F700" s="21" t="s">
        <v>326</v>
      </c>
      <c r="G700" s="27">
        <f>200-2.7</f>
        <v>197.3</v>
      </c>
      <c r="H700" s="207"/>
      <c r="I700" s="139"/>
      <c r="J700" s="140"/>
    </row>
    <row r="701" spans="1:8" ht="110.25">
      <c r="A701" s="33" t="s">
        <v>516</v>
      </c>
      <c r="B701" s="17">
        <v>907</v>
      </c>
      <c r="C701" s="21" t="s">
        <v>315</v>
      </c>
      <c r="D701" s="21" t="s">
        <v>266</v>
      </c>
      <c r="E701" s="21" t="s">
        <v>345</v>
      </c>
      <c r="F701" s="21"/>
      <c r="G701" s="27">
        <f>G702</f>
        <v>479.8</v>
      </c>
      <c r="H701" s="207"/>
    </row>
    <row r="702" spans="1:8" ht="47.25">
      <c r="A702" s="26" t="s">
        <v>323</v>
      </c>
      <c r="B702" s="17">
        <v>907</v>
      </c>
      <c r="C702" s="21" t="s">
        <v>315</v>
      </c>
      <c r="D702" s="21" t="s">
        <v>266</v>
      </c>
      <c r="E702" s="21" t="s">
        <v>345</v>
      </c>
      <c r="F702" s="21" t="s">
        <v>324</v>
      </c>
      <c r="G702" s="27">
        <f>G703</f>
        <v>479.8</v>
      </c>
      <c r="H702" s="207"/>
    </row>
    <row r="703" spans="1:9" ht="15.75">
      <c r="A703" s="26" t="s">
        <v>325</v>
      </c>
      <c r="B703" s="17">
        <v>907</v>
      </c>
      <c r="C703" s="21" t="s">
        <v>315</v>
      </c>
      <c r="D703" s="21" t="s">
        <v>266</v>
      </c>
      <c r="E703" s="21" t="s">
        <v>345</v>
      </c>
      <c r="F703" s="21" t="s">
        <v>326</v>
      </c>
      <c r="G703" s="27">
        <f>500-20.2</f>
        <v>479.8</v>
      </c>
      <c r="H703" s="207"/>
      <c r="I703" s="139"/>
    </row>
    <row r="704" spans="1:8" ht="15.75">
      <c r="A704" s="24" t="s">
        <v>542</v>
      </c>
      <c r="B704" s="20">
        <v>907</v>
      </c>
      <c r="C704" s="25" t="s">
        <v>543</v>
      </c>
      <c r="D704" s="21"/>
      <c r="E704" s="21"/>
      <c r="F704" s="21"/>
      <c r="G704" s="22">
        <f>G705+G725</f>
        <v>34702.7</v>
      </c>
      <c r="H704" s="207"/>
    </row>
    <row r="705" spans="1:8" ht="15.75">
      <c r="A705" s="24" t="s">
        <v>544</v>
      </c>
      <c r="B705" s="20">
        <v>907</v>
      </c>
      <c r="C705" s="25" t="s">
        <v>543</v>
      </c>
      <c r="D705" s="25" t="s">
        <v>169</v>
      </c>
      <c r="E705" s="21"/>
      <c r="F705" s="21"/>
      <c r="G705" s="22">
        <f>G706+G721</f>
        <v>23173.9</v>
      </c>
      <c r="H705" s="207"/>
    </row>
    <row r="706" spans="1:8" ht="47.25">
      <c r="A706" s="26" t="s">
        <v>533</v>
      </c>
      <c r="B706" s="17">
        <v>907</v>
      </c>
      <c r="C706" s="21" t="s">
        <v>543</v>
      </c>
      <c r="D706" s="21" t="s">
        <v>169</v>
      </c>
      <c r="E706" s="21" t="s">
        <v>534</v>
      </c>
      <c r="F706" s="21"/>
      <c r="G706" s="27">
        <f>G707</f>
        <v>22673.9</v>
      </c>
      <c r="H706" s="207"/>
    </row>
    <row r="707" spans="1:8" ht="47.25">
      <c r="A707" s="26" t="s">
        <v>545</v>
      </c>
      <c r="B707" s="17">
        <v>907</v>
      </c>
      <c r="C707" s="21" t="s">
        <v>543</v>
      </c>
      <c r="D707" s="21" t="s">
        <v>169</v>
      </c>
      <c r="E707" s="21" t="s">
        <v>546</v>
      </c>
      <c r="F707" s="21"/>
      <c r="G707" s="27">
        <f>G708+G711+G714+G717</f>
        <v>22673.9</v>
      </c>
      <c r="H707" s="207"/>
    </row>
    <row r="708" spans="1:8" ht="47.25">
      <c r="A708" s="26" t="s">
        <v>547</v>
      </c>
      <c r="B708" s="17">
        <v>907</v>
      </c>
      <c r="C708" s="21" t="s">
        <v>543</v>
      </c>
      <c r="D708" s="21" t="s">
        <v>169</v>
      </c>
      <c r="E708" s="21" t="s">
        <v>548</v>
      </c>
      <c r="F708" s="21"/>
      <c r="G708" s="27">
        <f>G709</f>
        <v>22376.4</v>
      </c>
      <c r="H708" s="207"/>
    </row>
    <row r="709" spans="1:8" ht="47.25">
      <c r="A709" s="26" t="s">
        <v>323</v>
      </c>
      <c r="B709" s="17">
        <v>907</v>
      </c>
      <c r="C709" s="21" t="s">
        <v>543</v>
      </c>
      <c r="D709" s="21" t="s">
        <v>169</v>
      </c>
      <c r="E709" s="21" t="s">
        <v>548</v>
      </c>
      <c r="F709" s="21" t="s">
        <v>324</v>
      </c>
      <c r="G709" s="27">
        <f>G710</f>
        <v>22376.4</v>
      </c>
      <c r="H709" s="207"/>
    </row>
    <row r="710" spans="1:9" ht="15.75">
      <c r="A710" s="26" t="s">
        <v>325</v>
      </c>
      <c r="B710" s="17">
        <v>907</v>
      </c>
      <c r="C710" s="21" t="s">
        <v>543</v>
      </c>
      <c r="D710" s="21" t="s">
        <v>169</v>
      </c>
      <c r="E710" s="21" t="s">
        <v>548</v>
      </c>
      <c r="F710" s="21" t="s">
        <v>326</v>
      </c>
      <c r="G710" s="192">
        <f>10890+1490.1+9887.3-199+308</f>
        <v>22376.4</v>
      </c>
      <c r="H710" s="130" t="s">
        <v>823</v>
      </c>
      <c r="I710" s="151"/>
    </row>
    <row r="711" spans="1:8" ht="47.25">
      <c r="A711" s="26" t="s">
        <v>329</v>
      </c>
      <c r="B711" s="17">
        <v>907</v>
      </c>
      <c r="C711" s="21" t="s">
        <v>543</v>
      </c>
      <c r="D711" s="21" t="s">
        <v>169</v>
      </c>
      <c r="E711" s="21" t="s">
        <v>549</v>
      </c>
      <c r="F711" s="21"/>
      <c r="G711" s="27">
        <f>G712</f>
        <v>297.5</v>
      </c>
      <c r="H711" s="207"/>
    </row>
    <row r="712" spans="1:8" ht="47.25">
      <c r="A712" s="26" t="s">
        <v>323</v>
      </c>
      <c r="B712" s="17">
        <v>907</v>
      </c>
      <c r="C712" s="21" t="s">
        <v>543</v>
      </c>
      <c r="D712" s="21" t="s">
        <v>169</v>
      </c>
      <c r="E712" s="21" t="s">
        <v>549</v>
      </c>
      <c r="F712" s="21" t="s">
        <v>324</v>
      </c>
      <c r="G712" s="27">
        <f>G713</f>
        <v>297.5</v>
      </c>
      <c r="H712" s="207"/>
    </row>
    <row r="713" spans="1:8" ht="15.75">
      <c r="A713" s="26" t="s">
        <v>325</v>
      </c>
      <c r="B713" s="17">
        <v>907</v>
      </c>
      <c r="C713" s="21" t="s">
        <v>543</v>
      </c>
      <c r="D713" s="21" t="s">
        <v>169</v>
      </c>
      <c r="E713" s="21" t="s">
        <v>549</v>
      </c>
      <c r="F713" s="21" t="s">
        <v>326</v>
      </c>
      <c r="G713" s="187">
        <f>797.5-500</f>
        <v>297.5</v>
      </c>
      <c r="H713" s="186" t="s">
        <v>821</v>
      </c>
    </row>
    <row r="714" spans="1:8" ht="31.5" hidden="1">
      <c r="A714" s="26" t="s">
        <v>331</v>
      </c>
      <c r="B714" s="17">
        <v>907</v>
      </c>
      <c r="C714" s="21" t="s">
        <v>543</v>
      </c>
      <c r="D714" s="21" t="s">
        <v>169</v>
      </c>
      <c r="E714" s="21" t="s">
        <v>550</v>
      </c>
      <c r="F714" s="21"/>
      <c r="G714" s="27">
        <f>G715</f>
        <v>0</v>
      </c>
      <c r="H714" s="207"/>
    </row>
    <row r="715" spans="1:8" ht="47.25" hidden="1">
      <c r="A715" s="26" t="s">
        <v>323</v>
      </c>
      <c r="B715" s="17">
        <v>907</v>
      </c>
      <c r="C715" s="21" t="s">
        <v>543</v>
      </c>
      <c r="D715" s="21" t="s">
        <v>169</v>
      </c>
      <c r="E715" s="21" t="s">
        <v>550</v>
      </c>
      <c r="F715" s="21" t="s">
        <v>324</v>
      </c>
      <c r="G715" s="27">
        <f>G716</f>
        <v>0</v>
      </c>
      <c r="H715" s="207"/>
    </row>
    <row r="716" spans="1:8" ht="15.75" hidden="1">
      <c r="A716" s="26" t="s">
        <v>325</v>
      </c>
      <c r="B716" s="17">
        <v>907</v>
      </c>
      <c r="C716" s="21" t="s">
        <v>543</v>
      </c>
      <c r="D716" s="21" t="s">
        <v>169</v>
      </c>
      <c r="E716" s="21" t="s">
        <v>550</v>
      </c>
      <c r="F716" s="21" t="s">
        <v>326</v>
      </c>
      <c r="G716" s="27">
        <v>0</v>
      </c>
      <c r="H716" s="207"/>
    </row>
    <row r="717" spans="1:8" ht="31.5" hidden="1">
      <c r="A717" s="26" t="s">
        <v>335</v>
      </c>
      <c r="B717" s="17">
        <v>907</v>
      </c>
      <c r="C717" s="21" t="s">
        <v>543</v>
      </c>
      <c r="D717" s="21" t="s">
        <v>169</v>
      </c>
      <c r="E717" s="21" t="s">
        <v>551</v>
      </c>
      <c r="F717" s="21"/>
      <c r="G717" s="27">
        <f>G718</f>
        <v>0</v>
      </c>
      <c r="H717" s="207"/>
    </row>
    <row r="718" spans="1:8" ht="47.25" hidden="1">
      <c r="A718" s="26" t="s">
        <v>323</v>
      </c>
      <c r="B718" s="17">
        <v>907</v>
      </c>
      <c r="C718" s="21" t="s">
        <v>543</v>
      </c>
      <c r="D718" s="21" t="s">
        <v>169</v>
      </c>
      <c r="E718" s="21" t="s">
        <v>551</v>
      </c>
      <c r="F718" s="21" t="s">
        <v>324</v>
      </c>
      <c r="G718" s="27">
        <f>G719</f>
        <v>0</v>
      </c>
      <c r="H718" s="207"/>
    </row>
    <row r="719" spans="1:8" ht="15.75" hidden="1">
      <c r="A719" s="26" t="s">
        <v>325</v>
      </c>
      <c r="B719" s="17">
        <v>907</v>
      </c>
      <c r="C719" s="21" t="s">
        <v>543</v>
      </c>
      <c r="D719" s="21" t="s">
        <v>169</v>
      </c>
      <c r="E719" s="21" t="s">
        <v>551</v>
      </c>
      <c r="F719" s="21" t="s">
        <v>326</v>
      </c>
      <c r="G719" s="27">
        <v>0</v>
      </c>
      <c r="H719" s="207"/>
    </row>
    <row r="720" spans="1:8" ht="15.75">
      <c r="A720" s="26" t="s">
        <v>172</v>
      </c>
      <c r="B720" s="17">
        <v>907</v>
      </c>
      <c r="C720" s="21" t="s">
        <v>543</v>
      </c>
      <c r="D720" s="21" t="s">
        <v>169</v>
      </c>
      <c r="E720" s="21" t="s">
        <v>173</v>
      </c>
      <c r="F720" s="21"/>
      <c r="G720" s="27">
        <f>G721</f>
        <v>500</v>
      </c>
      <c r="H720" s="207"/>
    </row>
    <row r="721" spans="1:8" ht="31.5">
      <c r="A721" s="26" t="s">
        <v>236</v>
      </c>
      <c r="B721" s="17">
        <v>907</v>
      </c>
      <c r="C721" s="21" t="s">
        <v>543</v>
      </c>
      <c r="D721" s="21" t="s">
        <v>169</v>
      </c>
      <c r="E721" s="21" t="s">
        <v>237</v>
      </c>
      <c r="F721" s="21"/>
      <c r="G721" s="27">
        <f>G722</f>
        <v>500</v>
      </c>
      <c r="H721" s="207"/>
    </row>
    <row r="722" spans="1:8" ht="31.5">
      <c r="A722" s="26" t="s">
        <v>820</v>
      </c>
      <c r="B722" s="17">
        <v>907</v>
      </c>
      <c r="C722" s="21" t="s">
        <v>543</v>
      </c>
      <c r="D722" s="21" t="s">
        <v>169</v>
      </c>
      <c r="E722" s="21" t="s">
        <v>818</v>
      </c>
      <c r="F722" s="21"/>
      <c r="G722" s="27">
        <f>G724</f>
        <v>500</v>
      </c>
      <c r="H722" s="207"/>
    </row>
    <row r="723" spans="1:8" ht="47.25">
      <c r="A723" s="26" t="s">
        <v>323</v>
      </c>
      <c r="B723" s="17">
        <v>907</v>
      </c>
      <c r="C723" s="21" t="s">
        <v>543</v>
      </c>
      <c r="D723" s="21" t="s">
        <v>169</v>
      </c>
      <c r="E723" s="21" t="s">
        <v>818</v>
      </c>
      <c r="F723" s="21" t="s">
        <v>324</v>
      </c>
      <c r="G723" s="27">
        <f>G724</f>
        <v>500</v>
      </c>
      <c r="H723" s="207"/>
    </row>
    <row r="724" spans="1:8" ht="15.75">
      <c r="A724" s="26" t="s">
        <v>325</v>
      </c>
      <c r="B724" s="17">
        <v>907</v>
      </c>
      <c r="C724" s="21" t="s">
        <v>543</v>
      </c>
      <c r="D724" s="21" t="s">
        <v>169</v>
      </c>
      <c r="E724" s="21" t="s">
        <v>818</v>
      </c>
      <c r="F724" s="21" t="s">
        <v>326</v>
      </c>
      <c r="G724" s="187">
        <v>500</v>
      </c>
      <c r="H724" s="186" t="s">
        <v>822</v>
      </c>
    </row>
    <row r="725" spans="1:8" ht="31.5">
      <c r="A725" s="24" t="s">
        <v>552</v>
      </c>
      <c r="B725" s="20">
        <v>907</v>
      </c>
      <c r="C725" s="25" t="s">
        <v>543</v>
      </c>
      <c r="D725" s="25" t="s">
        <v>285</v>
      </c>
      <c r="E725" s="25"/>
      <c r="F725" s="25"/>
      <c r="G725" s="22">
        <f>G733+G726</f>
        <v>11528.8</v>
      </c>
      <c r="H725" s="207"/>
    </row>
    <row r="726" spans="1:8" ht="47.25">
      <c r="A726" s="31" t="s">
        <v>533</v>
      </c>
      <c r="B726" s="17">
        <v>907</v>
      </c>
      <c r="C726" s="21" t="s">
        <v>543</v>
      </c>
      <c r="D726" s="21" t="s">
        <v>285</v>
      </c>
      <c r="E726" s="42" t="s">
        <v>534</v>
      </c>
      <c r="F726" s="21"/>
      <c r="G726" s="27">
        <f>G727</f>
        <v>3047</v>
      </c>
      <c r="H726" s="207"/>
    </row>
    <row r="727" spans="1:8" ht="47.25">
      <c r="A727" s="47" t="s">
        <v>553</v>
      </c>
      <c r="B727" s="17">
        <v>907</v>
      </c>
      <c r="C727" s="21" t="s">
        <v>543</v>
      </c>
      <c r="D727" s="21" t="s">
        <v>285</v>
      </c>
      <c r="E727" s="42" t="s">
        <v>554</v>
      </c>
      <c r="F727" s="21"/>
      <c r="G727" s="27">
        <f>G728</f>
        <v>3047</v>
      </c>
      <c r="H727" s="207"/>
    </row>
    <row r="728" spans="1:8" ht="31.5">
      <c r="A728" s="31" t="s">
        <v>208</v>
      </c>
      <c r="B728" s="17">
        <v>907</v>
      </c>
      <c r="C728" s="21" t="s">
        <v>543</v>
      </c>
      <c r="D728" s="21" t="s">
        <v>285</v>
      </c>
      <c r="E728" s="42" t="s">
        <v>555</v>
      </c>
      <c r="F728" s="21"/>
      <c r="G728" s="27">
        <f>G731+G729</f>
        <v>3047</v>
      </c>
      <c r="H728" s="207"/>
    </row>
    <row r="729" spans="1:8" ht="94.5">
      <c r="A729" s="26" t="s">
        <v>178</v>
      </c>
      <c r="B729" s="17">
        <v>907</v>
      </c>
      <c r="C729" s="21" t="s">
        <v>543</v>
      </c>
      <c r="D729" s="21" t="s">
        <v>285</v>
      </c>
      <c r="E729" s="42" t="s">
        <v>555</v>
      </c>
      <c r="F729" s="21" t="s">
        <v>179</v>
      </c>
      <c r="G729" s="27">
        <f>G730</f>
        <v>2111</v>
      </c>
      <c r="H729" s="207"/>
    </row>
    <row r="730" spans="1:9" ht="31.5">
      <c r="A730" s="26" t="s">
        <v>180</v>
      </c>
      <c r="B730" s="17">
        <v>907</v>
      </c>
      <c r="C730" s="21" t="s">
        <v>543</v>
      </c>
      <c r="D730" s="21" t="s">
        <v>285</v>
      </c>
      <c r="E730" s="42" t="s">
        <v>555</v>
      </c>
      <c r="F730" s="21" t="s">
        <v>181</v>
      </c>
      <c r="G730" s="27">
        <v>2111</v>
      </c>
      <c r="H730" s="207"/>
      <c r="I730" s="139"/>
    </row>
    <row r="731" spans="1:8" ht="31.5">
      <c r="A731" s="31" t="s">
        <v>182</v>
      </c>
      <c r="B731" s="17">
        <v>907</v>
      </c>
      <c r="C731" s="21" t="s">
        <v>543</v>
      </c>
      <c r="D731" s="21" t="s">
        <v>285</v>
      </c>
      <c r="E731" s="42" t="s">
        <v>555</v>
      </c>
      <c r="F731" s="21" t="s">
        <v>183</v>
      </c>
      <c r="G731" s="27">
        <f>G732</f>
        <v>936</v>
      </c>
      <c r="H731" s="207"/>
    </row>
    <row r="732" spans="1:9" ht="47.25">
      <c r="A732" s="31" t="s">
        <v>184</v>
      </c>
      <c r="B732" s="17">
        <v>907</v>
      </c>
      <c r="C732" s="21" t="s">
        <v>543</v>
      </c>
      <c r="D732" s="21" t="s">
        <v>285</v>
      </c>
      <c r="E732" s="42" t="s">
        <v>555</v>
      </c>
      <c r="F732" s="21" t="s">
        <v>185</v>
      </c>
      <c r="G732" s="27">
        <f>3047-2111</f>
        <v>936</v>
      </c>
      <c r="H732" s="207"/>
      <c r="I732" s="139"/>
    </row>
    <row r="733" spans="1:8" ht="15.75">
      <c r="A733" s="26" t="s">
        <v>172</v>
      </c>
      <c r="B733" s="17">
        <v>907</v>
      </c>
      <c r="C733" s="21" t="s">
        <v>543</v>
      </c>
      <c r="D733" s="21" t="s">
        <v>285</v>
      </c>
      <c r="E733" s="21" t="s">
        <v>173</v>
      </c>
      <c r="F733" s="21"/>
      <c r="G733" s="27">
        <f>G734+G740</f>
        <v>8481.8</v>
      </c>
      <c r="H733" s="207"/>
    </row>
    <row r="734" spans="1:8" ht="31.5">
      <c r="A734" s="26" t="s">
        <v>174</v>
      </c>
      <c r="B734" s="17">
        <v>907</v>
      </c>
      <c r="C734" s="21" t="s">
        <v>543</v>
      </c>
      <c r="D734" s="21" t="s">
        <v>285</v>
      </c>
      <c r="E734" s="21" t="s">
        <v>175</v>
      </c>
      <c r="F734" s="21"/>
      <c r="G734" s="27">
        <f>G735</f>
        <v>3599.8</v>
      </c>
      <c r="H734" s="207"/>
    </row>
    <row r="735" spans="1:8" ht="47.25">
      <c r="A735" s="26" t="s">
        <v>176</v>
      </c>
      <c r="B735" s="17">
        <v>907</v>
      </c>
      <c r="C735" s="21" t="s">
        <v>543</v>
      </c>
      <c r="D735" s="21" t="s">
        <v>285</v>
      </c>
      <c r="E735" s="21" t="s">
        <v>177</v>
      </c>
      <c r="F735" s="21"/>
      <c r="G735" s="27">
        <f>G736+G738</f>
        <v>3599.8</v>
      </c>
      <c r="H735" s="207"/>
    </row>
    <row r="736" spans="1:8" ht="94.5">
      <c r="A736" s="26" t="s">
        <v>178</v>
      </c>
      <c r="B736" s="17">
        <v>907</v>
      </c>
      <c r="C736" s="21" t="s">
        <v>543</v>
      </c>
      <c r="D736" s="21" t="s">
        <v>285</v>
      </c>
      <c r="E736" s="21" t="s">
        <v>177</v>
      </c>
      <c r="F736" s="21" t="s">
        <v>179</v>
      </c>
      <c r="G736" s="27">
        <f>G737</f>
        <v>3599.8</v>
      </c>
      <c r="H736" s="207"/>
    </row>
    <row r="737" spans="1:8" ht="31.5">
      <c r="A737" s="26" t="s">
        <v>180</v>
      </c>
      <c r="B737" s="17">
        <v>907</v>
      </c>
      <c r="C737" s="21" t="s">
        <v>543</v>
      </c>
      <c r="D737" s="21" t="s">
        <v>285</v>
      </c>
      <c r="E737" s="21" t="s">
        <v>177</v>
      </c>
      <c r="F737" s="21" t="s">
        <v>181</v>
      </c>
      <c r="G737" s="28">
        <v>3599.8</v>
      </c>
      <c r="H737" s="207"/>
    </row>
    <row r="738" spans="1:8" ht="31.5" hidden="1">
      <c r="A738" s="26" t="s">
        <v>182</v>
      </c>
      <c r="B738" s="17">
        <v>907</v>
      </c>
      <c r="C738" s="21" t="s">
        <v>543</v>
      </c>
      <c r="D738" s="21" t="s">
        <v>285</v>
      </c>
      <c r="E738" s="21" t="s">
        <v>177</v>
      </c>
      <c r="F738" s="21" t="s">
        <v>183</v>
      </c>
      <c r="G738" s="27">
        <f>G739</f>
        <v>0</v>
      </c>
      <c r="H738" s="207"/>
    </row>
    <row r="739" spans="1:8" ht="47.25" hidden="1">
      <c r="A739" s="26" t="s">
        <v>184</v>
      </c>
      <c r="B739" s="17">
        <v>907</v>
      </c>
      <c r="C739" s="21" t="s">
        <v>543</v>
      </c>
      <c r="D739" s="21" t="s">
        <v>285</v>
      </c>
      <c r="E739" s="21" t="s">
        <v>177</v>
      </c>
      <c r="F739" s="21" t="s">
        <v>185</v>
      </c>
      <c r="G739" s="27"/>
      <c r="H739" s="207"/>
    </row>
    <row r="740" spans="1:8" ht="15.75">
      <c r="A740" s="26" t="s">
        <v>192</v>
      </c>
      <c r="B740" s="17">
        <v>907</v>
      </c>
      <c r="C740" s="21" t="s">
        <v>543</v>
      </c>
      <c r="D740" s="21" t="s">
        <v>285</v>
      </c>
      <c r="E740" s="21" t="s">
        <v>193</v>
      </c>
      <c r="F740" s="21"/>
      <c r="G740" s="27">
        <f>G741</f>
        <v>4882</v>
      </c>
      <c r="H740" s="207"/>
    </row>
    <row r="741" spans="1:11" ht="31.5">
      <c r="A741" s="26" t="s">
        <v>391</v>
      </c>
      <c r="B741" s="17">
        <v>907</v>
      </c>
      <c r="C741" s="21" t="s">
        <v>543</v>
      </c>
      <c r="D741" s="21" t="s">
        <v>285</v>
      </c>
      <c r="E741" s="21" t="s">
        <v>392</v>
      </c>
      <c r="F741" s="21"/>
      <c r="G741" s="27">
        <f>G742+G744+G746</f>
        <v>4882</v>
      </c>
      <c r="H741" s="207"/>
      <c r="J741" s="406"/>
      <c r="K741" s="406"/>
    </row>
    <row r="742" spans="1:11" ht="94.5">
      <c r="A742" s="26" t="s">
        <v>178</v>
      </c>
      <c r="B742" s="17">
        <v>907</v>
      </c>
      <c r="C742" s="21" t="s">
        <v>543</v>
      </c>
      <c r="D742" s="21" t="s">
        <v>285</v>
      </c>
      <c r="E742" s="21" t="s">
        <v>392</v>
      </c>
      <c r="F742" s="21" t="s">
        <v>179</v>
      </c>
      <c r="G742" s="27">
        <f>G743</f>
        <v>3660.7</v>
      </c>
      <c r="H742" s="207"/>
      <c r="J742" s="406"/>
      <c r="K742" s="406"/>
    </row>
    <row r="743" spans="1:11" ht="31.5">
      <c r="A743" s="26" t="s">
        <v>393</v>
      </c>
      <c r="B743" s="17">
        <v>907</v>
      </c>
      <c r="C743" s="21" t="s">
        <v>543</v>
      </c>
      <c r="D743" s="21" t="s">
        <v>285</v>
      </c>
      <c r="E743" s="21" t="s">
        <v>392</v>
      </c>
      <c r="F743" s="21" t="s">
        <v>260</v>
      </c>
      <c r="G743" s="28">
        <f>4240.2-579.5</f>
        <v>3660.7</v>
      </c>
      <c r="H743" s="130"/>
      <c r="I743" s="150"/>
      <c r="J743" s="406"/>
      <c r="K743" s="406"/>
    </row>
    <row r="744" spans="1:11" ht="31.5">
      <c r="A744" s="26" t="s">
        <v>182</v>
      </c>
      <c r="B744" s="17">
        <v>907</v>
      </c>
      <c r="C744" s="21" t="s">
        <v>543</v>
      </c>
      <c r="D744" s="21" t="s">
        <v>285</v>
      </c>
      <c r="E744" s="21" t="s">
        <v>392</v>
      </c>
      <c r="F744" s="21" t="s">
        <v>183</v>
      </c>
      <c r="G744" s="27">
        <f>G745</f>
        <v>1194.1999999999998</v>
      </c>
      <c r="H744" s="207"/>
      <c r="J744" s="406"/>
      <c r="K744" s="406"/>
    </row>
    <row r="745" spans="1:11" ht="47.25">
      <c r="A745" s="26" t="s">
        <v>184</v>
      </c>
      <c r="B745" s="17">
        <v>907</v>
      </c>
      <c r="C745" s="21" t="s">
        <v>543</v>
      </c>
      <c r="D745" s="21" t="s">
        <v>285</v>
      </c>
      <c r="E745" s="21" t="s">
        <v>392</v>
      </c>
      <c r="F745" s="21" t="s">
        <v>185</v>
      </c>
      <c r="G745" s="28">
        <f>1339.6-145.4</f>
        <v>1194.1999999999998</v>
      </c>
      <c r="H745" s="130"/>
      <c r="I745" s="150"/>
      <c r="J745" s="406"/>
      <c r="K745" s="406"/>
    </row>
    <row r="746" spans="1:11" ht="15.75">
      <c r="A746" s="26" t="s">
        <v>186</v>
      </c>
      <c r="B746" s="17">
        <v>907</v>
      </c>
      <c r="C746" s="21" t="s">
        <v>543</v>
      </c>
      <c r="D746" s="21" t="s">
        <v>285</v>
      </c>
      <c r="E746" s="21" t="s">
        <v>392</v>
      </c>
      <c r="F746" s="21" t="s">
        <v>196</v>
      </c>
      <c r="G746" s="27">
        <f>G747</f>
        <v>27.1</v>
      </c>
      <c r="H746" s="207"/>
      <c r="J746" s="406"/>
      <c r="K746" s="406"/>
    </row>
    <row r="747" spans="1:11" ht="15.75">
      <c r="A747" s="26" t="s">
        <v>620</v>
      </c>
      <c r="B747" s="17">
        <v>907</v>
      </c>
      <c r="C747" s="21" t="s">
        <v>543</v>
      </c>
      <c r="D747" s="21" t="s">
        <v>285</v>
      </c>
      <c r="E747" s="21" t="s">
        <v>392</v>
      </c>
      <c r="F747" s="21" t="s">
        <v>189</v>
      </c>
      <c r="G747" s="27">
        <f>27.1</f>
        <v>27.1</v>
      </c>
      <c r="H747" s="130"/>
      <c r="I747" s="150"/>
      <c r="J747" s="406"/>
      <c r="K747" s="406"/>
    </row>
    <row r="748" spans="1:12" ht="47.25">
      <c r="A748" s="20" t="s">
        <v>556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7"/>
      <c r="L748" s="140"/>
    </row>
    <row r="749" spans="1:12" ht="15.75">
      <c r="A749" s="36" t="s">
        <v>168</v>
      </c>
      <c r="B749" s="20">
        <v>908</v>
      </c>
      <c r="C749" s="25" t="s">
        <v>169</v>
      </c>
      <c r="D749" s="21"/>
      <c r="E749" s="21"/>
      <c r="F749" s="21"/>
      <c r="G749" s="22">
        <f>G750</f>
        <v>16714.8</v>
      </c>
      <c r="H749" s="207"/>
      <c r="L749" s="140"/>
    </row>
    <row r="750" spans="1:12" ht="15.75">
      <c r="A750" s="36" t="s">
        <v>190</v>
      </c>
      <c r="B750" s="20">
        <v>908</v>
      </c>
      <c r="C750" s="25" t="s">
        <v>169</v>
      </c>
      <c r="D750" s="25" t="s">
        <v>191</v>
      </c>
      <c r="E750" s="21"/>
      <c r="F750" s="21"/>
      <c r="G750" s="22">
        <f>G752+G755</f>
        <v>16714.8</v>
      </c>
      <c r="H750" s="207"/>
      <c r="L750" s="140"/>
    </row>
    <row r="751" spans="1:12" ht="15.75">
      <c r="A751" s="26" t="s">
        <v>192</v>
      </c>
      <c r="B751" s="17">
        <v>908</v>
      </c>
      <c r="C751" s="21" t="s">
        <v>169</v>
      </c>
      <c r="D751" s="21" t="s">
        <v>191</v>
      </c>
      <c r="E751" s="21" t="s">
        <v>193</v>
      </c>
      <c r="F751" s="21"/>
      <c r="G751" s="27">
        <f>G752</f>
        <v>262.5</v>
      </c>
      <c r="H751" s="207"/>
      <c r="L751" s="140"/>
    </row>
    <row r="752" spans="1:12" ht="15.75">
      <c r="A752" s="26" t="s">
        <v>194</v>
      </c>
      <c r="B752" s="17">
        <v>908</v>
      </c>
      <c r="C752" s="21" t="s">
        <v>169</v>
      </c>
      <c r="D752" s="21" t="s">
        <v>191</v>
      </c>
      <c r="E752" s="21" t="s">
        <v>195</v>
      </c>
      <c r="F752" s="21"/>
      <c r="G752" s="27">
        <f>G753</f>
        <v>262.5</v>
      </c>
      <c r="H752" s="207"/>
      <c r="L752" s="140"/>
    </row>
    <row r="753" spans="1:12" ht="15.75">
      <c r="A753" s="26" t="s">
        <v>186</v>
      </c>
      <c r="B753" s="17">
        <v>908</v>
      </c>
      <c r="C753" s="21" t="s">
        <v>169</v>
      </c>
      <c r="D753" s="21" t="s">
        <v>191</v>
      </c>
      <c r="E753" s="21" t="s">
        <v>195</v>
      </c>
      <c r="F753" s="21" t="s">
        <v>196</v>
      </c>
      <c r="G753" s="27">
        <f>G754</f>
        <v>262.5</v>
      </c>
      <c r="H753" s="207"/>
      <c r="L753" s="140"/>
    </row>
    <row r="754" spans="1:12" ht="15.75">
      <c r="A754" s="26" t="s">
        <v>620</v>
      </c>
      <c r="B754" s="17">
        <v>908</v>
      </c>
      <c r="C754" s="21" t="s">
        <v>169</v>
      </c>
      <c r="D754" s="21" t="s">
        <v>191</v>
      </c>
      <c r="E754" s="21" t="s">
        <v>195</v>
      </c>
      <c r="F754" s="21" t="s">
        <v>189</v>
      </c>
      <c r="G754" s="27">
        <v>262.5</v>
      </c>
      <c r="H754" s="130"/>
      <c r="I754" s="150"/>
      <c r="L754" s="140"/>
    </row>
    <row r="755" spans="1:8" ht="31.5">
      <c r="A755" s="26" t="s">
        <v>636</v>
      </c>
      <c r="B755" s="17">
        <v>908</v>
      </c>
      <c r="C755" s="21" t="s">
        <v>169</v>
      </c>
      <c r="D755" s="21" t="s">
        <v>191</v>
      </c>
      <c r="E755" s="21" t="s">
        <v>637</v>
      </c>
      <c r="F755" s="21"/>
      <c r="G755" s="28">
        <f>G756</f>
        <v>16452.3</v>
      </c>
      <c r="H755" s="207"/>
    </row>
    <row r="756" spans="1:8" ht="31.5">
      <c r="A756" s="26" t="s">
        <v>361</v>
      </c>
      <c r="B756" s="17">
        <v>908</v>
      </c>
      <c r="C756" s="21" t="s">
        <v>169</v>
      </c>
      <c r="D756" s="21" t="s">
        <v>191</v>
      </c>
      <c r="E756" s="21" t="s">
        <v>638</v>
      </c>
      <c r="F756" s="21"/>
      <c r="G756" s="28">
        <f>G757+G759+G761</f>
        <v>16452.3</v>
      </c>
      <c r="H756" s="207"/>
    </row>
    <row r="757" spans="1:8" ht="94.5">
      <c r="A757" s="26" t="s">
        <v>178</v>
      </c>
      <c r="B757" s="17">
        <v>908</v>
      </c>
      <c r="C757" s="21" t="s">
        <v>169</v>
      </c>
      <c r="D757" s="21" t="s">
        <v>191</v>
      </c>
      <c r="E757" s="21" t="s">
        <v>638</v>
      </c>
      <c r="F757" s="21" t="s">
        <v>179</v>
      </c>
      <c r="G757" s="28">
        <f>G758</f>
        <v>13760</v>
      </c>
      <c r="H757" s="207"/>
    </row>
    <row r="758" spans="1:12" ht="31.5">
      <c r="A758" s="48" t="s">
        <v>393</v>
      </c>
      <c r="B758" s="17">
        <v>908</v>
      </c>
      <c r="C758" s="21" t="s">
        <v>169</v>
      </c>
      <c r="D758" s="21" t="s">
        <v>191</v>
      </c>
      <c r="E758" s="21" t="s">
        <v>638</v>
      </c>
      <c r="F758" s="21" t="s">
        <v>260</v>
      </c>
      <c r="G758" s="195">
        <f>13403.8+356.2</f>
        <v>13760</v>
      </c>
      <c r="H758" s="130" t="s">
        <v>832</v>
      </c>
      <c r="I758" s="150"/>
      <c r="L758" s="140"/>
    </row>
    <row r="759" spans="1:12" ht="31.5">
      <c r="A759" s="26" t="s">
        <v>182</v>
      </c>
      <c r="B759" s="17">
        <v>908</v>
      </c>
      <c r="C759" s="21" t="s">
        <v>169</v>
      </c>
      <c r="D759" s="21" t="s">
        <v>191</v>
      </c>
      <c r="E759" s="21" t="s">
        <v>638</v>
      </c>
      <c r="F759" s="21" t="s">
        <v>183</v>
      </c>
      <c r="G759" s="28">
        <f>G760</f>
        <v>2678</v>
      </c>
      <c r="H759" s="207"/>
      <c r="L759" s="140"/>
    </row>
    <row r="760" spans="1:12" ht="47.25">
      <c r="A760" s="26" t="s">
        <v>184</v>
      </c>
      <c r="B760" s="17">
        <v>908</v>
      </c>
      <c r="C760" s="21" t="s">
        <v>169</v>
      </c>
      <c r="D760" s="21" t="s">
        <v>191</v>
      </c>
      <c r="E760" s="21" t="s">
        <v>638</v>
      </c>
      <c r="F760" s="21" t="s">
        <v>185</v>
      </c>
      <c r="G760" s="195">
        <f>3034.2-356.2</f>
        <v>2678</v>
      </c>
      <c r="H760" s="130" t="s">
        <v>833</v>
      </c>
      <c r="I760" s="150"/>
      <c r="L760" s="140"/>
    </row>
    <row r="761" spans="1:12" ht="15.75">
      <c r="A761" s="26" t="s">
        <v>186</v>
      </c>
      <c r="B761" s="17">
        <v>908</v>
      </c>
      <c r="C761" s="21" t="s">
        <v>169</v>
      </c>
      <c r="D761" s="21" t="s">
        <v>191</v>
      </c>
      <c r="E761" s="21" t="s">
        <v>638</v>
      </c>
      <c r="F761" s="21" t="s">
        <v>196</v>
      </c>
      <c r="G761" s="28">
        <f>G762</f>
        <v>14.3</v>
      </c>
      <c r="H761" s="207"/>
      <c r="L761" s="140"/>
    </row>
    <row r="762" spans="1:12" ht="15.75">
      <c r="A762" s="26" t="s">
        <v>793</v>
      </c>
      <c r="B762" s="17">
        <v>908</v>
      </c>
      <c r="C762" s="21" t="s">
        <v>169</v>
      </c>
      <c r="D762" s="21" t="s">
        <v>191</v>
      </c>
      <c r="E762" s="21" t="s">
        <v>638</v>
      </c>
      <c r="F762" s="21" t="s">
        <v>189</v>
      </c>
      <c r="G762" s="28">
        <v>14.3</v>
      </c>
      <c r="H762" s="130"/>
      <c r="I762" s="150"/>
      <c r="L762" s="140"/>
    </row>
    <row r="763" spans="1:8" ht="31.5">
      <c r="A763" s="24" t="s">
        <v>273</v>
      </c>
      <c r="B763" s="20">
        <v>908</v>
      </c>
      <c r="C763" s="25" t="s">
        <v>266</v>
      </c>
      <c r="D763" s="25"/>
      <c r="E763" s="25"/>
      <c r="F763" s="25"/>
      <c r="G763" s="22">
        <f aca="true" t="shared" si="4" ref="G763:G768">G764</f>
        <v>50</v>
      </c>
      <c r="H763" s="207"/>
    </row>
    <row r="764" spans="1:8" ht="63">
      <c r="A764" s="24" t="s">
        <v>274</v>
      </c>
      <c r="B764" s="20">
        <v>908</v>
      </c>
      <c r="C764" s="25" t="s">
        <v>266</v>
      </c>
      <c r="D764" s="25" t="s">
        <v>270</v>
      </c>
      <c r="E764" s="25"/>
      <c r="F764" s="25"/>
      <c r="G764" s="22">
        <f t="shared" si="4"/>
        <v>50</v>
      </c>
      <c r="H764" s="207"/>
    </row>
    <row r="765" spans="1:8" ht="21.75" customHeight="1">
      <c r="A765" s="26" t="s">
        <v>172</v>
      </c>
      <c r="B765" s="17">
        <v>908</v>
      </c>
      <c r="C765" s="21" t="s">
        <v>266</v>
      </c>
      <c r="D765" s="21" t="s">
        <v>270</v>
      </c>
      <c r="E765" s="21" t="s">
        <v>173</v>
      </c>
      <c r="F765" s="21"/>
      <c r="G765" s="27">
        <f t="shared" si="4"/>
        <v>50</v>
      </c>
      <c r="H765" s="207"/>
    </row>
    <row r="766" spans="1:8" ht="15.75">
      <c r="A766" s="26" t="s">
        <v>192</v>
      </c>
      <c r="B766" s="17">
        <v>908</v>
      </c>
      <c r="C766" s="21" t="s">
        <v>266</v>
      </c>
      <c r="D766" s="21" t="s">
        <v>270</v>
      </c>
      <c r="E766" s="21" t="s">
        <v>193</v>
      </c>
      <c r="F766" s="21"/>
      <c r="G766" s="27">
        <f t="shared" si="4"/>
        <v>50</v>
      </c>
      <c r="H766" s="207"/>
    </row>
    <row r="767" spans="1:8" ht="15.75">
      <c r="A767" s="26" t="s">
        <v>281</v>
      </c>
      <c r="B767" s="17">
        <v>908</v>
      </c>
      <c r="C767" s="21" t="s">
        <v>266</v>
      </c>
      <c r="D767" s="21" t="s">
        <v>270</v>
      </c>
      <c r="E767" s="21" t="s">
        <v>282</v>
      </c>
      <c r="F767" s="21"/>
      <c r="G767" s="27">
        <f t="shared" si="4"/>
        <v>50</v>
      </c>
      <c r="H767" s="207"/>
    </row>
    <row r="768" spans="1:8" ht="31.5">
      <c r="A768" s="26" t="s">
        <v>182</v>
      </c>
      <c r="B768" s="17">
        <v>908</v>
      </c>
      <c r="C768" s="21" t="s">
        <v>266</v>
      </c>
      <c r="D768" s="21" t="s">
        <v>270</v>
      </c>
      <c r="E768" s="21" t="s">
        <v>282</v>
      </c>
      <c r="F768" s="21" t="s">
        <v>183</v>
      </c>
      <c r="G768" s="27">
        <f t="shared" si="4"/>
        <v>50</v>
      </c>
      <c r="H768" s="207"/>
    </row>
    <row r="769" spans="1:8" ht="47.25">
      <c r="A769" s="26" t="s">
        <v>184</v>
      </c>
      <c r="B769" s="17">
        <v>908</v>
      </c>
      <c r="C769" s="21" t="s">
        <v>266</v>
      </c>
      <c r="D769" s="21" t="s">
        <v>270</v>
      </c>
      <c r="E769" s="21" t="s">
        <v>282</v>
      </c>
      <c r="F769" s="21" t="s">
        <v>185</v>
      </c>
      <c r="G769" s="27">
        <v>50</v>
      </c>
      <c r="H769" s="207"/>
    </row>
    <row r="770" spans="1:8" ht="15.75">
      <c r="A770" s="24" t="s">
        <v>283</v>
      </c>
      <c r="B770" s="20">
        <v>908</v>
      </c>
      <c r="C770" s="25" t="s">
        <v>201</v>
      </c>
      <c r="D770" s="25"/>
      <c r="E770" s="25"/>
      <c r="F770" s="25"/>
      <c r="G770" s="22">
        <f>G771+G777</f>
        <v>18331.8</v>
      </c>
      <c r="H770" s="207"/>
    </row>
    <row r="771" spans="1:8" ht="15.75">
      <c r="A771" s="24" t="s">
        <v>557</v>
      </c>
      <c r="B771" s="20">
        <v>908</v>
      </c>
      <c r="C771" s="25" t="s">
        <v>201</v>
      </c>
      <c r="D771" s="25" t="s">
        <v>350</v>
      </c>
      <c r="E771" s="25"/>
      <c r="F771" s="25"/>
      <c r="G771" s="22">
        <f>G772</f>
        <v>3207.7</v>
      </c>
      <c r="H771" s="207"/>
    </row>
    <row r="772" spans="1:8" ht="15.75">
      <c r="A772" s="26" t="s">
        <v>172</v>
      </c>
      <c r="B772" s="17">
        <v>908</v>
      </c>
      <c r="C772" s="21" t="s">
        <v>201</v>
      </c>
      <c r="D772" s="21" t="s">
        <v>350</v>
      </c>
      <c r="E772" s="21" t="s">
        <v>173</v>
      </c>
      <c r="F772" s="25"/>
      <c r="G772" s="27">
        <f>G773</f>
        <v>3207.7</v>
      </c>
      <c r="H772" s="207"/>
    </row>
    <row r="773" spans="1:8" ht="15.75">
      <c r="A773" s="26" t="s">
        <v>192</v>
      </c>
      <c r="B773" s="17">
        <v>908</v>
      </c>
      <c r="C773" s="21" t="s">
        <v>201</v>
      </c>
      <c r="D773" s="21" t="s">
        <v>350</v>
      </c>
      <c r="E773" s="21" t="s">
        <v>193</v>
      </c>
      <c r="F773" s="25"/>
      <c r="G773" s="27">
        <f>G774</f>
        <v>3207.7</v>
      </c>
      <c r="H773" s="207"/>
    </row>
    <row r="774" spans="1:8" ht="39" customHeight="1">
      <c r="A774" s="26" t="s">
        <v>558</v>
      </c>
      <c r="B774" s="17">
        <v>908</v>
      </c>
      <c r="C774" s="21" t="s">
        <v>201</v>
      </c>
      <c r="D774" s="21" t="s">
        <v>350</v>
      </c>
      <c r="E774" s="21" t="s">
        <v>559</v>
      </c>
      <c r="F774" s="21"/>
      <c r="G774" s="27">
        <f>G775</f>
        <v>3207.7</v>
      </c>
      <c r="H774" s="207"/>
    </row>
    <row r="775" spans="1:8" ht="31.5">
      <c r="A775" s="26" t="s">
        <v>182</v>
      </c>
      <c r="B775" s="17">
        <v>908</v>
      </c>
      <c r="C775" s="21" t="s">
        <v>201</v>
      </c>
      <c r="D775" s="21" t="s">
        <v>350</v>
      </c>
      <c r="E775" s="21" t="s">
        <v>559</v>
      </c>
      <c r="F775" s="21" t="s">
        <v>183</v>
      </c>
      <c r="G775" s="27">
        <f>G776</f>
        <v>3207.7</v>
      </c>
      <c r="H775" s="207"/>
    </row>
    <row r="776" spans="1:8" ht="47.25">
      <c r="A776" s="26" t="s">
        <v>184</v>
      </c>
      <c r="B776" s="17">
        <v>908</v>
      </c>
      <c r="C776" s="21" t="s">
        <v>201</v>
      </c>
      <c r="D776" s="21" t="s">
        <v>350</v>
      </c>
      <c r="E776" s="21" t="s">
        <v>559</v>
      </c>
      <c r="F776" s="21" t="s">
        <v>185</v>
      </c>
      <c r="G776" s="27">
        <v>3207.7</v>
      </c>
      <c r="H776" s="207"/>
    </row>
    <row r="777" spans="1:8" ht="15.75">
      <c r="A777" s="24" t="s">
        <v>560</v>
      </c>
      <c r="B777" s="20">
        <v>908</v>
      </c>
      <c r="C777" s="25" t="s">
        <v>201</v>
      </c>
      <c r="D777" s="25" t="s">
        <v>270</v>
      </c>
      <c r="E777" s="21"/>
      <c r="F777" s="25"/>
      <c r="G777" s="22">
        <f>G778</f>
        <v>15124.1</v>
      </c>
      <c r="H777" s="207"/>
    </row>
    <row r="778" spans="1:8" ht="47.25">
      <c r="A778" s="33" t="s">
        <v>561</v>
      </c>
      <c r="B778" s="17">
        <v>908</v>
      </c>
      <c r="C778" s="21" t="s">
        <v>201</v>
      </c>
      <c r="D778" s="21" t="s">
        <v>270</v>
      </c>
      <c r="E778" s="21" t="s">
        <v>562</v>
      </c>
      <c r="F778" s="21"/>
      <c r="G778" s="27">
        <f>G779</f>
        <v>15124.1</v>
      </c>
      <c r="H778" s="207"/>
    </row>
    <row r="779" spans="1:8" ht="15.75">
      <c r="A779" s="31" t="s">
        <v>563</v>
      </c>
      <c r="B779" s="17">
        <v>908</v>
      </c>
      <c r="C779" s="21" t="s">
        <v>201</v>
      </c>
      <c r="D779" s="21" t="s">
        <v>270</v>
      </c>
      <c r="E779" s="42" t="s">
        <v>564</v>
      </c>
      <c r="F779" s="21"/>
      <c r="G779" s="27">
        <f>G780+G782</f>
        <v>15124.1</v>
      </c>
      <c r="H779" s="207"/>
    </row>
    <row r="780" spans="1:8" ht="31.5">
      <c r="A780" s="26" t="s">
        <v>182</v>
      </c>
      <c r="B780" s="17">
        <v>908</v>
      </c>
      <c r="C780" s="21" t="s">
        <v>201</v>
      </c>
      <c r="D780" s="21" t="s">
        <v>270</v>
      </c>
      <c r="E780" s="42" t="s">
        <v>564</v>
      </c>
      <c r="F780" s="21" t="s">
        <v>183</v>
      </c>
      <c r="G780" s="27">
        <f>G781</f>
        <v>15108.1</v>
      </c>
      <c r="H780" s="207"/>
    </row>
    <row r="781" spans="1:8" ht="47.25">
      <c r="A781" s="26" t="s">
        <v>184</v>
      </c>
      <c r="B781" s="17">
        <v>908</v>
      </c>
      <c r="C781" s="21" t="s">
        <v>201</v>
      </c>
      <c r="D781" s="21" t="s">
        <v>270</v>
      </c>
      <c r="E781" s="42" t="s">
        <v>564</v>
      </c>
      <c r="F781" s="21" t="s">
        <v>185</v>
      </c>
      <c r="G781" s="27">
        <f>15124.1-10-6</f>
        <v>15108.1</v>
      </c>
      <c r="H781" s="144" t="s">
        <v>854</v>
      </c>
    </row>
    <row r="782" spans="1:8" ht="15.75">
      <c r="A782" s="26" t="s">
        <v>186</v>
      </c>
      <c r="B782" s="17">
        <v>908</v>
      </c>
      <c r="C782" s="21" t="s">
        <v>201</v>
      </c>
      <c r="D782" s="21" t="s">
        <v>270</v>
      </c>
      <c r="E782" s="42" t="s">
        <v>564</v>
      </c>
      <c r="F782" s="21" t="s">
        <v>196</v>
      </c>
      <c r="G782" s="27">
        <f>G783</f>
        <v>16</v>
      </c>
      <c r="H782" s="207"/>
    </row>
    <row r="783" spans="1:8" ht="15.75">
      <c r="A783" s="26" t="s">
        <v>620</v>
      </c>
      <c r="B783" s="17">
        <v>908</v>
      </c>
      <c r="C783" s="21" t="s">
        <v>201</v>
      </c>
      <c r="D783" s="21" t="s">
        <v>270</v>
      </c>
      <c r="E783" s="42" t="s">
        <v>564</v>
      </c>
      <c r="F783" s="21" t="s">
        <v>189</v>
      </c>
      <c r="G783" s="27">
        <f>10+6</f>
        <v>16</v>
      </c>
      <c r="H783" s="186" t="s">
        <v>855</v>
      </c>
    </row>
    <row r="784" spans="1:9" ht="15.75">
      <c r="A784" s="24" t="s">
        <v>442</v>
      </c>
      <c r="B784" s="20">
        <v>908</v>
      </c>
      <c r="C784" s="25" t="s">
        <v>285</v>
      </c>
      <c r="D784" s="25"/>
      <c r="E784" s="25"/>
      <c r="F784" s="25"/>
      <c r="G784" s="22">
        <f>G785+G800+G847+G899</f>
        <v>108065.79000000001</v>
      </c>
      <c r="H784" s="207"/>
      <c r="I784" s="138"/>
    </row>
    <row r="785" spans="1:8" ht="15.75">
      <c r="A785" s="24" t="s">
        <v>443</v>
      </c>
      <c r="B785" s="20">
        <v>908</v>
      </c>
      <c r="C785" s="25" t="s">
        <v>285</v>
      </c>
      <c r="D785" s="25" t="s">
        <v>169</v>
      </c>
      <c r="E785" s="25"/>
      <c r="F785" s="25"/>
      <c r="G785" s="22">
        <f>G786</f>
        <v>7765.400000000001</v>
      </c>
      <c r="H785" s="207"/>
    </row>
    <row r="786" spans="1:8" ht="15.75">
      <c r="A786" s="26" t="s">
        <v>172</v>
      </c>
      <c r="B786" s="17">
        <v>908</v>
      </c>
      <c r="C786" s="21" t="s">
        <v>285</v>
      </c>
      <c r="D786" s="21" t="s">
        <v>169</v>
      </c>
      <c r="E786" s="21" t="s">
        <v>173</v>
      </c>
      <c r="F786" s="21"/>
      <c r="G786" s="27">
        <f>G791</f>
        <v>7765.400000000001</v>
      </c>
      <c r="H786" s="207"/>
    </row>
    <row r="787" spans="1:8" ht="31.5" hidden="1">
      <c r="A787" s="26" t="s">
        <v>236</v>
      </c>
      <c r="B787" s="17">
        <v>908</v>
      </c>
      <c r="C787" s="21" t="s">
        <v>285</v>
      </c>
      <c r="D787" s="21" t="s">
        <v>169</v>
      </c>
      <c r="E787" s="21" t="s">
        <v>237</v>
      </c>
      <c r="F787" s="21"/>
      <c r="G787" s="27">
        <f>G788</f>
        <v>0</v>
      </c>
      <c r="H787" s="207"/>
    </row>
    <row r="788" spans="1:8" ht="15.75" hidden="1">
      <c r="A788" s="26" t="s">
        <v>565</v>
      </c>
      <c r="B788" s="17">
        <v>908</v>
      </c>
      <c r="C788" s="21" t="s">
        <v>285</v>
      </c>
      <c r="D788" s="21" t="s">
        <v>169</v>
      </c>
      <c r="E788" s="21" t="s">
        <v>566</v>
      </c>
      <c r="F788" s="21"/>
      <c r="G788" s="27">
        <f>G789</f>
        <v>0</v>
      </c>
      <c r="H788" s="207"/>
    </row>
    <row r="789" spans="1:8" ht="15.75" hidden="1">
      <c r="A789" s="26" t="s">
        <v>186</v>
      </c>
      <c r="B789" s="17">
        <v>908</v>
      </c>
      <c r="C789" s="21" t="s">
        <v>285</v>
      </c>
      <c r="D789" s="21" t="s">
        <v>169</v>
      </c>
      <c r="E789" s="21" t="s">
        <v>566</v>
      </c>
      <c r="F789" s="21" t="s">
        <v>196</v>
      </c>
      <c r="G789" s="27">
        <f>G790</f>
        <v>0</v>
      </c>
      <c r="H789" s="207"/>
    </row>
    <row r="790" spans="1:8" ht="63" hidden="1">
      <c r="A790" s="26" t="s">
        <v>235</v>
      </c>
      <c r="B790" s="17">
        <v>908</v>
      </c>
      <c r="C790" s="21" t="s">
        <v>285</v>
      </c>
      <c r="D790" s="21" t="s">
        <v>169</v>
      </c>
      <c r="E790" s="21" t="s">
        <v>566</v>
      </c>
      <c r="F790" s="21" t="s">
        <v>211</v>
      </c>
      <c r="G790" s="27">
        <v>0</v>
      </c>
      <c r="H790" s="207"/>
    </row>
    <row r="791" spans="1:8" ht="15.75">
      <c r="A791" s="26" t="s">
        <v>192</v>
      </c>
      <c r="B791" s="17">
        <v>908</v>
      </c>
      <c r="C791" s="21" t="s">
        <v>285</v>
      </c>
      <c r="D791" s="21" t="s">
        <v>169</v>
      </c>
      <c r="E791" s="21" t="s">
        <v>193</v>
      </c>
      <c r="F791" s="25"/>
      <c r="G791" s="27">
        <f>G792+G797</f>
        <v>7765.400000000001</v>
      </c>
      <c r="H791" s="207"/>
    </row>
    <row r="792" spans="1:8" ht="15.75">
      <c r="A792" s="26" t="s">
        <v>567</v>
      </c>
      <c r="B792" s="17">
        <v>908</v>
      </c>
      <c r="C792" s="21" t="s">
        <v>285</v>
      </c>
      <c r="D792" s="21" t="s">
        <v>169</v>
      </c>
      <c r="E792" s="21" t="s">
        <v>568</v>
      </c>
      <c r="F792" s="25"/>
      <c r="G792" s="27">
        <f>G795+G793</f>
        <v>3531.3</v>
      </c>
      <c r="H792" s="207"/>
    </row>
    <row r="793" spans="1:8" ht="31.5">
      <c r="A793" s="26" t="s">
        <v>182</v>
      </c>
      <c r="B793" s="17">
        <v>908</v>
      </c>
      <c r="C793" s="21" t="s">
        <v>285</v>
      </c>
      <c r="D793" s="21" t="s">
        <v>169</v>
      </c>
      <c r="E793" s="21" t="s">
        <v>568</v>
      </c>
      <c r="F793" s="21" t="s">
        <v>183</v>
      </c>
      <c r="G793" s="27">
        <f>G794</f>
        <v>1131.3</v>
      </c>
      <c r="H793" s="207"/>
    </row>
    <row r="794" spans="1:9" ht="47.25">
      <c r="A794" s="26" t="s">
        <v>184</v>
      </c>
      <c r="B794" s="17">
        <v>908</v>
      </c>
      <c r="C794" s="21" t="s">
        <v>285</v>
      </c>
      <c r="D794" s="21" t="s">
        <v>169</v>
      </c>
      <c r="E794" s="21" t="s">
        <v>568</v>
      </c>
      <c r="F794" s="21" t="s">
        <v>185</v>
      </c>
      <c r="G794" s="27">
        <v>1131.3</v>
      </c>
      <c r="H794" s="130"/>
      <c r="I794" s="151"/>
    </row>
    <row r="795" spans="1:8" ht="15.75">
      <c r="A795" s="26" t="s">
        <v>186</v>
      </c>
      <c r="B795" s="17">
        <v>908</v>
      </c>
      <c r="C795" s="21" t="s">
        <v>285</v>
      </c>
      <c r="D795" s="21" t="s">
        <v>169</v>
      </c>
      <c r="E795" s="21" t="s">
        <v>568</v>
      </c>
      <c r="F795" s="21" t="s">
        <v>196</v>
      </c>
      <c r="G795" s="27">
        <f>G796</f>
        <v>2400</v>
      </c>
      <c r="H795" s="207"/>
    </row>
    <row r="796" spans="1:9" ht="63">
      <c r="A796" s="26" t="s">
        <v>235</v>
      </c>
      <c r="B796" s="17">
        <v>908</v>
      </c>
      <c r="C796" s="21" t="s">
        <v>285</v>
      </c>
      <c r="D796" s="21" t="s">
        <v>169</v>
      </c>
      <c r="E796" s="21" t="s">
        <v>568</v>
      </c>
      <c r="F796" s="21" t="s">
        <v>211</v>
      </c>
      <c r="G796" s="27">
        <f>1500+900</f>
        <v>2400</v>
      </c>
      <c r="H796" s="207"/>
      <c r="I796" s="139"/>
    </row>
    <row r="797" spans="1:8" ht="31.5">
      <c r="A797" s="31" t="s">
        <v>450</v>
      </c>
      <c r="B797" s="17">
        <v>908</v>
      </c>
      <c r="C797" s="21" t="s">
        <v>285</v>
      </c>
      <c r="D797" s="21" t="s">
        <v>169</v>
      </c>
      <c r="E797" s="21" t="s">
        <v>451</v>
      </c>
      <c r="F797" s="25"/>
      <c r="G797" s="27">
        <f>G798</f>
        <v>4234.1</v>
      </c>
      <c r="H797" s="207"/>
    </row>
    <row r="798" spans="1:8" ht="31.5">
      <c r="A798" s="26" t="s">
        <v>182</v>
      </c>
      <c r="B798" s="17">
        <v>908</v>
      </c>
      <c r="C798" s="21" t="s">
        <v>285</v>
      </c>
      <c r="D798" s="21" t="s">
        <v>169</v>
      </c>
      <c r="E798" s="21" t="s">
        <v>451</v>
      </c>
      <c r="F798" s="21" t="s">
        <v>183</v>
      </c>
      <c r="G798" s="27">
        <f>G799</f>
        <v>4234.1</v>
      </c>
      <c r="H798" s="207"/>
    </row>
    <row r="799" spans="1:8" ht="47.25">
      <c r="A799" s="26" t="s">
        <v>184</v>
      </c>
      <c r="B799" s="17">
        <v>908</v>
      </c>
      <c r="C799" s="21" t="s">
        <v>285</v>
      </c>
      <c r="D799" s="21" t="s">
        <v>169</v>
      </c>
      <c r="E799" s="21" t="s">
        <v>451</v>
      </c>
      <c r="F799" s="21" t="s">
        <v>185</v>
      </c>
      <c r="G799" s="28">
        <f>3811.8+422.3</f>
        <v>4234.1</v>
      </c>
      <c r="H799" s="207"/>
    </row>
    <row r="800" spans="1:12" ht="15.75">
      <c r="A800" s="24" t="s">
        <v>569</v>
      </c>
      <c r="B800" s="20">
        <v>908</v>
      </c>
      <c r="C800" s="25" t="s">
        <v>285</v>
      </c>
      <c r="D800" s="25" t="s">
        <v>264</v>
      </c>
      <c r="E800" s="25"/>
      <c r="F800" s="25"/>
      <c r="G800" s="22">
        <f>G801+G826</f>
        <v>53711.1</v>
      </c>
      <c r="H800" s="207"/>
      <c r="I800" s="139"/>
      <c r="L800" s="140"/>
    </row>
    <row r="801" spans="1:9" ht="82.5" customHeight="1">
      <c r="A801" s="26" t="s">
        <v>654</v>
      </c>
      <c r="B801" s="17">
        <v>908</v>
      </c>
      <c r="C801" s="21" t="s">
        <v>285</v>
      </c>
      <c r="D801" s="21" t="s">
        <v>264</v>
      </c>
      <c r="E801" s="21" t="s">
        <v>570</v>
      </c>
      <c r="F801" s="25"/>
      <c r="G801" s="27">
        <f>G805+G808+G811+G814+G817+G823</f>
        <v>5567.900000000001</v>
      </c>
      <c r="H801" s="209"/>
      <c r="I801" s="139"/>
    </row>
    <row r="802" spans="1:8" ht="47.25" hidden="1">
      <c r="A802" s="37" t="s">
        <v>571</v>
      </c>
      <c r="B802" s="17">
        <v>908</v>
      </c>
      <c r="C802" s="21" t="s">
        <v>285</v>
      </c>
      <c r="D802" s="21" t="s">
        <v>264</v>
      </c>
      <c r="E802" s="21" t="s">
        <v>572</v>
      </c>
      <c r="F802" s="21"/>
      <c r="G802" s="27">
        <f>G803</f>
        <v>0</v>
      </c>
      <c r="H802" s="207"/>
    </row>
    <row r="803" spans="1:8" ht="31.5" hidden="1">
      <c r="A803" s="26" t="s">
        <v>182</v>
      </c>
      <c r="B803" s="17">
        <v>908</v>
      </c>
      <c r="C803" s="21" t="s">
        <v>285</v>
      </c>
      <c r="D803" s="21" t="s">
        <v>264</v>
      </c>
      <c r="E803" s="21" t="s">
        <v>572</v>
      </c>
      <c r="F803" s="21" t="s">
        <v>183</v>
      </c>
      <c r="G803" s="27">
        <f>G804</f>
        <v>0</v>
      </c>
      <c r="H803" s="207"/>
    </row>
    <row r="804" spans="1:8" ht="47.25" hidden="1">
      <c r="A804" s="26" t="s">
        <v>184</v>
      </c>
      <c r="B804" s="17">
        <v>908</v>
      </c>
      <c r="C804" s="21" t="s">
        <v>285</v>
      </c>
      <c r="D804" s="21" t="s">
        <v>264</v>
      </c>
      <c r="E804" s="21" t="s">
        <v>572</v>
      </c>
      <c r="F804" s="21" t="s">
        <v>185</v>
      </c>
      <c r="G804" s="27">
        <v>0</v>
      </c>
      <c r="H804" s="207"/>
    </row>
    <row r="805" spans="1:8" ht="15.75">
      <c r="A805" s="47" t="s">
        <v>573</v>
      </c>
      <c r="B805" s="17">
        <v>908</v>
      </c>
      <c r="C805" s="42" t="s">
        <v>285</v>
      </c>
      <c r="D805" s="42" t="s">
        <v>264</v>
      </c>
      <c r="E805" s="21" t="s">
        <v>574</v>
      </c>
      <c r="F805" s="42"/>
      <c r="G805" s="27">
        <f>G806</f>
        <v>450</v>
      </c>
      <c r="H805" s="207"/>
    </row>
    <row r="806" spans="1:8" ht="31.5">
      <c r="A806" s="33" t="s">
        <v>182</v>
      </c>
      <c r="B806" s="17">
        <v>908</v>
      </c>
      <c r="C806" s="42" t="s">
        <v>285</v>
      </c>
      <c r="D806" s="42" t="s">
        <v>264</v>
      </c>
      <c r="E806" s="21" t="s">
        <v>574</v>
      </c>
      <c r="F806" s="42" t="s">
        <v>183</v>
      </c>
      <c r="G806" s="27">
        <f>G807</f>
        <v>450</v>
      </c>
      <c r="H806" s="207"/>
    </row>
    <row r="807" spans="1:8" ht="47.25">
      <c r="A807" s="33" t="s">
        <v>184</v>
      </c>
      <c r="B807" s="17">
        <v>908</v>
      </c>
      <c r="C807" s="42" t="s">
        <v>285</v>
      </c>
      <c r="D807" s="42" t="s">
        <v>264</v>
      </c>
      <c r="E807" s="21" t="s">
        <v>574</v>
      </c>
      <c r="F807" s="42" t="s">
        <v>185</v>
      </c>
      <c r="G807" s="27">
        <v>450</v>
      </c>
      <c r="H807" s="207"/>
    </row>
    <row r="808" spans="1:8" ht="15.75">
      <c r="A808" s="47" t="s">
        <v>575</v>
      </c>
      <c r="B808" s="17">
        <v>908</v>
      </c>
      <c r="C808" s="42" t="s">
        <v>285</v>
      </c>
      <c r="D808" s="42" t="s">
        <v>264</v>
      </c>
      <c r="E808" s="21" t="s">
        <v>576</v>
      </c>
      <c r="F808" s="42"/>
      <c r="G808" s="27">
        <f>G809</f>
        <v>3107</v>
      </c>
      <c r="H808" s="207"/>
    </row>
    <row r="809" spans="1:8" ht="31.5">
      <c r="A809" s="33" t="s">
        <v>182</v>
      </c>
      <c r="B809" s="17">
        <v>908</v>
      </c>
      <c r="C809" s="42" t="s">
        <v>285</v>
      </c>
      <c r="D809" s="42" t="s">
        <v>264</v>
      </c>
      <c r="E809" s="21" t="s">
        <v>576</v>
      </c>
      <c r="F809" s="42" t="s">
        <v>183</v>
      </c>
      <c r="G809" s="27">
        <f>G810</f>
        <v>3107</v>
      </c>
      <c r="H809" s="207"/>
    </row>
    <row r="810" spans="1:8" ht="47.25">
      <c r="A810" s="33" t="s">
        <v>184</v>
      </c>
      <c r="B810" s="17">
        <v>908</v>
      </c>
      <c r="C810" s="42" t="s">
        <v>285</v>
      </c>
      <c r="D810" s="42" t="s">
        <v>264</v>
      </c>
      <c r="E810" s="21" t="s">
        <v>576</v>
      </c>
      <c r="F810" s="42" t="s">
        <v>185</v>
      </c>
      <c r="G810" s="196">
        <f>110+20+2977</f>
        <v>3107</v>
      </c>
      <c r="H810" s="190" t="s">
        <v>834</v>
      </c>
    </row>
    <row r="811" spans="1:8" ht="15.75">
      <c r="A811" s="47" t="s">
        <v>577</v>
      </c>
      <c r="B811" s="17">
        <v>908</v>
      </c>
      <c r="C811" s="42" t="s">
        <v>285</v>
      </c>
      <c r="D811" s="42" t="s">
        <v>264</v>
      </c>
      <c r="E811" s="21" t="s">
        <v>578</v>
      </c>
      <c r="F811" s="42"/>
      <c r="G811" s="27">
        <f>G812</f>
        <v>1374.6</v>
      </c>
      <c r="H811" s="207"/>
    </row>
    <row r="812" spans="1:8" ht="31.5">
      <c r="A812" s="33" t="s">
        <v>182</v>
      </c>
      <c r="B812" s="17">
        <v>908</v>
      </c>
      <c r="C812" s="42" t="s">
        <v>285</v>
      </c>
      <c r="D812" s="42" t="s">
        <v>264</v>
      </c>
      <c r="E812" s="21" t="s">
        <v>578</v>
      </c>
      <c r="F812" s="42" t="s">
        <v>183</v>
      </c>
      <c r="G812" s="27">
        <f>G813</f>
        <v>1374.6</v>
      </c>
      <c r="H812" s="207"/>
    </row>
    <row r="813" spans="1:10" ht="47.25">
      <c r="A813" s="33" t="s">
        <v>184</v>
      </c>
      <c r="B813" s="17">
        <v>908</v>
      </c>
      <c r="C813" s="42" t="s">
        <v>285</v>
      </c>
      <c r="D813" s="42" t="s">
        <v>264</v>
      </c>
      <c r="E813" s="21" t="s">
        <v>578</v>
      </c>
      <c r="F813" s="42" t="s">
        <v>185</v>
      </c>
      <c r="G813" s="196">
        <f>10+30+3534.6-2200</f>
        <v>1374.6</v>
      </c>
      <c r="H813" s="137" t="s">
        <v>842</v>
      </c>
      <c r="J813" s="199" t="s">
        <v>843</v>
      </c>
    </row>
    <row r="814" spans="1:8" ht="15.75">
      <c r="A814" s="47" t="s">
        <v>579</v>
      </c>
      <c r="B814" s="17">
        <v>908</v>
      </c>
      <c r="C814" s="42" t="s">
        <v>285</v>
      </c>
      <c r="D814" s="42" t="s">
        <v>264</v>
      </c>
      <c r="E814" s="21" t="s">
        <v>580</v>
      </c>
      <c r="F814" s="42"/>
      <c r="G814" s="27">
        <f>G815</f>
        <v>159.10000000000002</v>
      </c>
      <c r="H814" s="207"/>
    </row>
    <row r="815" spans="1:8" ht="31.5">
      <c r="A815" s="33" t="s">
        <v>182</v>
      </c>
      <c r="B815" s="17">
        <v>908</v>
      </c>
      <c r="C815" s="42" t="s">
        <v>285</v>
      </c>
      <c r="D815" s="42" t="s">
        <v>264</v>
      </c>
      <c r="E815" s="21" t="s">
        <v>580</v>
      </c>
      <c r="F815" s="42" t="s">
        <v>183</v>
      </c>
      <c r="G815" s="27">
        <f>G816</f>
        <v>159.10000000000002</v>
      </c>
      <c r="H815" s="207"/>
    </row>
    <row r="816" spans="1:8" ht="47.25">
      <c r="A816" s="33" t="s">
        <v>184</v>
      </c>
      <c r="B816" s="17">
        <v>908</v>
      </c>
      <c r="C816" s="42" t="s">
        <v>285</v>
      </c>
      <c r="D816" s="42" t="s">
        <v>264</v>
      </c>
      <c r="E816" s="21" t="s">
        <v>580</v>
      </c>
      <c r="F816" s="42" t="s">
        <v>185</v>
      </c>
      <c r="G816" s="196">
        <f>250+5+681.1-522-255</f>
        <v>159.10000000000002</v>
      </c>
      <c r="H816" s="137" t="s">
        <v>835</v>
      </c>
    </row>
    <row r="817" spans="1:8" ht="15.75">
      <c r="A817" s="47" t="s">
        <v>581</v>
      </c>
      <c r="B817" s="17">
        <v>908</v>
      </c>
      <c r="C817" s="42" t="s">
        <v>285</v>
      </c>
      <c r="D817" s="42" t="s">
        <v>264</v>
      </c>
      <c r="E817" s="21" t="s">
        <v>582</v>
      </c>
      <c r="F817" s="42"/>
      <c r="G817" s="27">
        <f>G818</f>
        <v>288.2</v>
      </c>
      <c r="H817" s="207"/>
    </row>
    <row r="818" spans="1:8" ht="31.5">
      <c r="A818" s="33" t="s">
        <v>182</v>
      </c>
      <c r="B818" s="17">
        <v>908</v>
      </c>
      <c r="C818" s="42" t="s">
        <v>285</v>
      </c>
      <c r="D818" s="42" t="s">
        <v>264</v>
      </c>
      <c r="E818" s="21" t="s">
        <v>582</v>
      </c>
      <c r="F818" s="42" t="s">
        <v>183</v>
      </c>
      <c r="G818" s="27">
        <f>G819</f>
        <v>288.2</v>
      </c>
      <c r="H818" s="207"/>
    </row>
    <row r="819" spans="1:10" ht="47.25">
      <c r="A819" s="33" t="s">
        <v>184</v>
      </c>
      <c r="B819" s="17">
        <v>908</v>
      </c>
      <c r="C819" s="42" t="s">
        <v>285</v>
      </c>
      <c r="D819" s="42" t="s">
        <v>264</v>
      </c>
      <c r="E819" s="21" t="s">
        <v>582</v>
      </c>
      <c r="F819" s="42" t="s">
        <v>185</v>
      </c>
      <c r="G819" s="27">
        <f>2+286.2</f>
        <v>288.2</v>
      </c>
      <c r="H819" s="137"/>
      <c r="J819" s="200" t="s">
        <v>844</v>
      </c>
    </row>
    <row r="820" spans="1:8" ht="31.5" hidden="1">
      <c r="A820" s="208" t="s">
        <v>583</v>
      </c>
      <c r="B820" s="17">
        <v>908</v>
      </c>
      <c r="C820" s="42" t="s">
        <v>285</v>
      </c>
      <c r="D820" s="42" t="s">
        <v>264</v>
      </c>
      <c r="E820" s="21" t="s">
        <v>584</v>
      </c>
      <c r="F820" s="42"/>
      <c r="G820" s="27">
        <f>G821</f>
        <v>0</v>
      </c>
      <c r="H820" s="207"/>
    </row>
    <row r="821" spans="1:8" ht="31.5" hidden="1">
      <c r="A821" s="33" t="s">
        <v>182</v>
      </c>
      <c r="B821" s="17">
        <v>908</v>
      </c>
      <c r="C821" s="42" t="s">
        <v>285</v>
      </c>
      <c r="D821" s="42" t="s">
        <v>264</v>
      </c>
      <c r="E821" s="21" t="s">
        <v>584</v>
      </c>
      <c r="F821" s="42" t="s">
        <v>183</v>
      </c>
      <c r="G821" s="27">
        <f>G822</f>
        <v>0</v>
      </c>
      <c r="H821" s="207"/>
    </row>
    <row r="822" spans="1:8" ht="47.25" hidden="1">
      <c r="A822" s="33" t="s">
        <v>184</v>
      </c>
      <c r="B822" s="17">
        <v>908</v>
      </c>
      <c r="C822" s="42" t="s">
        <v>285</v>
      </c>
      <c r="D822" s="42" t="s">
        <v>264</v>
      </c>
      <c r="E822" s="21" t="s">
        <v>584</v>
      </c>
      <c r="F822" s="42" t="s">
        <v>185</v>
      </c>
      <c r="G822" s="27">
        <v>0</v>
      </c>
      <c r="H822" s="207"/>
    </row>
    <row r="823" spans="1:8" ht="15.75">
      <c r="A823" s="208" t="s">
        <v>585</v>
      </c>
      <c r="B823" s="17">
        <v>908</v>
      </c>
      <c r="C823" s="42" t="s">
        <v>285</v>
      </c>
      <c r="D823" s="42" t="s">
        <v>264</v>
      </c>
      <c r="E823" s="21" t="s">
        <v>586</v>
      </c>
      <c r="F823" s="42"/>
      <c r="G823" s="27">
        <f>G824</f>
        <v>189</v>
      </c>
      <c r="H823" s="207"/>
    </row>
    <row r="824" spans="1:8" ht="31.5">
      <c r="A824" s="26" t="s">
        <v>182</v>
      </c>
      <c r="B824" s="17">
        <v>908</v>
      </c>
      <c r="C824" s="42" t="s">
        <v>285</v>
      </c>
      <c r="D824" s="42" t="s">
        <v>264</v>
      </c>
      <c r="E824" s="21" t="s">
        <v>586</v>
      </c>
      <c r="F824" s="42" t="s">
        <v>183</v>
      </c>
      <c r="G824" s="27">
        <f>G825</f>
        <v>189</v>
      </c>
      <c r="H824" s="207"/>
    </row>
    <row r="825" spans="1:10" ht="47.25">
      <c r="A825" s="26" t="s">
        <v>184</v>
      </c>
      <c r="B825" s="17">
        <v>908</v>
      </c>
      <c r="C825" s="42" t="s">
        <v>285</v>
      </c>
      <c r="D825" s="42" t="s">
        <v>264</v>
      </c>
      <c r="E825" s="21" t="s">
        <v>586</v>
      </c>
      <c r="F825" s="42" t="s">
        <v>185</v>
      </c>
      <c r="G825" s="27">
        <f>15+174</f>
        <v>189</v>
      </c>
      <c r="H825" s="137"/>
      <c r="J825" s="200" t="s">
        <v>845</v>
      </c>
    </row>
    <row r="826" spans="1:8" ht="15.75">
      <c r="A826" s="26" t="s">
        <v>172</v>
      </c>
      <c r="B826" s="17">
        <v>908</v>
      </c>
      <c r="C826" s="21" t="s">
        <v>285</v>
      </c>
      <c r="D826" s="21" t="s">
        <v>264</v>
      </c>
      <c r="E826" s="21" t="s">
        <v>173</v>
      </c>
      <c r="F826" s="21"/>
      <c r="G826" s="27">
        <f>G827+G837</f>
        <v>48143.2</v>
      </c>
      <c r="H826" s="207"/>
    </row>
    <row r="827" spans="1:8" ht="31.5">
      <c r="A827" s="26" t="s">
        <v>236</v>
      </c>
      <c r="B827" s="17">
        <v>908</v>
      </c>
      <c r="C827" s="21" t="s">
        <v>285</v>
      </c>
      <c r="D827" s="21" t="s">
        <v>264</v>
      </c>
      <c r="E827" s="21" t="s">
        <v>237</v>
      </c>
      <c r="F827" s="21"/>
      <c r="G827" s="27">
        <f>G828+G831+G834</f>
        <v>25111.2</v>
      </c>
      <c r="H827" s="207"/>
    </row>
    <row r="828" spans="1:8" ht="47.25">
      <c r="A828" s="124" t="s">
        <v>759</v>
      </c>
      <c r="B828" s="17">
        <v>908</v>
      </c>
      <c r="C828" s="21" t="s">
        <v>285</v>
      </c>
      <c r="D828" s="21" t="s">
        <v>264</v>
      </c>
      <c r="E828" s="21" t="s">
        <v>587</v>
      </c>
      <c r="F828" s="21"/>
      <c r="G828" s="27">
        <f>G829</f>
        <v>5000</v>
      </c>
      <c r="H828" s="207"/>
    </row>
    <row r="829" spans="1:8" ht="31.5">
      <c r="A829" s="26" t="s">
        <v>182</v>
      </c>
      <c r="B829" s="17">
        <v>908</v>
      </c>
      <c r="C829" s="21" t="s">
        <v>285</v>
      </c>
      <c r="D829" s="21" t="s">
        <v>264</v>
      </c>
      <c r="E829" s="21" t="s">
        <v>587</v>
      </c>
      <c r="F829" s="21" t="s">
        <v>183</v>
      </c>
      <c r="G829" s="27">
        <f>G830</f>
        <v>5000</v>
      </c>
      <c r="H829" s="207"/>
    </row>
    <row r="830" spans="1:9" ht="47.25">
      <c r="A830" s="26" t="s">
        <v>184</v>
      </c>
      <c r="B830" s="17">
        <v>908</v>
      </c>
      <c r="C830" s="21" t="s">
        <v>285</v>
      </c>
      <c r="D830" s="21" t="s">
        <v>264</v>
      </c>
      <c r="E830" s="21" t="s">
        <v>587</v>
      </c>
      <c r="F830" s="21" t="s">
        <v>185</v>
      </c>
      <c r="G830" s="27">
        <f>5000</f>
        <v>5000</v>
      </c>
      <c r="H830" s="207"/>
      <c r="I830" s="139"/>
    </row>
    <row r="831" spans="1:8" ht="31.5">
      <c r="A831" s="37" t="s">
        <v>765</v>
      </c>
      <c r="B831" s="17">
        <v>908</v>
      </c>
      <c r="C831" s="21" t="s">
        <v>285</v>
      </c>
      <c r="D831" s="21" t="s">
        <v>264</v>
      </c>
      <c r="E831" s="21" t="s">
        <v>588</v>
      </c>
      <c r="F831" s="21"/>
      <c r="G831" s="27">
        <f>G832</f>
        <v>20000</v>
      </c>
      <c r="H831" s="207"/>
    </row>
    <row r="832" spans="1:8" ht="31.5">
      <c r="A832" s="26" t="s">
        <v>182</v>
      </c>
      <c r="B832" s="17">
        <v>908</v>
      </c>
      <c r="C832" s="21" t="s">
        <v>285</v>
      </c>
      <c r="D832" s="21" t="s">
        <v>264</v>
      </c>
      <c r="E832" s="21" t="s">
        <v>588</v>
      </c>
      <c r="F832" s="21" t="s">
        <v>183</v>
      </c>
      <c r="G832" s="27">
        <f>G833</f>
        <v>20000</v>
      </c>
      <c r="H832" s="207"/>
    </row>
    <row r="833" spans="1:8" ht="47.25">
      <c r="A833" s="26" t="s">
        <v>184</v>
      </c>
      <c r="B833" s="17">
        <v>908</v>
      </c>
      <c r="C833" s="21" t="s">
        <v>285</v>
      </c>
      <c r="D833" s="21" t="s">
        <v>264</v>
      </c>
      <c r="E833" s="21" t="s">
        <v>588</v>
      </c>
      <c r="F833" s="21" t="s">
        <v>185</v>
      </c>
      <c r="G833" s="27">
        <v>20000</v>
      </c>
      <c r="H833" s="130"/>
    </row>
    <row r="834" spans="1:8" ht="47.25">
      <c r="A834" s="26" t="s">
        <v>766</v>
      </c>
      <c r="B834" s="17">
        <v>908</v>
      </c>
      <c r="C834" s="21" t="s">
        <v>285</v>
      </c>
      <c r="D834" s="21" t="s">
        <v>264</v>
      </c>
      <c r="E834" s="21" t="s">
        <v>767</v>
      </c>
      <c r="F834" s="21"/>
      <c r="G834" s="27">
        <f>G835</f>
        <v>111.2</v>
      </c>
      <c r="H834" s="132"/>
    </row>
    <row r="835" spans="1:8" ht="31.5">
      <c r="A835" s="26" t="s">
        <v>182</v>
      </c>
      <c r="B835" s="17">
        <v>908</v>
      </c>
      <c r="C835" s="21" t="s">
        <v>285</v>
      </c>
      <c r="D835" s="21" t="s">
        <v>264</v>
      </c>
      <c r="E835" s="21" t="s">
        <v>767</v>
      </c>
      <c r="F835" s="21" t="s">
        <v>183</v>
      </c>
      <c r="G835" s="27">
        <f>G836</f>
        <v>111.2</v>
      </c>
      <c r="H835" s="132"/>
    </row>
    <row r="836" spans="1:8" ht="47.25">
      <c r="A836" s="26" t="s">
        <v>184</v>
      </c>
      <c r="B836" s="17">
        <v>908</v>
      </c>
      <c r="C836" s="21" t="s">
        <v>285</v>
      </c>
      <c r="D836" s="21" t="s">
        <v>264</v>
      </c>
      <c r="E836" s="21" t="s">
        <v>767</v>
      </c>
      <c r="F836" s="21" t="s">
        <v>185</v>
      </c>
      <c r="G836" s="27">
        <v>111.2</v>
      </c>
      <c r="H836" s="132"/>
    </row>
    <row r="837" spans="1:8" ht="15.75">
      <c r="A837" s="26" t="s">
        <v>192</v>
      </c>
      <c r="B837" s="17">
        <v>908</v>
      </c>
      <c r="C837" s="21" t="s">
        <v>285</v>
      </c>
      <c r="D837" s="21" t="s">
        <v>264</v>
      </c>
      <c r="E837" s="21" t="s">
        <v>193</v>
      </c>
      <c r="F837" s="21"/>
      <c r="G837" s="27">
        <f>G838+G844</f>
        <v>23031.999999999996</v>
      </c>
      <c r="H837" s="207"/>
    </row>
    <row r="838" spans="1:8" ht="31.5">
      <c r="A838" s="37" t="s">
        <v>589</v>
      </c>
      <c r="B838" s="17">
        <v>908</v>
      </c>
      <c r="C838" s="21" t="s">
        <v>285</v>
      </c>
      <c r="D838" s="21" t="s">
        <v>264</v>
      </c>
      <c r="E838" s="21" t="s">
        <v>590</v>
      </c>
      <c r="F838" s="21"/>
      <c r="G838" s="27">
        <f>G839+G841</f>
        <v>20353.699999999997</v>
      </c>
      <c r="H838" s="207"/>
    </row>
    <row r="839" spans="1:8" ht="31.5">
      <c r="A839" s="26" t="s">
        <v>182</v>
      </c>
      <c r="B839" s="17">
        <v>908</v>
      </c>
      <c r="C839" s="21" t="s">
        <v>285</v>
      </c>
      <c r="D839" s="21" t="s">
        <v>264</v>
      </c>
      <c r="E839" s="21" t="s">
        <v>590</v>
      </c>
      <c r="F839" s="21" t="s">
        <v>183</v>
      </c>
      <c r="G839" s="27">
        <f>G840</f>
        <v>20322.1</v>
      </c>
      <c r="H839" s="207"/>
    </row>
    <row r="840" spans="1:10" ht="47.25">
      <c r="A840" s="26" t="s">
        <v>184</v>
      </c>
      <c r="B840" s="17">
        <v>908</v>
      </c>
      <c r="C840" s="21" t="s">
        <v>285</v>
      </c>
      <c r="D840" s="21" t="s">
        <v>264</v>
      </c>
      <c r="E840" s="21" t="s">
        <v>590</v>
      </c>
      <c r="F840" s="21" t="s">
        <v>185</v>
      </c>
      <c r="G840" s="191">
        <f>10880-5000-2230+172.1+16500</f>
        <v>20322.1</v>
      </c>
      <c r="H840" s="130" t="s">
        <v>841</v>
      </c>
      <c r="I840" s="139"/>
      <c r="J840" s="201" t="s">
        <v>808</v>
      </c>
    </row>
    <row r="841" spans="1:8" ht="15.75">
      <c r="A841" s="26" t="s">
        <v>186</v>
      </c>
      <c r="B841" s="17">
        <v>908</v>
      </c>
      <c r="C841" s="21" t="s">
        <v>285</v>
      </c>
      <c r="D841" s="21" t="s">
        <v>264</v>
      </c>
      <c r="E841" s="21" t="s">
        <v>590</v>
      </c>
      <c r="F841" s="21" t="s">
        <v>196</v>
      </c>
      <c r="G841" s="27">
        <f>G842+G843</f>
        <v>31.6</v>
      </c>
      <c r="H841" s="207"/>
    </row>
    <row r="842" spans="1:8" ht="63" hidden="1">
      <c r="A842" s="26" t="s">
        <v>235</v>
      </c>
      <c r="B842" s="17">
        <v>908</v>
      </c>
      <c r="C842" s="21" t="s">
        <v>285</v>
      </c>
      <c r="D842" s="21" t="s">
        <v>264</v>
      </c>
      <c r="E842" s="21" t="s">
        <v>590</v>
      </c>
      <c r="F842" s="21" t="s">
        <v>211</v>
      </c>
      <c r="G842" s="27">
        <v>0</v>
      </c>
      <c r="H842" s="207"/>
    </row>
    <row r="843" spans="1:9" ht="15.75">
      <c r="A843" s="26" t="s">
        <v>620</v>
      </c>
      <c r="B843" s="17">
        <v>908</v>
      </c>
      <c r="C843" s="21" t="s">
        <v>285</v>
      </c>
      <c r="D843" s="21" t="s">
        <v>264</v>
      </c>
      <c r="E843" s="21" t="s">
        <v>590</v>
      </c>
      <c r="F843" s="21" t="s">
        <v>189</v>
      </c>
      <c r="G843" s="27">
        <v>31.6</v>
      </c>
      <c r="H843" s="130"/>
      <c r="I843" s="150"/>
    </row>
    <row r="844" spans="1:8" ht="15.75">
      <c r="A844" s="26" t="s">
        <v>591</v>
      </c>
      <c r="B844" s="17">
        <v>908</v>
      </c>
      <c r="C844" s="21" t="s">
        <v>285</v>
      </c>
      <c r="D844" s="21" t="s">
        <v>264</v>
      </c>
      <c r="E844" s="21" t="s">
        <v>592</v>
      </c>
      <c r="F844" s="21"/>
      <c r="G844" s="27">
        <f>G845</f>
        <v>2678.3</v>
      </c>
      <c r="H844" s="207"/>
    </row>
    <row r="845" spans="1:8" ht="15.75">
      <c r="A845" s="26" t="s">
        <v>186</v>
      </c>
      <c r="B845" s="17">
        <v>908</v>
      </c>
      <c r="C845" s="21" t="s">
        <v>285</v>
      </c>
      <c r="D845" s="21" t="s">
        <v>264</v>
      </c>
      <c r="E845" s="21" t="s">
        <v>592</v>
      </c>
      <c r="F845" s="21" t="s">
        <v>196</v>
      </c>
      <c r="G845" s="27">
        <f>G846</f>
        <v>2678.3</v>
      </c>
      <c r="H845" s="207"/>
    </row>
    <row r="846" spans="1:9" ht="15.75">
      <c r="A846" s="26" t="s">
        <v>197</v>
      </c>
      <c r="B846" s="17">
        <v>908</v>
      </c>
      <c r="C846" s="21" t="s">
        <v>285</v>
      </c>
      <c r="D846" s="21" t="s">
        <v>264</v>
      </c>
      <c r="E846" s="21" t="s">
        <v>592</v>
      </c>
      <c r="F846" s="21" t="s">
        <v>198</v>
      </c>
      <c r="G846" s="27">
        <v>2678.3</v>
      </c>
      <c r="H846" s="207"/>
      <c r="I846" s="139"/>
    </row>
    <row r="847" spans="1:8" ht="15.75">
      <c r="A847" s="24" t="s">
        <v>593</v>
      </c>
      <c r="B847" s="20">
        <v>908</v>
      </c>
      <c r="C847" s="25" t="s">
        <v>285</v>
      </c>
      <c r="D847" s="25" t="s">
        <v>266</v>
      </c>
      <c r="E847" s="25"/>
      <c r="F847" s="25"/>
      <c r="G847" s="22">
        <f>G848++G878+G874</f>
        <v>25464.6</v>
      </c>
      <c r="H847" s="207"/>
    </row>
    <row r="848" spans="1:8" ht="47.25">
      <c r="A848" s="26" t="s">
        <v>594</v>
      </c>
      <c r="B848" s="17">
        <v>908</v>
      </c>
      <c r="C848" s="21" t="s">
        <v>285</v>
      </c>
      <c r="D848" s="21" t="s">
        <v>266</v>
      </c>
      <c r="E848" s="21" t="s">
        <v>595</v>
      </c>
      <c r="F848" s="21"/>
      <c r="G848" s="27">
        <f>G849+G859</f>
        <v>12375.499999999998</v>
      </c>
      <c r="H848" s="207"/>
    </row>
    <row r="849" spans="1:8" ht="47.25">
      <c r="A849" s="26" t="s">
        <v>596</v>
      </c>
      <c r="B849" s="17">
        <v>908</v>
      </c>
      <c r="C849" s="21" t="s">
        <v>285</v>
      </c>
      <c r="D849" s="21" t="s">
        <v>266</v>
      </c>
      <c r="E849" s="21" t="s">
        <v>597</v>
      </c>
      <c r="F849" s="21"/>
      <c r="G849" s="27">
        <f>G850+G853+G856</f>
        <v>8697.3</v>
      </c>
      <c r="H849" s="207"/>
    </row>
    <row r="850" spans="1:8" ht="31.5">
      <c r="A850" s="26" t="s">
        <v>598</v>
      </c>
      <c r="B850" s="17">
        <v>908</v>
      </c>
      <c r="C850" s="21" t="s">
        <v>285</v>
      </c>
      <c r="D850" s="21" t="s">
        <v>266</v>
      </c>
      <c r="E850" s="21" t="s">
        <v>599</v>
      </c>
      <c r="F850" s="21"/>
      <c r="G850" s="27">
        <f>G851</f>
        <v>253.4</v>
      </c>
      <c r="H850" s="207"/>
    </row>
    <row r="851" spans="1:8" ht="31.5">
      <c r="A851" s="26" t="s">
        <v>182</v>
      </c>
      <c r="B851" s="17">
        <v>908</v>
      </c>
      <c r="C851" s="21" t="s">
        <v>285</v>
      </c>
      <c r="D851" s="21" t="s">
        <v>266</v>
      </c>
      <c r="E851" s="21" t="s">
        <v>599</v>
      </c>
      <c r="F851" s="21" t="s">
        <v>183</v>
      </c>
      <c r="G851" s="27">
        <f>G852</f>
        <v>253.4</v>
      </c>
      <c r="H851" s="207"/>
    </row>
    <row r="852" spans="1:8" ht="47.25">
      <c r="A852" s="26" t="s">
        <v>184</v>
      </c>
      <c r="B852" s="17">
        <v>908</v>
      </c>
      <c r="C852" s="21" t="s">
        <v>285</v>
      </c>
      <c r="D852" s="21" t="s">
        <v>266</v>
      </c>
      <c r="E852" s="21" t="s">
        <v>599</v>
      </c>
      <c r="F852" s="21" t="s">
        <v>185</v>
      </c>
      <c r="G852" s="27">
        <v>253.4</v>
      </c>
      <c r="H852" s="207"/>
    </row>
    <row r="853" spans="1:8" ht="15.75">
      <c r="A853" s="26" t="s">
        <v>600</v>
      </c>
      <c r="B853" s="17">
        <v>908</v>
      </c>
      <c r="C853" s="21" t="s">
        <v>285</v>
      </c>
      <c r="D853" s="21" t="s">
        <v>266</v>
      </c>
      <c r="E853" s="21" t="s">
        <v>601</v>
      </c>
      <c r="F853" s="21"/>
      <c r="G853" s="27">
        <f>G854</f>
        <v>5258.6</v>
      </c>
      <c r="H853" s="207"/>
    </row>
    <row r="854" spans="1:8" ht="31.5">
      <c r="A854" s="26" t="s">
        <v>182</v>
      </c>
      <c r="B854" s="17">
        <v>908</v>
      </c>
      <c r="C854" s="21" t="s">
        <v>285</v>
      </c>
      <c r="D854" s="21" t="s">
        <v>266</v>
      </c>
      <c r="E854" s="21" t="s">
        <v>601</v>
      </c>
      <c r="F854" s="21" t="s">
        <v>183</v>
      </c>
      <c r="G854" s="27">
        <f>G855</f>
        <v>5258.6</v>
      </c>
      <c r="H854" s="207"/>
    </row>
    <row r="855" spans="1:8" ht="47.25">
      <c r="A855" s="26" t="s">
        <v>184</v>
      </c>
      <c r="B855" s="17">
        <v>908</v>
      </c>
      <c r="C855" s="21" t="s">
        <v>285</v>
      </c>
      <c r="D855" s="21" t="s">
        <v>266</v>
      </c>
      <c r="E855" s="21" t="s">
        <v>601</v>
      </c>
      <c r="F855" s="21" t="s">
        <v>185</v>
      </c>
      <c r="G855" s="27">
        <v>5258.6</v>
      </c>
      <c r="H855" s="207"/>
    </row>
    <row r="856" spans="1:8" ht="15.75">
      <c r="A856" s="26" t="s">
        <v>602</v>
      </c>
      <c r="B856" s="17">
        <v>908</v>
      </c>
      <c r="C856" s="21" t="s">
        <v>285</v>
      </c>
      <c r="D856" s="21" t="s">
        <v>266</v>
      </c>
      <c r="E856" s="21" t="s">
        <v>603</v>
      </c>
      <c r="F856" s="21"/>
      <c r="G856" s="27">
        <f>G857</f>
        <v>3185.3</v>
      </c>
      <c r="H856" s="207"/>
    </row>
    <row r="857" spans="1:8" ht="31.5">
      <c r="A857" s="26" t="s">
        <v>182</v>
      </c>
      <c r="B857" s="17">
        <v>908</v>
      </c>
      <c r="C857" s="21" t="s">
        <v>285</v>
      </c>
      <c r="D857" s="21" t="s">
        <v>266</v>
      </c>
      <c r="E857" s="21" t="s">
        <v>603</v>
      </c>
      <c r="F857" s="21" t="s">
        <v>183</v>
      </c>
      <c r="G857" s="27">
        <f>G858</f>
        <v>3185.3</v>
      </c>
      <c r="H857" s="207"/>
    </row>
    <row r="858" spans="1:8" ht="47.25">
      <c r="A858" s="26" t="s">
        <v>184</v>
      </c>
      <c r="B858" s="17">
        <v>908</v>
      </c>
      <c r="C858" s="21" t="s">
        <v>285</v>
      </c>
      <c r="D858" s="21" t="s">
        <v>266</v>
      </c>
      <c r="E858" s="21" t="s">
        <v>603</v>
      </c>
      <c r="F858" s="21" t="s">
        <v>185</v>
      </c>
      <c r="G858" s="27">
        <v>3185.3</v>
      </c>
      <c r="H858" s="207"/>
    </row>
    <row r="859" spans="1:8" ht="47.25">
      <c r="A859" s="26" t="s">
        <v>604</v>
      </c>
      <c r="B859" s="17">
        <v>908</v>
      </c>
      <c r="C859" s="21" t="s">
        <v>285</v>
      </c>
      <c r="D859" s="21" t="s">
        <v>266</v>
      </c>
      <c r="E859" s="21" t="s">
        <v>605</v>
      </c>
      <c r="F859" s="21"/>
      <c r="G859" s="27">
        <f>G860+G865+G868+G871</f>
        <v>3678.1999999999994</v>
      </c>
      <c r="H859" s="207"/>
    </row>
    <row r="860" spans="1:8" ht="15.75">
      <c r="A860" s="26" t="s">
        <v>602</v>
      </c>
      <c r="B860" s="17">
        <v>908</v>
      </c>
      <c r="C860" s="21" t="s">
        <v>285</v>
      </c>
      <c r="D860" s="21" t="s">
        <v>266</v>
      </c>
      <c r="E860" s="21" t="s">
        <v>606</v>
      </c>
      <c r="F860" s="21"/>
      <c r="G860" s="27">
        <f>G861+G863</f>
        <v>1112.3999999999999</v>
      </c>
      <c r="H860" s="207"/>
    </row>
    <row r="861" spans="1:8" ht="94.5">
      <c r="A861" s="26" t="s">
        <v>178</v>
      </c>
      <c r="B861" s="17">
        <v>908</v>
      </c>
      <c r="C861" s="21" t="s">
        <v>285</v>
      </c>
      <c r="D861" s="21" t="s">
        <v>266</v>
      </c>
      <c r="E861" s="21" t="s">
        <v>606</v>
      </c>
      <c r="F861" s="21" t="s">
        <v>179</v>
      </c>
      <c r="G861" s="27">
        <f>G862</f>
        <v>892.8</v>
      </c>
      <c r="H861" s="207"/>
    </row>
    <row r="862" spans="1:8" ht="31.5">
      <c r="A862" s="48" t="s">
        <v>393</v>
      </c>
      <c r="B862" s="17">
        <v>908</v>
      </c>
      <c r="C862" s="21" t="s">
        <v>285</v>
      </c>
      <c r="D862" s="21" t="s">
        <v>266</v>
      </c>
      <c r="E862" s="21" t="s">
        <v>606</v>
      </c>
      <c r="F862" s="21" t="s">
        <v>260</v>
      </c>
      <c r="G862" s="27">
        <f>801.5+91.3</f>
        <v>892.8</v>
      </c>
      <c r="H862" s="130"/>
    </row>
    <row r="863" spans="1:8" ht="31.5">
      <c r="A863" s="26" t="s">
        <v>182</v>
      </c>
      <c r="B863" s="17">
        <v>908</v>
      </c>
      <c r="C863" s="21" t="s">
        <v>285</v>
      </c>
      <c r="D863" s="21" t="s">
        <v>266</v>
      </c>
      <c r="E863" s="21" t="s">
        <v>606</v>
      </c>
      <c r="F863" s="21" t="s">
        <v>183</v>
      </c>
      <c r="G863" s="27">
        <f>G864</f>
        <v>219.6</v>
      </c>
      <c r="H863" s="207"/>
    </row>
    <row r="864" spans="1:8" ht="47.25">
      <c r="A864" s="26" t="s">
        <v>184</v>
      </c>
      <c r="B864" s="17">
        <v>908</v>
      </c>
      <c r="C864" s="21" t="s">
        <v>285</v>
      </c>
      <c r="D864" s="21" t="s">
        <v>266</v>
      </c>
      <c r="E864" s="21" t="s">
        <v>606</v>
      </c>
      <c r="F864" s="21" t="s">
        <v>185</v>
      </c>
      <c r="G864" s="27">
        <v>219.6</v>
      </c>
      <c r="H864" s="207"/>
    </row>
    <row r="865" spans="1:8" ht="15.75">
      <c r="A865" s="26" t="s">
        <v>607</v>
      </c>
      <c r="B865" s="17">
        <v>908</v>
      </c>
      <c r="C865" s="21" t="s">
        <v>285</v>
      </c>
      <c r="D865" s="21" t="s">
        <v>266</v>
      </c>
      <c r="E865" s="21" t="s">
        <v>608</v>
      </c>
      <c r="F865" s="21"/>
      <c r="G865" s="27">
        <f>G866</f>
        <v>86.6</v>
      </c>
      <c r="H865" s="207"/>
    </row>
    <row r="866" spans="1:8" ht="31.5">
      <c r="A866" s="26" t="s">
        <v>182</v>
      </c>
      <c r="B866" s="17">
        <v>908</v>
      </c>
      <c r="C866" s="21" t="s">
        <v>285</v>
      </c>
      <c r="D866" s="21" t="s">
        <v>266</v>
      </c>
      <c r="E866" s="21" t="s">
        <v>608</v>
      </c>
      <c r="F866" s="21" t="s">
        <v>183</v>
      </c>
      <c r="G866" s="27">
        <f>G867</f>
        <v>86.6</v>
      </c>
      <c r="H866" s="207"/>
    </row>
    <row r="867" spans="1:8" ht="47.25">
      <c r="A867" s="26" t="s">
        <v>184</v>
      </c>
      <c r="B867" s="17">
        <v>908</v>
      </c>
      <c r="C867" s="21" t="s">
        <v>285</v>
      </c>
      <c r="D867" s="21" t="s">
        <v>266</v>
      </c>
      <c r="E867" s="21" t="s">
        <v>608</v>
      </c>
      <c r="F867" s="21" t="s">
        <v>185</v>
      </c>
      <c r="G867" s="27">
        <v>86.6</v>
      </c>
      <c r="H867" s="207"/>
    </row>
    <row r="868" spans="1:8" ht="47.25">
      <c r="A868" s="47" t="s">
        <v>609</v>
      </c>
      <c r="B868" s="17">
        <v>908</v>
      </c>
      <c r="C868" s="21" t="s">
        <v>285</v>
      </c>
      <c r="D868" s="21" t="s">
        <v>266</v>
      </c>
      <c r="E868" s="21" t="s">
        <v>610</v>
      </c>
      <c r="F868" s="21"/>
      <c r="G868" s="27">
        <f>G869</f>
        <v>2130.6</v>
      </c>
      <c r="H868" s="207"/>
    </row>
    <row r="869" spans="1:8" ht="31.5">
      <c r="A869" s="26" t="s">
        <v>182</v>
      </c>
      <c r="B869" s="17">
        <v>908</v>
      </c>
      <c r="C869" s="21" t="s">
        <v>285</v>
      </c>
      <c r="D869" s="21" t="s">
        <v>266</v>
      </c>
      <c r="E869" s="21" t="s">
        <v>610</v>
      </c>
      <c r="F869" s="21" t="s">
        <v>183</v>
      </c>
      <c r="G869" s="27">
        <f>G870</f>
        <v>2130.6</v>
      </c>
      <c r="H869" s="207"/>
    </row>
    <row r="870" spans="1:8" ht="47.25">
      <c r="A870" s="26" t="s">
        <v>184</v>
      </c>
      <c r="B870" s="17">
        <v>908</v>
      </c>
      <c r="C870" s="21" t="s">
        <v>285</v>
      </c>
      <c r="D870" s="21" t="s">
        <v>266</v>
      </c>
      <c r="E870" s="21" t="s">
        <v>610</v>
      </c>
      <c r="F870" s="21" t="s">
        <v>185</v>
      </c>
      <c r="G870" s="27">
        <v>2130.6</v>
      </c>
      <c r="H870" s="207"/>
    </row>
    <row r="871" spans="1:8" ht="31.5">
      <c r="A871" s="47" t="s">
        <v>611</v>
      </c>
      <c r="B871" s="17">
        <v>908</v>
      </c>
      <c r="C871" s="21" t="s">
        <v>285</v>
      </c>
      <c r="D871" s="21" t="s">
        <v>266</v>
      </c>
      <c r="E871" s="21" t="s">
        <v>612</v>
      </c>
      <c r="F871" s="21"/>
      <c r="G871" s="27">
        <f>G872</f>
        <v>348.6</v>
      </c>
      <c r="H871" s="207"/>
    </row>
    <row r="872" spans="1:8" ht="31.5">
      <c r="A872" s="26" t="s">
        <v>182</v>
      </c>
      <c r="B872" s="17">
        <v>908</v>
      </c>
      <c r="C872" s="21" t="s">
        <v>285</v>
      </c>
      <c r="D872" s="21" t="s">
        <v>266</v>
      </c>
      <c r="E872" s="21" t="s">
        <v>612</v>
      </c>
      <c r="F872" s="21" t="s">
        <v>183</v>
      </c>
      <c r="G872" s="27">
        <f>G873</f>
        <v>348.6</v>
      </c>
      <c r="H872" s="207"/>
    </row>
    <row r="873" spans="1:8" ht="47.25">
      <c r="A873" s="26" t="s">
        <v>184</v>
      </c>
      <c r="B873" s="17">
        <v>908</v>
      </c>
      <c r="C873" s="21" t="s">
        <v>285</v>
      </c>
      <c r="D873" s="21" t="s">
        <v>266</v>
      </c>
      <c r="E873" s="21" t="s">
        <v>612</v>
      </c>
      <c r="F873" s="21" t="s">
        <v>185</v>
      </c>
      <c r="G873" s="27">
        <v>348.6</v>
      </c>
      <c r="H873" s="207"/>
    </row>
    <row r="874" spans="1:8" ht="63">
      <c r="A874" s="26" t="s">
        <v>799</v>
      </c>
      <c r="B874" s="17">
        <v>908</v>
      </c>
      <c r="C874" s="21" t="s">
        <v>285</v>
      </c>
      <c r="D874" s="21" t="s">
        <v>266</v>
      </c>
      <c r="E874" s="21" t="s">
        <v>801</v>
      </c>
      <c r="F874" s="21"/>
      <c r="G874" s="27">
        <f>G875</f>
        <v>600</v>
      </c>
      <c r="H874" s="207"/>
    </row>
    <row r="875" spans="1:8" ht="31.5">
      <c r="A875" s="95" t="s">
        <v>800</v>
      </c>
      <c r="B875" s="17">
        <v>908</v>
      </c>
      <c r="C875" s="21" t="s">
        <v>285</v>
      </c>
      <c r="D875" s="21" t="s">
        <v>266</v>
      </c>
      <c r="E875" s="21" t="s">
        <v>802</v>
      </c>
      <c r="F875" s="21"/>
      <c r="G875" s="27">
        <f>G876</f>
        <v>600</v>
      </c>
      <c r="H875" s="207"/>
    </row>
    <row r="876" spans="1:8" ht="31.5">
      <c r="A876" s="26" t="s">
        <v>182</v>
      </c>
      <c r="B876" s="17">
        <v>908</v>
      </c>
      <c r="C876" s="21" t="s">
        <v>285</v>
      </c>
      <c r="D876" s="21" t="s">
        <v>266</v>
      </c>
      <c r="E876" s="21" t="s">
        <v>802</v>
      </c>
      <c r="F876" s="21" t="s">
        <v>183</v>
      </c>
      <c r="G876" s="27">
        <f>G877</f>
        <v>600</v>
      </c>
      <c r="H876" s="207"/>
    </row>
    <row r="877" spans="1:8" ht="47.25">
      <c r="A877" s="26" t="s">
        <v>184</v>
      </c>
      <c r="B877" s="17">
        <v>908</v>
      </c>
      <c r="C877" s="21" t="s">
        <v>285</v>
      </c>
      <c r="D877" s="21" t="s">
        <v>266</v>
      </c>
      <c r="E877" s="21" t="s">
        <v>802</v>
      </c>
      <c r="F877" s="21" t="s">
        <v>185</v>
      </c>
      <c r="G877" s="27">
        <v>600</v>
      </c>
      <c r="H877" s="130"/>
    </row>
    <row r="878" spans="1:8" ht="15.75">
      <c r="A878" s="26" t="s">
        <v>172</v>
      </c>
      <c r="B878" s="17">
        <v>908</v>
      </c>
      <c r="C878" s="21" t="s">
        <v>285</v>
      </c>
      <c r="D878" s="21" t="s">
        <v>266</v>
      </c>
      <c r="E878" s="21" t="s">
        <v>173</v>
      </c>
      <c r="F878" s="21"/>
      <c r="G878" s="27">
        <f>G879+G892</f>
        <v>12489.099999999999</v>
      </c>
      <c r="H878" s="207"/>
    </row>
    <row r="879" spans="1:8" ht="31.5">
      <c r="A879" s="26" t="s">
        <v>236</v>
      </c>
      <c r="B879" s="17">
        <v>908</v>
      </c>
      <c r="C879" s="21" t="s">
        <v>285</v>
      </c>
      <c r="D879" s="21" t="s">
        <v>266</v>
      </c>
      <c r="E879" s="21" t="s">
        <v>237</v>
      </c>
      <c r="F879" s="21"/>
      <c r="G879" s="27">
        <f>G880+G883+G886+G889</f>
        <v>12033.199999999999</v>
      </c>
      <c r="H879" s="207"/>
    </row>
    <row r="880" spans="1:8" ht="31.5">
      <c r="A880" s="26" t="s">
        <v>613</v>
      </c>
      <c r="B880" s="17">
        <v>908</v>
      </c>
      <c r="C880" s="21" t="s">
        <v>285</v>
      </c>
      <c r="D880" s="21" t="s">
        <v>266</v>
      </c>
      <c r="E880" s="21" t="s">
        <v>614</v>
      </c>
      <c r="F880" s="21"/>
      <c r="G880" s="27">
        <f>G881</f>
        <v>6302.4</v>
      </c>
      <c r="H880" s="207"/>
    </row>
    <row r="881" spans="1:8" ht="31.5">
      <c r="A881" s="26" t="s">
        <v>182</v>
      </c>
      <c r="B881" s="17">
        <v>908</v>
      </c>
      <c r="C881" s="21" t="s">
        <v>285</v>
      </c>
      <c r="D881" s="21" t="s">
        <v>266</v>
      </c>
      <c r="E881" s="21" t="s">
        <v>614</v>
      </c>
      <c r="F881" s="21" t="s">
        <v>183</v>
      </c>
      <c r="G881" s="27">
        <f>G882</f>
        <v>6302.4</v>
      </c>
      <c r="H881" s="207"/>
    </row>
    <row r="882" spans="1:9" ht="47.25">
      <c r="A882" s="26" t="s">
        <v>184</v>
      </c>
      <c r="B882" s="17">
        <v>908</v>
      </c>
      <c r="C882" s="21" t="s">
        <v>285</v>
      </c>
      <c r="D882" s="21" t="s">
        <v>266</v>
      </c>
      <c r="E882" s="21" t="s">
        <v>614</v>
      </c>
      <c r="F882" s="21" t="s">
        <v>185</v>
      </c>
      <c r="G882" s="27">
        <f>3907.3-814.9+3210</f>
        <v>6302.4</v>
      </c>
      <c r="H882" s="130"/>
      <c r="I882" s="139"/>
    </row>
    <row r="883" spans="1:8" ht="47.25">
      <c r="A883" s="26" t="s">
        <v>768</v>
      </c>
      <c r="B883" s="17">
        <v>908</v>
      </c>
      <c r="C883" s="21" t="s">
        <v>285</v>
      </c>
      <c r="D883" s="21" t="s">
        <v>266</v>
      </c>
      <c r="E883" s="21" t="s">
        <v>769</v>
      </c>
      <c r="F883" s="21"/>
      <c r="G883" s="27">
        <f>G884</f>
        <v>2132</v>
      </c>
      <c r="H883" s="207"/>
    </row>
    <row r="884" spans="1:8" ht="31.5">
      <c r="A884" s="26" t="s">
        <v>182</v>
      </c>
      <c r="B884" s="17">
        <v>908</v>
      </c>
      <c r="C884" s="21" t="s">
        <v>285</v>
      </c>
      <c r="D884" s="21" t="s">
        <v>266</v>
      </c>
      <c r="E884" s="21" t="s">
        <v>769</v>
      </c>
      <c r="F884" s="21" t="s">
        <v>183</v>
      </c>
      <c r="G884" s="27">
        <f>G885</f>
        <v>2132</v>
      </c>
      <c r="H884" s="207"/>
    </row>
    <row r="885" spans="1:8" ht="47.25">
      <c r="A885" s="26" t="s">
        <v>184</v>
      </c>
      <c r="B885" s="17">
        <v>908</v>
      </c>
      <c r="C885" s="21" t="s">
        <v>285</v>
      </c>
      <c r="D885" s="21" t="s">
        <v>266</v>
      </c>
      <c r="E885" s="21" t="s">
        <v>769</v>
      </c>
      <c r="F885" s="21" t="s">
        <v>185</v>
      </c>
      <c r="G885" s="27">
        <v>2132</v>
      </c>
      <c r="H885" s="130"/>
    </row>
    <row r="886" spans="1:8" ht="47.25">
      <c r="A886" s="26" t="s">
        <v>770</v>
      </c>
      <c r="B886" s="17">
        <v>908</v>
      </c>
      <c r="C886" s="21" t="s">
        <v>285</v>
      </c>
      <c r="D886" s="21" t="s">
        <v>266</v>
      </c>
      <c r="E886" s="21" t="s">
        <v>615</v>
      </c>
      <c r="F886" s="21"/>
      <c r="G886" s="27">
        <f>G887</f>
        <v>2000</v>
      </c>
      <c r="H886" s="207"/>
    </row>
    <row r="887" spans="1:8" ht="31.5">
      <c r="A887" s="26" t="s">
        <v>182</v>
      </c>
      <c r="B887" s="17">
        <v>908</v>
      </c>
      <c r="C887" s="21" t="s">
        <v>285</v>
      </c>
      <c r="D887" s="21" t="s">
        <v>266</v>
      </c>
      <c r="E887" s="21" t="s">
        <v>615</v>
      </c>
      <c r="F887" s="21" t="s">
        <v>183</v>
      </c>
      <c r="G887" s="27">
        <f>G888</f>
        <v>2000</v>
      </c>
      <c r="H887" s="207"/>
    </row>
    <row r="888" spans="1:8" ht="47.25">
      <c r="A888" s="26" t="s">
        <v>184</v>
      </c>
      <c r="B888" s="17">
        <v>908</v>
      </c>
      <c r="C888" s="21" t="s">
        <v>285</v>
      </c>
      <c r="D888" s="21" t="s">
        <v>266</v>
      </c>
      <c r="E888" s="21" t="s">
        <v>615</v>
      </c>
      <c r="F888" s="21" t="s">
        <v>185</v>
      </c>
      <c r="G888" s="27">
        <v>2000</v>
      </c>
      <c r="H888" s="130"/>
    </row>
    <row r="889" spans="1:8" ht="63">
      <c r="A889" s="26" t="s">
        <v>771</v>
      </c>
      <c r="B889" s="17">
        <v>908</v>
      </c>
      <c r="C889" s="21" t="s">
        <v>285</v>
      </c>
      <c r="D889" s="21" t="s">
        <v>266</v>
      </c>
      <c r="E889" s="21" t="s">
        <v>772</v>
      </c>
      <c r="F889" s="21"/>
      <c r="G889" s="27">
        <f>G890</f>
        <v>1598.8</v>
      </c>
      <c r="H889" s="132"/>
    </row>
    <row r="890" spans="1:8" ht="31.5">
      <c r="A890" s="26" t="s">
        <v>182</v>
      </c>
      <c r="B890" s="17">
        <v>908</v>
      </c>
      <c r="C890" s="21" t="s">
        <v>285</v>
      </c>
      <c r="D890" s="21" t="s">
        <v>266</v>
      </c>
      <c r="E890" s="21" t="s">
        <v>772</v>
      </c>
      <c r="F890" s="21" t="s">
        <v>183</v>
      </c>
      <c r="G890" s="27">
        <f>G891</f>
        <v>1598.8</v>
      </c>
      <c r="H890" s="132"/>
    </row>
    <row r="891" spans="1:8" ht="47.25">
      <c r="A891" s="26" t="s">
        <v>184</v>
      </c>
      <c r="B891" s="17">
        <v>908</v>
      </c>
      <c r="C891" s="21" t="s">
        <v>285</v>
      </c>
      <c r="D891" s="21" t="s">
        <v>266</v>
      </c>
      <c r="E891" s="21" t="s">
        <v>772</v>
      </c>
      <c r="F891" s="21" t="s">
        <v>185</v>
      </c>
      <c r="G891" s="27">
        <v>1598.8</v>
      </c>
      <c r="H891" s="132"/>
    </row>
    <row r="892" spans="1:8" ht="15.75">
      <c r="A892" s="26" t="s">
        <v>192</v>
      </c>
      <c r="B892" s="17">
        <v>908</v>
      </c>
      <c r="C892" s="21" t="s">
        <v>285</v>
      </c>
      <c r="D892" s="21" t="s">
        <v>266</v>
      </c>
      <c r="E892" s="21" t="s">
        <v>193</v>
      </c>
      <c r="F892" s="21"/>
      <c r="G892" s="27">
        <f>G893</f>
        <v>455.9</v>
      </c>
      <c r="H892" s="207"/>
    </row>
    <row r="893" spans="1:8" ht="15.75">
      <c r="A893" s="26" t="s">
        <v>616</v>
      </c>
      <c r="B893" s="17">
        <v>908</v>
      </c>
      <c r="C893" s="21" t="s">
        <v>285</v>
      </c>
      <c r="D893" s="21" t="s">
        <v>266</v>
      </c>
      <c r="E893" s="21" t="s">
        <v>617</v>
      </c>
      <c r="F893" s="21"/>
      <c r="G893" s="27">
        <f>G894</f>
        <v>455.9</v>
      </c>
      <c r="H893" s="207"/>
    </row>
    <row r="894" spans="1:8" ht="31.5">
      <c r="A894" s="26" t="s">
        <v>182</v>
      </c>
      <c r="B894" s="17">
        <v>908</v>
      </c>
      <c r="C894" s="21" t="s">
        <v>285</v>
      </c>
      <c r="D894" s="21" t="s">
        <v>266</v>
      </c>
      <c r="E894" s="21" t="s">
        <v>617</v>
      </c>
      <c r="F894" s="21" t="s">
        <v>183</v>
      </c>
      <c r="G894" s="27">
        <f>G895</f>
        <v>455.9</v>
      </c>
      <c r="H894" s="207"/>
    </row>
    <row r="895" spans="1:8" ht="47.25">
      <c r="A895" s="26" t="s">
        <v>184</v>
      </c>
      <c r="B895" s="17">
        <v>908</v>
      </c>
      <c r="C895" s="21" t="s">
        <v>285</v>
      </c>
      <c r="D895" s="21" t="s">
        <v>266</v>
      </c>
      <c r="E895" s="21" t="s">
        <v>617</v>
      </c>
      <c r="F895" s="21" t="s">
        <v>185</v>
      </c>
      <c r="G895" s="28">
        <v>455.9</v>
      </c>
      <c r="H895" s="207"/>
    </row>
    <row r="896" spans="1:8" ht="15.75" hidden="1">
      <c r="A896" s="26" t="s">
        <v>618</v>
      </c>
      <c r="B896" s="17">
        <v>908</v>
      </c>
      <c r="C896" s="21" t="s">
        <v>285</v>
      </c>
      <c r="D896" s="21" t="s">
        <v>266</v>
      </c>
      <c r="E896" s="21" t="s">
        <v>619</v>
      </c>
      <c r="F896" s="21"/>
      <c r="G896" s="28">
        <f>G897</f>
        <v>0</v>
      </c>
      <c r="H896" s="207"/>
    </row>
    <row r="897" spans="1:8" ht="15.75" hidden="1">
      <c r="A897" s="26" t="s">
        <v>186</v>
      </c>
      <c r="B897" s="17">
        <v>908</v>
      </c>
      <c r="C897" s="21" t="s">
        <v>285</v>
      </c>
      <c r="D897" s="21" t="s">
        <v>266</v>
      </c>
      <c r="E897" s="21" t="s">
        <v>619</v>
      </c>
      <c r="F897" s="21" t="s">
        <v>196</v>
      </c>
      <c r="G897" s="28">
        <f>G898</f>
        <v>0</v>
      </c>
      <c r="H897" s="207"/>
    </row>
    <row r="898" spans="1:8" ht="15.75" hidden="1">
      <c r="A898" s="26" t="s">
        <v>620</v>
      </c>
      <c r="B898" s="17">
        <v>908</v>
      </c>
      <c r="C898" s="21" t="s">
        <v>285</v>
      </c>
      <c r="D898" s="21" t="s">
        <v>266</v>
      </c>
      <c r="E898" s="21" t="s">
        <v>619</v>
      </c>
      <c r="F898" s="21" t="s">
        <v>189</v>
      </c>
      <c r="G898" s="28">
        <v>0</v>
      </c>
      <c r="H898" s="207"/>
    </row>
    <row r="899" spans="1:8" ht="31.5">
      <c r="A899" s="24" t="s">
        <v>621</v>
      </c>
      <c r="B899" s="20">
        <v>908</v>
      </c>
      <c r="C899" s="25" t="s">
        <v>285</v>
      </c>
      <c r="D899" s="25" t="s">
        <v>285</v>
      </c>
      <c r="E899" s="25"/>
      <c r="F899" s="25"/>
      <c r="G899" s="22">
        <f>G900</f>
        <v>21124.69</v>
      </c>
      <c r="H899" s="207"/>
    </row>
    <row r="900" spans="1:8" ht="15.75">
      <c r="A900" s="26" t="s">
        <v>172</v>
      </c>
      <c r="B900" s="17">
        <v>908</v>
      </c>
      <c r="C900" s="21" t="s">
        <v>285</v>
      </c>
      <c r="D900" s="21" t="s">
        <v>285</v>
      </c>
      <c r="E900" s="21" t="s">
        <v>173</v>
      </c>
      <c r="F900" s="21"/>
      <c r="G900" s="27">
        <f>G901+G909</f>
        <v>21124.69</v>
      </c>
      <c r="H900" s="207"/>
    </row>
    <row r="901" spans="1:8" ht="31.5">
      <c r="A901" s="26" t="s">
        <v>174</v>
      </c>
      <c r="B901" s="17">
        <v>908</v>
      </c>
      <c r="C901" s="21" t="s">
        <v>285</v>
      </c>
      <c r="D901" s="21" t="s">
        <v>285</v>
      </c>
      <c r="E901" s="21" t="s">
        <v>175</v>
      </c>
      <c r="F901" s="21"/>
      <c r="G901" s="27">
        <f>G902</f>
        <v>13501.699999999999</v>
      </c>
      <c r="H901" s="207"/>
    </row>
    <row r="902" spans="1:8" ht="47.25">
      <c r="A902" s="26" t="s">
        <v>176</v>
      </c>
      <c r="B902" s="17">
        <v>908</v>
      </c>
      <c r="C902" s="21" t="s">
        <v>285</v>
      </c>
      <c r="D902" s="21" t="s">
        <v>285</v>
      </c>
      <c r="E902" s="21" t="s">
        <v>177</v>
      </c>
      <c r="F902" s="21"/>
      <c r="G902" s="27">
        <f>G903+G907+G905</f>
        <v>13501.699999999999</v>
      </c>
      <c r="H902" s="207"/>
    </row>
    <row r="903" spans="1:8" ht="94.5">
      <c r="A903" s="26" t="s">
        <v>178</v>
      </c>
      <c r="B903" s="17">
        <v>908</v>
      </c>
      <c r="C903" s="21" t="s">
        <v>285</v>
      </c>
      <c r="D903" s="21" t="s">
        <v>285</v>
      </c>
      <c r="E903" s="21" t="s">
        <v>177</v>
      </c>
      <c r="F903" s="21" t="s">
        <v>179</v>
      </c>
      <c r="G903" s="27">
        <f>G904</f>
        <v>13327.8</v>
      </c>
      <c r="H903" s="207"/>
    </row>
    <row r="904" spans="1:10" ht="31.5">
      <c r="A904" s="26" t="s">
        <v>180</v>
      </c>
      <c r="B904" s="17">
        <v>908</v>
      </c>
      <c r="C904" s="21" t="s">
        <v>285</v>
      </c>
      <c r="D904" s="21" t="s">
        <v>285</v>
      </c>
      <c r="E904" s="21" t="s">
        <v>177</v>
      </c>
      <c r="F904" s="21" t="s">
        <v>181</v>
      </c>
      <c r="G904" s="195">
        <f>13259.3+28.4+100-59.9</f>
        <v>13327.8</v>
      </c>
      <c r="H904" s="130" t="s">
        <v>837</v>
      </c>
      <c r="I904" s="150"/>
      <c r="J904" s="201" t="s">
        <v>846</v>
      </c>
    </row>
    <row r="905" spans="1:8" ht="31.5">
      <c r="A905" s="26" t="s">
        <v>182</v>
      </c>
      <c r="B905" s="17">
        <v>908</v>
      </c>
      <c r="C905" s="21" t="s">
        <v>285</v>
      </c>
      <c r="D905" s="21" t="s">
        <v>285</v>
      </c>
      <c r="E905" s="21" t="s">
        <v>177</v>
      </c>
      <c r="F905" s="21" t="s">
        <v>183</v>
      </c>
      <c r="G905" s="27">
        <f>G906</f>
        <v>25</v>
      </c>
      <c r="H905" s="207"/>
    </row>
    <row r="906" spans="1:9" ht="47.25">
      <c r="A906" s="26" t="s">
        <v>184</v>
      </c>
      <c r="B906" s="17">
        <v>908</v>
      </c>
      <c r="C906" s="21" t="s">
        <v>285</v>
      </c>
      <c r="D906" s="21" t="s">
        <v>285</v>
      </c>
      <c r="E906" s="21" t="s">
        <v>177</v>
      </c>
      <c r="F906" s="21" t="s">
        <v>185</v>
      </c>
      <c r="G906" s="28">
        <v>25</v>
      </c>
      <c r="H906" s="130"/>
      <c r="I906" s="150"/>
    </row>
    <row r="907" spans="1:8" ht="15.75">
      <c r="A907" s="26" t="s">
        <v>186</v>
      </c>
      <c r="B907" s="17">
        <v>908</v>
      </c>
      <c r="C907" s="21" t="s">
        <v>285</v>
      </c>
      <c r="D907" s="21" t="s">
        <v>285</v>
      </c>
      <c r="E907" s="21" t="s">
        <v>177</v>
      </c>
      <c r="F907" s="21" t="s">
        <v>196</v>
      </c>
      <c r="G907" s="27">
        <f>G908</f>
        <v>148.9</v>
      </c>
      <c r="H907" s="207"/>
    </row>
    <row r="908" spans="1:8" ht="15.75">
      <c r="A908" s="26" t="s">
        <v>620</v>
      </c>
      <c r="B908" s="17">
        <v>908</v>
      </c>
      <c r="C908" s="21" t="s">
        <v>285</v>
      </c>
      <c r="D908" s="21" t="s">
        <v>285</v>
      </c>
      <c r="E908" s="21" t="s">
        <v>177</v>
      </c>
      <c r="F908" s="21" t="s">
        <v>189</v>
      </c>
      <c r="G908" s="191">
        <f>89+59.9</f>
        <v>148.9</v>
      </c>
      <c r="H908" s="186" t="s">
        <v>836</v>
      </c>
    </row>
    <row r="909" spans="1:8" ht="15.75">
      <c r="A909" s="26" t="s">
        <v>192</v>
      </c>
      <c r="B909" s="17">
        <v>908</v>
      </c>
      <c r="C909" s="21" t="s">
        <v>285</v>
      </c>
      <c r="D909" s="21" t="s">
        <v>285</v>
      </c>
      <c r="E909" s="21" t="s">
        <v>193</v>
      </c>
      <c r="F909" s="21"/>
      <c r="G909" s="27">
        <f>G913+G910</f>
        <v>7622.99</v>
      </c>
      <c r="H909" s="207"/>
    </row>
    <row r="910" spans="1:8" ht="31.5">
      <c r="A910" s="26" t="s">
        <v>622</v>
      </c>
      <c r="B910" s="17">
        <v>908</v>
      </c>
      <c r="C910" s="21" t="s">
        <v>285</v>
      </c>
      <c r="D910" s="21" t="s">
        <v>285</v>
      </c>
      <c r="E910" s="21" t="s">
        <v>623</v>
      </c>
      <c r="F910" s="21"/>
      <c r="G910" s="28">
        <f>G911</f>
        <v>1461</v>
      </c>
      <c r="H910" s="207"/>
    </row>
    <row r="911" spans="1:8" ht="15.75">
      <c r="A911" s="26" t="s">
        <v>186</v>
      </c>
      <c r="B911" s="17">
        <v>908</v>
      </c>
      <c r="C911" s="21" t="s">
        <v>285</v>
      </c>
      <c r="D911" s="21" t="s">
        <v>285</v>
      </c>
      <c r="E911" s="21" t="s">
        <v>623</v>
      </c>
      <c r="F911" s="21" t="s">
        <v>196</v>
      </c>
      <c r="G911" s="28">
        <f>G912</f>
        <v>1461</v>
      </c>
      <c r="H911" s="207"/>
    </row>
    <row r="912" spans="1:8" ht="63">
      <c r="A912" s="26" t="s">
        <v>235</v>
      </c>
      <c r="B912" s="17">
        <v>908</v>
      </c>
      <c r="C912" s="21" t="s">
        <v>285</v>
      </c>
      <c r="D912" s="21" t="s">
        <v>285</v>
      </c>
      <c r="E912" s="21" t="s">
        <v>623</v>
      </c>
      <c r="F912" s="21" t="s">
        <v>211</v>
      </c>
      <c r="G912" s="28">
        <v>1461</v>
      </c>
      <c r="H912" s="207"/>
    </row>
    <row r="913" spans="1:8" ht="31.5">
      <c r="A913" s="26" t="s">
        <v>391</v>
      </c>
      <c r="B913" s="17">
        <v>908</v>
      </c>
      <c r="C913" s="21" t="s">
        <v>285</v>
      </c>
      <c r="D913" s="21" t="s">
        <v>285</v>
      </c>
      <c r="E913" s="21" t="s">
        <v>392</v>
      </c>
      <c r="F913" s="21"/>
      <c r="G913" s="27">
        <f>G914+G916</f>
        <v>6161.99</v>
      </c>
      <c r="H913" s="207"/>
    </row>
    <row r="914" spans="1:8" ht="94.5">
      <c r="A914" s="26" t="s">
        <v>178</v>
      </c>
      <c r="B914" s="17">
        <v>908</v>
      </c>
      <c r="C914" s="21" t="s">
        <v>285</v>
      </c>
      <c r="D914" s="21" t="s">
        <v>285</v>
      </c>
      <c r="E914" s="21" t="s">
        <v>392</v>
      </c>
      <c r="F914" s="21" t="s">
        <v>179</v>
      </c>
      <c r="G914" s="27">
        <f>G915</f>
        <v>4505.49</v>
      </c>
      <c r="H914" s="207"/>
    </row>
    <row r="915" spans="1:10" ht="31.5">
      <c r="A915" s="26" t="s">
        <v>393</v>
      </c>
      <c r="B915" s="17">
        <v>908</v>
      </c>
      <c r="C915" s="21" t="s">
        <v>285</v>
      </c>
      <c r="D915" s="21" t="s">
        <v>285</v>
      </c>
      <c r="E915" s="21" t="s">
        <v>392</v>
      </c>
      <c r="F915" s="21" t="s">
        <v>260</v>
      </c>
      <c r="G915" s="185">
        <f>6196.89-1411.4-100-180</f>
        <v>4505.49</v>
      </c>
      <c r="H915" s="130" t="s">
        <v>852</v>
      </c>
      <c r="I915" s="150"/>
      <c r="J915" s="200" t="s">
        <v>851</v>
      </c>
    </row>
    <row r="916" spans="1:8" ht="31.5">
      <c r="A916" s="26" t="s">
        <v>182</v>
      </c>
      <c r="B916" s="17">
        <v>908</v>
      </c>
      <c r="C916" s="21" t="s">
        <v>285</v>
      </c>
      <c r="D916" s="21" t="s">
        <v>285</v>
      </c>
      <c r="E916" s="21" t="s">
        <v>392</v>
      </c>
      <c r="F916" s="21" t="s">
        <v>183</v>
      </c>
      <c r="G916" s="27">
        <f>G917</f>
        <v>1656.5</v>
      </c>
      <c r="H916" s="207"/>
    </row>
    <row r="917" spans="1:10" ht="47.25">
      <c r="A917" s="26" t="s">
        <v>184</v>
      </c>
      <c r="B917" s="17">
        <v>908</v>
      </c>
      <c r="C917" s="21" t="s">
        <v>285</v>
      </c>
      <c r="D917" s="21" t="s">
        <v>285</v>
      </c>
      <c r="E917" s="21" t="s">
        <v>392</v>
      </c>
      <c r="F917" s="21" t="s">
        <v>185</v>
      </c>
      <c r="G917" s="185">
        <f>1341.9+928.5-198.8-595.1+180</f>
        <v>1656.5</v>
      </c>
      <c r="H917" s="130" t="s">
        <v>853</v>
      </c>
      <c r="I917" s="151"/>
      <c r="J917" s="200"/>
    </row>
    <row r="918" spans="1:8" ht="15.75">
      <c r="A918" s="24" t="s">
        <v>294</v>
      </c>
      <c r="B918" s="20">
        <v>908</v>
      </c>
      <c r="C918" s="25" t="s">
        <v>295</v>
      </c>
      <c r="D918" s="25"/>
      <c r="E918" s="25"/>
      <c r="F918" s="25"/>
      <c r="G918" s="22">
        <f aca="true" t="shared" si="5" ref="G918:G923">G919</f>
        <v>87.1</v>
      </c>
      <c r="H918" s="207"/>
    </row>
    <row r="919" spans="1:8" ht="31.5">
      <c r="A919" s="24" t="s">
        <v>309</v>
      </c>
      <c r="B919" s="20">
        <v>908</v>
      </c>
      <c r="C919" s="25" t="s">
        <v>295</v>
      </c>
      <c r="D919" s="25" t="s">
        <v>171</v>
      </c>
      <c r="E919" s="25"/>
      <c r="F919" s="25"/>
      <c r="G919" s="22">
        <f t="shared" si="5"/>
        <v>87.1</v>
      </c>
      <c r="H919" s="207"/>
    </row>
    <row r="920" spans="1:8" ht="15.75">
      <c r="A920" s="26" t="s">
        <v>172</v>
      </c>
      <c r="B920" s="17">
        <v>908</v>
      </c>
      <c r="C920" s="21" t="s">
        <v>295</v>
      </c>
      <c r="D920" s="21" t="s">
        <v>171</v>
      </c>
      <c r="E920" s="21" t="s">
        <v>173</v>
      </c>
      <c r="F920" s="21"/>
      <c r="G920" s="22">
        <f t="shared" si="5"/>
        <v>87.1</v>
      </c>
      <c r="H920" s="207"/>
    </row>
    <row r="921" spans="1:8" ht="15.75">
      <c r="A921" s="26" t="s">
        <v>192</v>
      </c>
      <c r="B921" s="17">
        <v>908</v>
      </c>
      <c r="C921" s="21" t="s">
        <v>295</v>
      </c>
      <c r="D921" s="21" t="s">
        <v>171</v>
      </c>
      <c r="E921" s="21" t="s">
        <v>193</v>
      </c>
      <c r="F921" s="21"/>
      <c r="G921" s="27">
        <f t="shared" si="5"/>
        <v>87.1</v>
      </c>
      <c r="H921" s="207"/>
    </row>
    <row r="922" spans="1:8" ht="15.75">
      <c r="A922" s="26" t="s">
        <v>624</v>
      </c>
      <c r="B922" s="17">
        <v>908</v>
      </c>
      <c r="C922" s="21" t="s">
        <v>295</v>
      </c>
      <c r="D922" s="21" t="s">
        <v>171</v>
      </c>
      <c r="E922" s="21" t="s">
        <v>625</v>
      </c>
      <c r="F922" s="21"/>
      <c r="G922" s="27">
        <f t="shared" si="5"/>
        <v>87.1</v>
      </c>
      <c r="H922" s="207"/>
    </row>
    <row r="923" spans="1:8" ht="15.75">
      <c r="A923" s="26" t="s">
        <v>186</v>
      </c>
      <c r="B923" s="17">
        <v>908</v>
      </c>
      <c r="C923" s="21" t="s">
        <v>295</v>
      </c>
      <c r="D923" s="21" t="s">
        <v>171</v>
      </c>
      <c r="E923" s="21" t="s">
        <v>625</v>
      </c>
      <c r="F923" s="21" t="s">
        <v>196</v>
      </c>
      <c r="G923" s="27">
        <f t="shared" si="5"/>
        <v>87.1</v>
      </c>
      <c r="H923" s="207"/>
    </row>
    <row r="924" spans="1:8" ht="63">
      <c r="A924" s="26" t="s">
        <v>235</v>
      </c>
      <c r="B924" s="17">
        <v>908</v>
      </c>
      <c r="C924" s="21" t="s">
        <v>295</v>
      </c>
      <c r="D924" s="21" t="s">
        <v>171</v>
      </c>
      <c r="E924" s="21" t="s">
        <v>625</v>
      </c>
      <c r="F924" s="21" t="s">
        <v>211</v>
      </c>
      <c r="G924" s="27">
        <v>87.1</v>
      </c>
      <c r="H924" s="207"/>
    </row>
    <row r="925" spans="1:8" ht="31.5">
      <c r="A925" s="20" t="s">
        <v>626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7"/>
    </row>
    <row r="926" spans="1:8" ht="15.75">
      <c r="A926" s="24" t="s">
        <v>168</v>
      </c>
      <c r="B926" s="20">
        <v>910</v>
      </c>
      <c r="C926" s="25" t="s">
        <v>169</v>
      </c>
      <c r="D926" s="25"/>
      <c r="E926" s="25"/>
      <c r="F926" s="25"/>
      <c r="G926" s="22">
        <f>G927+G935+G945+G953</f>
        <v>7042.5</v>
      </c>
      <c r="H926" s="207"/>
    </row>
    <row r="927" spans="1:8" ht="47.25">
      <c r="A927" s="24" t="s">
        <v>627</v>
      </c>
      <c r="B927" s="20">
        <v>910</v>
      </c>
      <c r="C927" s="25" t="s">
        <v>169</v>
      </c>
      <c r="D927" s="25" t="s">
        <v>264</v>
      </c>
      <c r="E927" s="25"/>
      <c r="F927" s="25"/>
      <c r="G927" s="22">
        <f>G928</f>
        <v>4188.8</v>
      </c>
      <c r="H927" s="207"/>
    </row>
    <row r="928" spans="1:8" ht="15.75">
      <c r="A928" s="26" t="s">
        <v>172</v>
      </c>
      <c r="B928" s="17">
        <v>910</v>
      </c>
      <c r="C928" s="21" t="s">
        <v>169</v>
      </c>
      <c r="D928" s="21" t="s">
        <v>264</v>
      </c>
      <c r="E928" s="21" t="s">
        <v>173</v>
      </c>
      <c r="F928" s="21"/>
      <c r="G928" s="27">
        <f>G929</f>
        <v>4188.8</v>
      </c>
      <c r="H928" s="207"/>
    </row>
    <row r="929" spans="1:8" ht="31.5">
      <c r="A929" s="26" t="s">
        <v>174</v>
      </c>
      <c r="B929" s="17">
        <v>910</v>
      </c>
      <c r="C929" s="21" t="s">
        <v>169</v>
      </c>
      <c r="D929" s="21" t="s">
        <v>264</v>
      </c>
      <c r="E929" s="21" t="s">
        <v>175</v>
      </c>
      <c r="F929" s="21"/>
      <c r="G929" s="27">
        <f>G930</f>
        <v>4188.8</v>
      </c>
      <c r="H929" s="207"/>
    </row>
    <row r="930" spans="1:8" ht="47.25">
      <c r="A930" s="26" t="s">
        <v>628</v>
      </c>
      <c r="B930" s="17">
        <v>910</v>
      </c>
      <c r="C930" s="21" t="s">
        <v>169</v>
      </c>
      <c r="D930" s="21" t="s">
        <v>264</v>
      </c>
      <c r="E930" s="21" t="s">
        <v>629</v>
      </c>
      <c r="F930" s="21"/>
      <c r="G930" s="27">
        <f>G931+G933</f>
        <v>4188.8</v>
      </c>
      <c r="H930" s="207"/>
    </row>
    <row r="931" spans="1:8" ht="94.5">
      <c r="A931" s="26" t="s">
        <v>178</v>
      </c>
      <c r="B931" s="17">
        <v>910</v>
      </c>
      <c r="C931" s="21" t="s">
        <v>169</v>
      </c>
      <c r="D931" s="21" t="s">
        <v>264</v>
      </c>
      <c r="E931" s="21" t="s">
        <v>629</v>
      </c>
      <c r="F931" s="21" t="s">
        <v>179</v>
      </c>
      <c r="G931" s="27">
        <f>G932+G933</f>
        <v>4188.8</v>
      </c>
      <c r="H931" s="207"/>
    </row>
    <row r="932" spans="1:10" ht="31.5">
      <c r="A932" s="26" t="s">
        <v>180</v>
      </c>
      <c r="B932" s="17">
        <v>910</v>
      </c>
      <c r="C932" s="21" t="s">
        <v>169</v>
      </c>
      <c r="D932" s="21" t="s">
        <v>264</v>
      </c>
      <c r="E932" s="21" t="s">
        <v>629</v>
      </c>
      <c r="F932" s="21" t="s">
        <v>181</v>
      </c>
      <c r="G932" s="28">
        <v>4188.8</v>
      </c>
      <c r="H932" s="207"/>
      <c r="J932" s="200" t="s">
        <v>847</v>
      </c>
    </row>
    <row r="933" spans="1:8" ht="47.25" hidden="1">
      <c r="A933" s="26" t="s">
        <v>249</v>
      </c>
      <c r="B933" s="17">
        <v>910</v>
      </c>
      <c r="C933" s="21" t="s">
        <v>169</v>
      </c>
      <c r="D933" s="21" t="s">
        <v>264</v>
      </c>
      <c r="E933" s="21" t="s">
        <v>629</v>
      </c>
      <c r="F933" s="21" t="s">
        <v>183</v>
      </c>
      <c r="G933" s="27">
        <f>G934</f>
        <v>0</v>
      </c>
      <c r="H933" s="207"/>
    </row>
    <row r="934" spans="1:8" ht="47.25" hidden="1">
      <c r="A934" s="26" t="s">
        <v>184</v>
      </c>
      <c r="B934" s="17">
        <v>910</v>
      </c>
      <c r="C934" s="21" t="s">
        <v>169</v>
      </c>
      <c r="D934" s="21" t="s">
        <v>264</v>
      </c>
      <c r="E934" s="21" t="s">
        <v>629</v>
      </c>
      <c r="F934" s="21" t="s">
        <v>185</v>
      </c>
      <c r="G934" s="27"/>
      <c r="H934" s="207"/>
    </row>
    <row r="935" spans="1:8" ht="78.75">
      <c r="A935" s="24" t="s">
        <v>630</v>
      </c>
      <c r="B935" s="20">
        <v>910</v>
      </c>
      <c r="C935" s="25" t="s">
        <v>169</v>
      </c>
      <c r="D935" s="25" t="s">
        <v>266</v>
      </c>
      <c r="E935" s="25"/>
      <c r="F935" s="25"/>
      <c r="G935" s="22">
        <f>G936</f>
        <v>1138.7</v>
      </c>
      <c r="H935" s="207"/>
    </row>
    <row r="936" spans="1:8" ht="15.75">
      <c r="A936" s="26" t="s">
        <v>172</v>
      </c>
      <c r="B936" s="17">
        <v>910</v>
      </c>
      <c r="C936" s="21" t="s">
        <v>169</v>
      </c>
      <c r="D936" s="21" t="s">
        <v>266</v>
      </c>
      <c r="E936" s="21" t="s">
        <v>173</v>
      </c>
      <c r="F936" s="25"/>
      <c r="G936" s="27">
        <f>G937</f>
        <v>1138.7</v>
      </c>
      <c r="H936" s="207"/>
    </row>
    <row r="937" spans="1:8" ht="31.5">
      <c r="A937" s="26" t="s">
        <v>174</v>
      </c>
      <c r="B937" s="17">
        <v>910</v>
      </c>
      <c r="C937" s="21" t="s">
        <v>169</v>
      </c>
      <c r="D937" s="21" t="s">
        <v>266</v>
      </c>
      <c r="E937" s="21" t="s">
        <v>175</v>
      </c>
      <c r="F937" s="25"/>
      <c r="G937" s="27">
        <f>G938</f>
        <v>1138.7</v>
      </c>
      <c r="H937" s="207"/>
    </row>
    <row r="938" spans="1:8" ht="47.25">
      <c r="A938" s="26" t="s">
        <v>631</v>
      </c>
      <c r="B938" s="17">
        <v>910</v>
      </c>
      <c r="C938" s="21" t="s">
        <v>169</v>
      </c>
      <c r="D938" s="21" t="s">
        <v>266</v>
      </c>
      <c r="E938" s="21" t="s">
        <v>632</v>
      </c>
      <c r="F938" s="21"/>
      <c r="G938" s="27">
        <f>G939+G941+G943</f>
        <v>1138.7</v>
      </c>
      <c r="H938" s="207"/>
    </row>
    <row r="939" spans="1:8" ht="94.5">
      <c r="A939" s="26" t="s">
        <v>178</v>
      </c>
      <c r="B939" s="17">
        <v>910</v>
      </c>
      <c r="C939" s="21" t="s">
        <v>169</v>
      </c>
      <c r="D939" s="21" t="s">
        <v>266</v>
      </c>
      <c r="E939" s="21" t="s">
        <v>632</v>
      </c>
      <c r="F939" s="21" t="s">
        <v>179</v>
      </c>
      <c r="G939" s="27">
        <f>G940</f>
        <v>1003.7</v>
      </c>
      <c r="H939" s="207"/>
    </row>
    <row r="940" spans="1:8" ht="31.5">
      <c r="A940" s="26" t="s">
        <v>180</v>
      </c>
      <c r="B940" s="17">
        <v>910</v>
      </c>
      <c r="C940" s="21" t="s">
        <v>169</v>
      </c>
      <c r="D940" s="21" t="s">
        <v>266</v>
      </c>
      <c r="E940" s="21" t="s">
        <v>632</v>
      </c>
      <c r="F940" s="21" t="s">
        <v>181</v>
      </c>
      <c r="G940" s="27">
        <v>1003.7</v>
      </c>
      <c r="H940" s="207"/>
    </row>
    <row r="941" spans="1:8" ht="47.25">
      <c r="A941" s="26" t="s">
        <v>249</v>
      </c>
      <c r="B941" s="17">
        <v>910</v>
      </c>
      <c r="C941" s="21" t="s">
        <v>169</v>
      </c>
      <c r="D941" s="21" t="s">
        <v>266</v>
      </c>
      <c r="E941" s="21" t="s">
        <v>632</v>
      </c>
      <c r="F941" s="21" t="s">
        <v>183</v>
      </c>
      <c r="G941" s="27">
        <f>G942</f>
        <v>135</v>
      </c>
      <c r="H941" s="207"/>
    </row>
    <row r="942" spans="1:8" ht="47.25">
      <c r="A942" s="26" t="s">
        <v>184</v>
      </c>
      <c r="B942" s="17">
        <v>910</v>
      </c>
      <c r="C942" s="21" t="s">
        <v>169</v>
      </c>
      <c r="D942" s="21" t="s">
        <v>266</v>
      </c>
      <c r="E942" s="21" t="s">
        <v>632</v>
      </c>
      <c r="F942" s="21" t="s">
        <v>185</v>
      </c>
      <c r="G942" s="27">
        <v>135</v>
      </c>
      <c r="H942" s="207"/>
    </row>
    <row r="943" spans="1:8" ht="15.75" hidden="1">
      <c r="A943" s="26" t="s">
        <v>186</v>
      </c>
      <c r="B943" s="17">
        <v>910</v>
      </c>
      <c r="C943" s="21" t="s">
        <v>169</v>
      </c>
      <c r="D943" s="21" t="s">
        <v>266</v>
      </c>
      <c r="E943" s="21" t="s">
        <v>632</v>
      </c>
      <c r="F943" s="21" t="s">
        <v>196</v>
      </c>
      <c r="G943" s="27">
        <f>G944</f>
        <v>0</v>
      </c>
      <c r="H943" s="207"/>
    </row>
    <row r="944" spans="1:8" ht="15.75" hidden="1">
      <c r="A944" s="26" t="s">
        <v>620</v>
      </c>
      <c r="B944" s="17">
        <v>910</v>
      </c>
      <c r="C944" s="21" t="s">
        <v>169</v>
      </c>
      <c r="D944" s="21" t="s">
        <v>266</v>
      </c>
      <c r="E944" s="21" t="s">
        <v>632</v>
      </c>
      <c r="F944" s="21" t="s">
        <v>189</v>
      </c>
      <c r="G944" s="27">
        <v>0</v>
      </c>
      <c r="H944" s="207"/>
    </row>
    <row r="945" spans="1:8" ht="63">
      <c r="A945" s="24" t="s">
        <v>170</v>
      </c>
      <c r="B945" s="20">
        <v>910</v>
      </c>
      <c r="C945" s="25" t="s">
        <v>169</v>
      </c>
      <c r="D945" s="25" t="s">
        <v>171</v>
      </c>
      <c r="E945" s="25"/>
      <c r="F945" s="25"/>
      <c r="G945" s="22">
        <f>G946</f>
        <v>1682.5</v>
      </c>
      <c r="H945" s="207"/>
    </row>
    <row r="946" spans="1:9" s="136" customFormat="1" ht="15.75">
      <c r="A946" s="26" t="s">
        <v>172</v>
      </c>
      <c r="B946" s="17">
        <v>910</v>
      </c>
      <c r="C946" s="21" t="s">
        <v>169</v>
      </c>
      <c r="D946" s="21" t="s">
        <v>171</v>
      </c>
      <c r="E946" s="21" t="s">
        <v>173</v>
      </c>
      <c r="F946" s="21"/>
      <c r="G946" s="27">
        <f>G947</f>
        <v>1682.5</v>
      </c>
      <c r="H946" s="207"/>
      <c r="I946" s="154"/>
    </row>
    <row r="947" spans="1:9" s="136" customFormat="1" ht="31.5">
      <c r="A947" s="26" t="s">
        <v>174</v>
      </c>
      <c r="B947" s="17">
        <v>910</v>
      </c>
      <c r="C947" s="21" t="s">
        <v>169</v>
      </c>
      <c r="D947" s="21" t="s">
        <v>171</v>
      </c>
      <c r="E947" s="21" t="s">
        <v>175</v>
      </c>
      <c r="F947" s="21"/>
      <c r="G947" s="27">
        <f>G948</f>
        <v>1682.5</v>
      </c>
      <c r="H947" s="207"/>
      <c r="I947" s="154"/>
    </row>
    <row r="948" spans="1:9" s="136" customFormat="1" ht="47.25">
      <c r="A948" s="26" t="s">
        <v>176</v>
      </c>
      <c r="B948" s="17">
        <v>910</v>
      </c>
      <c r="C948" s="21" t="s">
        <v>169</v>
      </c>
      <c r="D948" s="21" t="s">
        <v>171</v>
      </c>
      <c r="E948" s="21" t="s">
        <v>177</v>
      </c>
      <c r="F948" s="21"/>
      <c r="G948" s="27">
        <f>G949+G951</f>
        <v>1682.5</v>
      </c>
      <c r="H948" s="207"/>
      <c r="I948" s="154"/>
    </row>
    <row r="949" spans="1:8" ht="94.5">
      <c r="A949" s="26" t="s">
        <v>178</v>
      </c>
      <c r="B949" s="17">
        <v>910</v>
      </c>
      <c r="C949" s="21" t="s">
        <v>169</v>
      </c>
      <c r="D949" s="21" t="s">
        <v>171</v>
      </c>
      <c r="E949" s="21" t="s">
        <v>177</v>
      </c>
      <c r="F949" s="21" t="s">
        <v>179</v>
      </c>
      <c r="G949" s="27">
        <f>G950</f>
        <v>1664.2</v>
      </c>
      <c r="H949" s="207"/>
    </row>
    <row r="950" spans="1:10" ht="31.5">
      <c r="A950" s="26" t="s">
        <v>180</v>
      </c>
      <c r="B950" s="17">
        <v>910</v>
      </c>
      <c r="C950" s="21" t="s">
        <v>169</v>
      </c>
      <c r="D950" s="21" t="s">
        <v>171</v>
      </c>
      <c r="E950" s="21" t="s">
        <v>177</v>
      </c>
      <c r="F950" s="21" t="s">
        <v>181</v>
      </c>
      <c r="G950" s="27">
        <v>1664.2</v>
      </c>
      <c r="H950" s="207"/>
      <c r="J950" s="203" t="s">
        <v>848</v>
      </c>
    </row>
    <row r="951" spans="1:8" ht="47.25">
      <c r="A951" s="26" t="s">
        <v>249</v>
      </c>
      <c r="B951" s="17">
        <v>910</v>
      </c>
      <c r="C951" s="21" t="s">
        <v>169</v>
      </c>
      <c r="D951" s="21" t="s">
        <v>171</v>
      </c>
      <c r="E951" s="21" t="s">
        <v>177</v>
      </c>
      <c r="F951" s="21" t="s">
        <v>183</v>
      </c>
      <c r="G951" s="27">
        <f>G952</f>
        <v>18.3</v>
      </c>
      <c r="H951" s="207"/>
    </row>
    <row r="952" spans="1:8" ht="47.25">
      <c r="A952" s="26" t="s">
        <v>184</v>
      </c>
      <c r="B952" s="17">
        <v>910</v>
      </c>
      <c r="C952" s="21" t="s">
        <v>169</v>
      </c>
      <c r="D952" s="21" t="s">
        <v>171</v>
      </c>
      <c r="E952" s="21" t="s">
        <v>177</v>
      </c>
      <c r="F952" s="21" t="s">
        <v>185</v>
      </c>
      <c r="G952" s="27">
        <v>18.3</v>
      </c>
      <c r="H952" s="207"/>
    </row>
    <row r="953" spans="1:8" ht="15.75">
      <c r="A953" s="24" t="s">
        <v>190</v>
      </c>
      <c r="B953" s="20">
        <v>910</v>
      </c>
      <c r="C953" s="25" t="s">
        <v>169</v>
      </c>
      <c r="D953" s="25" t="s">
        <v>191</v>
      </c>
      <c r="E953" s="134"/>
      <c r="F953" s="21"/>
      <c r="G953" s="22">
        <f>G954+G958</f>
        <v>32.5</v>
      </c>
      <c r="H953" s="207"/>
    </row>
    <row r="954" spans="1:8" ht="47.25">
      <c r="A954" s="26" t="s">
        <v>212</v>
      </c>
      <c r="B954" s="17">
        <v>910</v>
      </c>
      <c r="C954" s="21" t="s">
        <v>169</v>
      </c>
      <c r="D954" s="21" t="s">
        <v>191</v>
      </c>
      <c r="E954" s="21" t="s">
        <v>213</v>
      </c>
      <c r="F954" s="21"/>
      <c r="G954" s="27">
        <f>G955</f>
        <v>0.5</v>
      </c>
      <c r="H954" s="207"/>
    </row>
    <row r="955" spans="1:8" ht="63">
      <c r="A955" s="33" t="s">
        <v>773</v>
      </c>
      <c r="B955" s="17">
        <v>910</v>
      </c>
      <c r="C955" s="21" t="s">
        <v>169</v>
      </c>
      <c r="D955" s="21" t="s">
        <v>191</v>
      </c>
      <c r="E955" s="42" t="s">
        <v>774</v>
      </c>
      <c r="F955" s="21"/>
      <c r="G955" s="27">
        <f>G956</f>
        <v>0.5</v>
      </c>
      <c r="H955" s="207"/>
    </row>
    <row r="956" spans="1:8" ht="31.5">
      <c r="A956" s="26" t="s">
        <v>182</v>
      </c>
      <c r="B956" s="17">
        <v>910</v>
      </c>
      <c r="C956" s="21" t="s">
        <v>169</v>
      </c>
      <c r="D956" s="21" t="s">
        <v>191</v>
      </c>
      <c r="E956" s="42" t="s">
        <v>774</v>
      </c>
      <c r="F956" s="21" t="s">
        <v>183</v>
      </c>
      <c r="G956" s="27">
        <f>G957</f>
        <v>0.5</v>
      </c>
      <c r="H956" s="207"/>
    </row>
    <row r="957" spans="1:8" ht="47.25">
      <c r="A957" s="26" t="s">
        <v>184</v>
      </c>
      <c r="B957" s="17">
        <v>910</v>
      </c>
      <c r="C957" s="21" t="s">
        <v>169</v>
      </c>
      <c r="D957" s="21" t="s">
        <v>191</v>
      </c>
      <c r="E957" s="42" t="s">
        <v>774</v>
      </c>
      <c r="F957" s="21" t="s">
        <v>185</v>
      </c>
      <c r="G957" s="27">
        <v>0.5</v>
      </c>
      <c r="H957" s="207"/>
    </row>
    <row r="958" spans="1:8" ht="15.75">
      <c r="A958" s="33" t="s">
        <v>172</v>
      </c>
      <c r="B958" s="17">
        <v>910</v>
      </c>
      <c r="C958" s="21" t="s">
        <v>169</v>
      </c>
      <c r="D958" s="21" t="s">
        <v>191</v>
      </c>
      <c r="E958" s="21" t="s">
        <v>173</v>
      </c>
      <c r="F958" s="21"/>
      <c r="G958" s="27">
        <f>G959</f>
        <v>32</v>
      </c>
      <c r="H958" s="207"/>
    </row>
    <row r="959" spans="1:8" ht="31.5">
      <c r="A959" s="33" t="s">
        <v>236</v>
      </c>
      <c r="B959" s="17">
        <v>910</v>
      </c>
      <c r="C959" s="21" t="s">
        <v>169</v>
      </c>
      <c r="D959" s="21" t="s">
        <v>191</v>
      </c>
      <c r="E959" s="21" t="s">
        <v>237</v>
      </c>
      <c r="F959" s="21"/>
      <c r="G959" s="27">
        <f>G960</f>
        <v>32</v>
      </c>
      <c r="H959" s="207"/>
    </row>
    <row r="960" spans="1:8" ht="63">
      <c r="A960" s="33" t="s">
        <v>773</v>
      </c>
      <c r="B960" s="17">
        <v>910</v>
      </c>
      <c r="C960" s="21" t="s">
        <v>169</v>
      </c>
      <c r="D960" s="21" t="s">
        <v>191</v>
      </c>
      <c r="E960" s="21" t="s">
        <v>775</v>
      </c>
      <c r="F960" s="21"/>
      <c r="G960" s="27">
        <f>G961</f>
        <v>32</v>
      </c>
      <c r="H960" s="207"/>
    </row>
    <row r="961" spans="1:8" ht="31.5">
      <c r="A961" s="26" t="s">
        <v>182</v>
      </c>
      <c r="B961" s="17">
        <v>910</v>
      </c>
      <c r="C961" s="21" t="s">
        <v>169</v>
      </c>
      <c r="D961" s="21" t="s">
        <v>191</v>
      </c>
      <c r="E961" s="21" t="s">
        <v>775</v>
      </c>
      <c r="F961" s="21" t="s">
        <v>183</v>
      </c>
      <c r="G961" s="27">
        <f>G962</f>
        <v>32</v>
      </c>
      <c r="H961" s="207"/>
    </row>
    <row r="962" spans="1:8" ht="47.25">
      <c r="A962" s="26" t="s">
        <v>184</v>
      </c>
      <c r="B962" s="17">
        <v>910</v>
      </c>
      <c r="C962" s="21" t="s">
        <v>169</v>
      </c>
      <c r="D962" s="21" t="s">
        <v>191</v>
      </c>
      <c r="E962" s="21" t="s">
        <v>775</v>
      </c>
      <c r="F962" s="21" t="s">
        <v>185</v>
      </c>
      <c r="G962" s="27">
        <v>32</v>
      </c>
      <c r="H962" s="135"/>
    </row>
    <row r="963" spans="1:8" ht="31.5">
      <c r="A963" s="24" t="s">
        <v>633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7"/>
    </row>
    <row r="964" spans="1:8" ht="15.75">
      <c r="A964" s="24" t="s">
        <v>634</v>
      </c>
      <c r="B964" s="20">
        <v>913</v>
      </c>
      <c r="C964" s="25" t="s">
        <v>289</v>
      </c>
      <c r="D964" s="21"/>
      <c r="E964" s="21"/>
      <c r="F964" s="21"/>
      <c r="G964" s="27">
        <f>G965</f>
        <v>6309.8</v>
      </c>
      <c r="H964" s="207"/>
    </row>
    <row r="965" spans="1:8" ht="15.75">
      <c r="A965" s="24" t="s">
        <v>635</v>
      </c>
      <c r="B965" s="20">
        <v>913</v>
      </c>
      <c r="C965" s="25" t="s">
        <v>289</v>
      </c>
      <c r="D965" s="25" t="s">
        <v>264</v>
      </c>
      <c r="E965" s="25"/>
      <c r="F965" s="25"/>
      <c r="G965" s="27">
        <f>G966</f>
        <v>6309.8</v>
      </c>
      <c r="H965" s="207"/>
    </row>
    <row r="966" spans="1:8" ht="15.75">
      <c r="A966" s="26" t="s">
        <v>172</v>
      </c>
      <c r="B966" s="17">
        <v>913</v>
      </c>
      <c r="C966" s="21" t="s">
        <v>289</v>
      </c>
      <c r="D966" s="21" t="s">
        <v>264</v>
      </c>
      <c r="E966" s="21" t="s">
        <v>173</v>
      </c>
      <c r="F966" s="21"/>
      <c r="G966" s="27">
        <f>G967</f>
        <v>6309.8</v>
      </c>
      <c r="H966" s="207"/>
    </row>
    <row r="967" spans="1:8" ht="31.5">
      <c r="A967" s="26" t="s">
        <v>636</v>
      </c>
      <c r="B967" s="17">
        <v>913</v>
      </c>
      <c r="C967" s="21" t="s">
        <v>289</v>
      </c>
      <c r="D967" s="21" t="s">
        <v>264</v>
      </c>
      <c r="E967" s="21" t="s">
        <v>637</v>
      </c>
      <c r="F967" s="21"/>
      <c r="G967" s="27">
        <f>G968</f>
        <v>6309.8</v>
      </c>
      <c r="H967" s="207"/>
    </row>
    <row r="968" spans="1:8" ht="31.5">
      <c r="A968" s="26" t="s">
        <v>361</v>
      </c>
      <c r="B968" s="17">
        <v>913</v>
      </c>
      <c r="C968" s="21" t="s">
        <v>289</v>
      </c>
      <c r="D968" s="21" t="s">
        <v>264</v>
      </c>
      <c r="E968" s="21" t="s">
        <v>638</v>
      </c>
      <c r="F968" s="21"/>
      <c r="G968" s="27">
        <f>G969+G971+G973</f>
        <v>6309.8</v>
      </c>
      <c r="H968" s="207"/>
    </row>
    <row r="969" spans="1:8" ht="94.5">
      <c r="A969" s="26" t="s">
        <v>178</v>
      </c>
      <c r="B969" s="17">
        <v>913</v>
      </c>
      <c r="C969" s="21" t="s">
        <v>289</v>
      </c>
      <c r="D969" s="21" t="s">
        <v>264</v>
      </c>
      <c r="E969" s="21" t="s">
        <v>638</v>
      </c>
      <c r="F969" s="21" t="s">
        <v>179</v>
      </c>
      <c r="G969" s="27">
        <f>G970</f>
        <v>5371.7</v>
      </c>
      <c r="H969" s="207"/>
    </row>
    <row r="970" spans="1:8" ht="31.5">
      <c r="A970" s="26" t="s">
        <v>259</v>
      </c>
      <c r="B970" s="17">
        <v>913</v>
      </c>
      <c r="C970" s="21" t="s">
        <v>289</v>
      </c>
      <c r="D970" s="21" t="s">
        <v>264</v>
      </c>
      <c r="E970" s="21" t="s">
        <v>638</v>
      </c>
      <c r="F970" s="21" t="s">
        <v>260</v>
      </c>
      <c r="G970" s="28">
        <v>5371.7</v>
      </c>
      <c r="H970" s="207"/>
    </row>
    <row r="971" spans="1:8" ht="31.5">
      <c r="A971" s="26" t="s">
        <v>182</v>
      </c>
      <c r="B971" s="17">
        <v>913</v>
      </c>
      <c r="C971" s="21" t="s">
        <v>289</v>
      </c>
      <c r="D971" s="21" t="s">
        <v>264</v>
      </c>
      <c r="E971" s="21" t="s">
        <v>638</v>
      </c>
      <c r="F971" s="21" t="s">
        <v>183</v>
      </c>
      <c r="G971" s="27">
        <f>G972</f>
        <v>928.1</v>
      </c>
      <c r="H971" s="207"/>
    </row>
    <row r="972" spans="1:9" ht="47.25">
      <c r="A972" s="26" t="s">
        <v>184</v>
      </c>
      <c r="B972" s="17">
        <v>913</v>
      </c>
      <c r="C972" s="21" t="s">
        <v>289</v>
      </c>
      <c r="D972" s="21" t="s">
        <v>264</v>
      </c>
      <c r="E972" s="21" t="s">
        <v>638</v>
      </c>
      <c r="F972" s="21" t="s">
        <v>185</v>
      </c>
      <c r="G972" s="28">
        <f>898.3+28.1+1.7</f>
        <v>928.1</v>
      </c>
      <c r="H972" s="130"/>
      <c r="I972" s="151"/>
    </row>
    <row r="973" spans="1:8" ht="15.75">
      <c r="A973" s="26" t="s">
        <v>186</v>
      </c>
      <c r="B973" s="17">
        <v>913</v>
      </c>
      <c r="C973" s="21" t="s">
        <v>289</v>
      </c>
      <c r="D973" s="21" t="s">
        <v>264</v>
      </c>
      <c r="E973" s="21" t="s">
        <v>638</v>
      </c>
      <c r="F973" s="21" t="s">
        <v>196</v>
      </c>
      <c r="G973" s="27">
        <f>G974</f>
        <v>10</v>
      </c>
      <c r="H973" s="207"/>
    </row>
    <row r="974" spans="1:8" ht="15.75">
      <c r="A974" s="26" t="s">
        <v>620</v>
      </c>
      <c r="B974" s="17">
        <v>913</v>
      </c>
      <c r="C974" s="21" t="s">
        <v>289</v>
      </c>
      <c r="D974" s="21" t="s">
        <v>264</v>
      </c>
      <c r="E974" s="21" t="s">
        <v>638</v>
      </c>
      <c r="F974" s="21" t="s">
        <v>189</v>
      </c>
      <c r="G974" s="27">
        <v>10</v>
      </c>
      <c r="H974" s="207"/>
    </row>
    <row r="975" spans="1:12" ht="18.75">
      <c r="A975" s="50" t="s">
        <v>639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7"/>
      <c r="L975" s="140"/>
    </row>
    <row r="976" spans="1:9" ht="15">
      <c r="A976" s="52"/>
      <c r="B976" s="52"/>
      <c r="C976" s="52"/>
      <c r="D976" s="52"/>
      <c r="E976" s="52"/>
      <c r="F976" s="52"/>
      <c r="G976" s="52"/>
      <c r="I976" s="138"/>
    </row>
    <row r="977" spans="1:7" ht="18.75">
      <c r="A977" s="52"/>
      <c r="B977" s="52"/>
      <c r="C977" s="53"/>
      <c r="D977" s="53"/>
      <c r="E977" s="53"/>
      <c r="F977" s="126" t="s">
        <v>640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6" t="s">
        <v>641</v>
      </c>
      <c r="G978" s="54">
        <f>G98+G180+G186+G208+G214+G261+G273+G338+G444+G480+G494+G527+G581+G640+G694+G787+G827+G879+G623+G959</f>
        <v>204531.10000000003</v>
      </c>
      <c r="I978" s="142"/>
    </row>
    <row r="979" spans="1:7" ht="15.75">
      <c r="A979" s="52"/>
      <c r="B979" s="52"/>
      <c r="C979" s="53"/>
      <c r="D979" s="55"/>
      <c r="E979" s="55"/>
      <c r="F979" s="55"/>
      <c r="G979" s="127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9"/>
      <c r="I981" s="143" t="e">
        <f>'прил.№2 Рд,пр'!D10</f>
        <v>#REF!</v>
      </c>
      <c r="L981" s="129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9"/>
      <c r="I982" s="143">
        <v>0</v>
      </c>
      <c r="L982" s="129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29"/>
      <c r="I983" s="143" t="e">
        <f>'прил.№2 Рд,пр'!D19</f>
        <v>#REF!</v>
      </c>
      <c r="L983" s="129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9"/>
      <c r="I984" s="143" t="e">
        <f>'прил.№2 Рд,пр'!D21</f>
        <v>#REF!</v>
      </c>
      <c r="L984" s="129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9"/>
      <c r="I985" s="143" t="e">
        <f>'прил.№2 Рд,пр'!D26</f>
        <v>#REF!</v>
      </c>
      <c r="L985" s="129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9"/>
      <c r="I986" s="143" t="e">
        <f>'прил.№2 Рд,пр'!D31</f>
        <v>#REF!</v>
      </c>
      <c r="L986" s="129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9"/>
      <c r="I987" s="143" t="e">
        <f>'прил.№2 Рд,пр'!D37</f>
        <v>#REF!</v>
      </c>
      <c r="L987" s="129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9"/>
      <c r="I988" s="143" t="e">
        <f>'прил.№2 Рд,пр'!D40</f>
        <v>#REF!</v>
      </c>
      <c r="L988" s="129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29"/>
      <c r="I989" s="143" t="e">
        <f>'прил.№2 Рд,пр'!D45</f>
        <v>#REF!</v>
      </c>
      <c r="L989" s="129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9"/>
      <c r="I990" s="143" t="e">
        <f>'прил.№2 Рд,пр'!D48</f>
        <v>#REF!</v>
      </c>
      <c r="L990" s="129"/>
    </row>
    <row r="991" spans="1:12" ht="15.75">
      <c r="A991" s="52"/>
      <c r="B991" s="52"/>
      <c r="C991" s="57"/>
      <c r="D991" s="55"/>
      <c r="E991" s="55"/>
      <c r="F991" s="55"/>
      <c r="G991" s="128">
        <f>SUM(G981:G990)</f>
        <v>665442.1900000002</v>
      </c>
      <c r="H991" s="129"/>
      <c r="I991" s="143" t="e">
        <f>'прил.№2 Рд,пр'!D50</f>
        <v>#REF!</v>
      </c>
      <c r="L991" s="129"/>
    </row>
    <row r="992" spans="7:9" ht="15">
      <c r="G992" s="129"/>
      <c r="H992" s="129"/>
      <c r="I992" s="143"/>
    </row>
    <row r="993" spans="4:9" ht="15">
      <c r="D993" s="1" t="s">
        <v>642</v>
      </c>
      <c r="E993" s="1">
        <v>50</v>
      </c>
      <c r="G993" s="129">
        <f>G778</f>
        <v>15124.1</v>
      </c>
      <c r="H993" s="129"/>
      <c r="I993" s="143"/>
    </row>
    <row r="994" spans="5:9" ht="15">
      <c r="E994" s="1">
        <v>51</v>
      </c>
      <c r="G994" s="129">
        <f>G390</f>
        <v>3693</v>
      </c>
      <c r="H994" s="129"/>
      <c r="I994" s="143"/>
    </row>
    <row r="995" spans="5:9" ht="15">
      <c r="E995" s="1">
        <v>52</v>
      </c>
      <c r="G995" s="129">
        <f>G508+G547+G634+G613</f>
        <v>89244.70000000001</v>
      </c>
      <c r="H995" s="129"/>
      <c r="I995" s="143"/>
    </row>
    <row r="996" spans="5:9" ht="15">
      <c r="E996" s="1">
        <v>53</v>
      </c>
      <c r="G996" s="129">
        <f>G57</f>
        <v>250</v>
      </c>
      <c r="H996" s="129"/>
      <c r="I996" s="143"/>
    </row>
    <row r="997" spans="5:9" ht="15">
      <c r="E997" s="1">
        <v>54</v>
      </c>
      <c r="G997" s="129">
        <f>G61+G954</f>
        <v>654</v>
      </c>
      <c r="H997" s="129"/>
      <c r="I997" s="143"/>
    </row>
    <row r="998" spans="5:9" ht="15">
      <c r="E998" s="1">
        <v>55</v>
      </c>
      <c r="G998" s="129">
        <f>G203</f>
        <v>10</v>
      </c>
      <c r="H998" s="129"/>
      <c r="I998" s="143"/>
    </row>
    <row r="999" spans="5:9" ht="15">
      <c r="E999" s="1">
        <v>56</v>
      </c>
      <c r="G999" s="129">
        <f>G73</f>
        <v>80</v>
      </c>
      <c r="H999" s="129"/>
      <c r="I999" s="143"/>
    </row>
    <row r="1000" spans="5:9" ht="15">
      <c r="E1000" s="1">
        <v>57</v>
      </c>
      <c r="G1000" s="129">
        <f>G726+G706+G676</f>
        <v>36478.9</v>
      </c>
      <c r="H1000" s="129"/>
      <c r="I1000" s="143"/>
    </row>
    <row r="1001" spans="5:9" ht="15">
      <c r="E1001" s="1">
        <v>58</v>
      </c>
      <c r="G1001" s="129">
        <f>G279+G237</f>
        <v>58528.700000000004</v>
      </c>
      <c r="H1001" s="129"/>
      <c r="I1001" s="143"/>
    </row>
    <row r="1002" spans="5:9" ht="15">
      <c r="E1002" s="1">
        <v>59</v>
      </c>
      <c r="G1002" s="129">
        <f>G333</f>
        <v>200</v>
      </c>
      <c r="H1002" s="129"/>
      <c r="I1002" s="143"/>
    </row>
    <row r="1003" spans="5:9" ht="15">
      <c r="E1003" s="1">
        <v>60</v>
      </c>
      <c r="G1003" s="129">
        <f>G848</f>
        <v>12375.499999999998</v>
      </c>
      <c r="H1003" s="129"/>
      <c r="I1003" s="143"/>
    </row>
    <row r="1004" spans="5:9" ht="15">
      <c r="E1004" s="1">
        <v>61</v>
      </c>
      <c r="G1004" s="129">
        <f>G86</f>
        <v>120</v>
      </c>
      <c r="H1004" s="129"/>
      <c r="I1004" s="143"/>
    </row>
    <row r="1005" spans="5:9" ht="15">
      <c r="E1005" s="1">
        <v>62</v>
      </c>
      <c r="G1005" s="129">
        <f>G801</f>
        <v>5567.900000000001</v>
      </c>
      <c r="H1005" s="129"/>
      <c r="I1005" s="143"/>
    </row>
    <row r="1006" spans="5:9" ht="15">
      <c r="E1006" s="1">
        <v>63</v>
      </c>
      <c r="G1006" s="129">
        <f>G359+G646</f>
        <v>145</v>
      </c>
      <c r="H1006" s="129"/>
      <c r="I1006" s="143"/>
    </row>
    <row r="1007" spans="5:9" ht="15">
      <c r="E1007" s="1">
        <v>64</v>
      </c>
      <c r="G1007" s="129">
        <f>G90+G369</f>
        <v>34</v>
      </c>
      <c r="H1007" s="129"/>
      <c r="I1007" s="143"/>
    </row>
    <row r="1008" spans="5:9" ht="15">
      <c r="E1008" s="1">
        <v>65</v>
      </c>
      <c r="G1008" s="129">
        <f>G874</f>
        <v>600</v>
      </c>
      <c r="H1008" s="129"/>
      <c r="I1008" s="143"/>
    </row>
    <row r="1009" spans="7:9" ht="15">
      <c r="G1009" s="129">
        <f>SUM(G993:G1008)</f>
        <v>223105.80000000002</v>
      </c>
      <c r="H1009" s="129"/>
      <c r="I1009" s="143"/>
    </row>
    <row r="1010" spans="7:9" ht="15">
      <c r="G1010" s="129"/>
      <c r="H1010" s="129"/>
      <c r="I1010" s="143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5"/>
  <sheetViews>
    <sheetView view="pageBreakPreview" zoomScale="60" workbookViewId="0" topLeftCell="A4">
      <selection activeCell="R31" sqref="R31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31" hidden="1" customWidth="1"/>
    <col min="10" max="10" width="10.00390625" style="0" hidden="1" customWidth="1"/>
    <col min="11" max="11" width="10.140625" style="0" hidden="1" customWidth="1"/>
    <col min="12" max="12" width="14.00390625" style="1" customWidth="1"/>
    <col min="13" max="13" width="16.28125" style="1" customWidth="1"/>
    <col min="14" max="14" width="12.7109375" style="1" customWidth="1"/>
  </cols>
  <sheetData>
    <row r="1" spans="4:13" ht="18.75">
      <c r="D1" s="1"/>
      <c r="F1" s="59"/>
      <c r="M1" s="379" t="s">
        <v>159</v>
      </c>
    </row>
    <row r="2" spans="4:13" ht="18.75">
      <c r="D2" s="1"/>
      <c r="F2" s="59"/>
      <c r="M2" s="379" t="s">
        <v>1</v>
      </c>
    </row>
    <row r="3" spans="4:14" ht="18.75">
      <c r="D3" s="1"/>
      <c r="E3" s="1"/>
      <c r="F3" s="73"/>
      <c r="G3" s="74"/>
      <c r="L3" s="261"/>
      <c r="M3" s="261"/>
      <c r="N3" s="318"/>
    </row>
    <row r="4" spans="4:14" ht="18.75">
      <c r="D4" s="1"/>
      <c r="E4" s="1"/>
      <c r="F4" s="73"/>
      <c r="G4" s="74"/>
      <c r="L4" s="261"/>
      <c r="M4" s="261"/>
      <c r="N4" s="318"/>
    </row>
    <row r="5" spans="1:14" ht="38.25" customHeight="1">
      <c r="A5" s="391" t="s">
        <v>1047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7" ht="16.5">
      <c r="A6" s="274"/>
      <c r="B6" s="147"/>
      <c r="C6" s="147"/>
      <c r="D6" s="75"/>
      <c r="E6" s="75"/>
      <c r="F6" s="274"/>
      <c r="G6" s="145"/>
    </row>
    <row r="7" spans="1:14" ht="15.75">
      <c r="A7" s="73"/>
      <c r="B7" s="73"/>
      <c r="C7" s="73"/>
      <c r="D7" s="73"/>
      <c r="E7" s="76"/>
      <c r="F7" s="76"/>
      <c r="G7" s="77" t="s">
        <v>2</v>
      </c>
      <c r="L7" s="252"/>
      <c r="M7" s="252"/>
      <c r="N7" s="252"/>
    </row>
    <row r="8" spans="1:14" ht="93.75">
      <c r="A8" s="331" t="s">
        <v>645</v>
      </c>
      <c r="B8" s="331" t="s">
        <v>694</v>
      </c>
      <c r="C8" s="331" t="s">
        <v>695</v>
      </c>
      <c r="D8" s="331" t="s">
        <v>696</v>
      </c>
      <c r="E8" s="331" t="s">
        <v>697</v>
      </c>
      <c r="F8" s="331" t="s">
        <v>698</v>
      </c>
      <c r="G8" s="331" t="s">
        <v>5</v>
      </c>
      <c r="H8" s="331" t="s">
        <v>856</v>
      </c>
      <c r="I8" s="332" t="s">
        <v>867</v>
      </c>
      <c r="J8" s="332" t="s">
        <v>868</v>
      </c>
      <c r="K8" s="332" t="s">
        <v>869</v>
      </c>
      <c r="L8" s="331" t="s">
        <v>1046</v>
      </c>
      <c r="M8" s="333" t="s">
        <v>1043</v>
      </c>
      <c r="N8" s="331" t="s">
        <v>1044</v>
      </c>
    </row>
    <row r="9" spans="1:14" ht="18.75">
      <c r="A9" s="331">
        <v>1</v>
      </c>
      <c r="B9" s="331">
        <v>2</v>
      </c>
      <c r="C9" s="331">
        <v>3</v>
      </c>
      <c r="D9" s="331">
        <v>4</v>
      </c>
      <c r="E9" s="331">
        <v>5</v>
      </c>
      <c r="F9" s="331">
        <v>6</v>
      </c>
      <c r="G9" s="331">
        <v>7</v>
      </c>
      <c r="H9" s="331">
        <v>8</v>
      </c>
      <c r="I9" s="331">
        <v>9</v>
      </c>
      <c r="J9" s="331">
        <v>10</v>
      </c>
      <c r="K9" s="331">
        <v>11</v>
      </c>
      <c r="L9" s="331">
        <v>7</v>
      </c>
      <c r="M9" s="331">
        <v>8</v>
      </c>
      <c r="N9" s="331">
        <v>9</v>
      </c>
    </row>
    <row r="10" spans="1:18" ht="75">
      <c r="A10" s="334" t="s">
        <v>987</v>
      </c>
      <c r="B10" s="335" t="s">
        <v>562</v>
      </c>
      <c r="C10" s="335"/>
      <c r="D10" s="335"/>
      <c r="E10" s="335"/>
      <c r="F10" s="335"/>
      <c r="G10" s="336" t="e">
        <f aca="true" t="shared" si="0" ref="G10:M10">G13</f>
        <v>#REF!</v>
      </c>
      <c r="H10" s="336" t="e">
        <f t="shared" si="0"/>
        <v>#REF!</v>
      </c>
      <c r="I10" s="336" t="e">
        <f t="shared" si="0"/>
        <v>#REF!</v>
      </c>
      <c r="J10" s="336" t="e">
        <f t="shared" si="0"/>
        <v>#REF!</v>
      </c>
      <c r="K10" s="336" t="e">
        <f t="shared" si="0"/>
        <v>#REF!</v>
      </c>
      <c r="L10" s="336">
        <f t="shared" si="0"/>
        <v>5347.3</v>
      </c>
      <c r="M10" s="336">
        <f t="shared" si="0"/>
        <v>4338</v>
      </c>
      <c r="N10" s="336">
        <f>M10/L10*100</f>
        <v>81.12505376545171</v>
      </c>
      <c r="R10" t="s">
        <v>1045</v>
      </c>
    </row>
    <row r="11" spans="1:14" ht="18.75">
      <c r="A11" s="337" t="s">
        <v>283</v>
      </c>
      <c r="B11" s="338" t="s">
        <v>562</v>
      </c>
      <c r="C11" s="338" t="s">
        <v>201</v>
      </c>
      <c r="D11" s="338"/>
      <c r="E11" s="338"/>
      <c r="F11" s="338"/>
      <c r="G11" s="339" t="e">
        <f>G12</f>
        <v>#REF!</v>
      </c>
      <c r="H11" s="339" t="e">
        <f aca="true" t="shared" si="1" ref="H11:M12">H12</f>
        <v>#REF!</v>
      </c>
      <c r="I11" s="339" t="e">
        <f t="shared" si="1"/>
        <v>#REF!</v>
      </c>
      <c r="J11" s="339" t="e">
        <f t="shared" si="1"/>
        <v>#REF!</v>
      </c>
      <c r="K11" s="339" t="e">
        <f t="shared" si="1"/>
        <v>#REF!</v>
      </c>
      <c r="L11" s="339">
        <f t="shared" si="1"/>
        <v>5347.3</v>
      </c>
      <c r="M11" s="339">
        <f t="shared" si="1"/>
        <v>4338</v>
      </c>
      <c r="N11" s="339">
        <f aca="true" t="shared" si="2" ref="N11:N74">M11/L11*100</f>
        <v>81.12505376545171</v>
      </c>
    </row>
    <row r="12" spans="1:14" ht="18.75">
      <c r="A12" s="337" t="s">
        <v>560</v>
      </c>
      <c r="B12" s="338" t="s">
        <v>562</v>
      </c>
      <c r="C12" s="338" t="s">
        <v>201</v>
      </c>
      <c r="D12" s="338" t="s">
        <v>270</v>
      </c>
      <c r="E12" s="338"/>
      <c r="F12" s="338"/>
      <c r="G12" s="339" t="e">
        <f>G13</f>
        <v>#REF!</v>
      </c>
      <c r="H12" s="339" t="e">
        <f t="shared" si="1"/>
        <v>#REF!</v>
      </c>
      <c r="I12" s="339" t="e">
        <f t="shared" si="1"/>
        <v>#REF!</v>
      </c>
      <c r="J12" s="339" t="e">
        <f t="shared" si="1"/>
        <v>#REF!</v>
      </c>
      <c r="K12" s="339" t="e">
        <f t="shared" si="1"/>
        <v>#REF!</v>
      </c>
      <c r="L12" s="339">
        <f t="shared" si="1"/>
        <v>5347.3</v>
      </c>
      <c r="M12" s="339">
        <f t="shared" si="1"/>
        <v>4338</v>
      </c>
      <c r="N12" s="339">
        <f t="shared" si="2"/>
        <v>81.12505376545171</v>
      </c>
    </row>
    <row r="13" spans="1:14" ht="18.75">
      <c r="A13" s="337" t="s">
        <v>563</v>
      </c>
      <c r="B13" s="338" t="s">
        <v>564</v>
      </c>
      <c r="C13" s="338" t="s">
        <v>201</v>
      </c>
      <c r="D13" s="338" t="s">
        <v>270</v>
      </c>
      <c r="E13" s="338"/>
      <c r="F13" s="338"/>
      <c r="G13" s="339" t="e">
        <f aca="true" t="shared" si="3" ref="G13:M13">G14+G16</f>
        <v>#REF!</v>
      </c>
      <c r="H13" s="339" t="e">
        <f t="shared" si="3"/>
        <v>#REF!</v>
      </c>
      <c r="I13" s="339" t="e">
        <f t="shared" si="3"/>
        <v>#REF!</v>
      </c>
      <c r="J13" s="339" t="e">
        <f t="shared" si="3"/>
        <v>#REF!</v>
      </c>
      <c r="K13" s="339" t="e">
        <f t="shared" si="3"/>
        <v>#REF!</v>
      </c>
      <c r="L13" s="339">
        <f t="shared" si="3"/>
        <v>5347.3</v>
      </c>
      <c r="M13" s="339">
        <f t="shared" si="3"/>
        <v>4338</v>
      </c>
      <c r="N13" s="339">
        <f t="shared" si="2"/>
        <v>81.12505376545171</v>
      </c>
    </row>
    <row r="14" spans="1:14" ht="37.5">
      <c r="A14" s="337" t="s">
        <v>182</v>
      </c>
      <c r="B14" s="338" t="s">
        <v>564</v>
      </c>
      <c r="C14" s="338" t="s">
        <v>201</v>
      </c>
      <c r="D14" s="338" t="s">
        <v>270</v>
      </c>
      <c r="E14" s="338" t="s">
        <v>183</v>
      </c>
      <c r="F14" s="338"/>
      <c r="G14" s="339" t="e">
        <f>G15</f>
        <v>#REF!</v>
      </c>
      <c r="H14" s="339" t="e">
        <f aca="true" t="shared" si="4" ref="H14:M14">H15</f>
        <v>#REF!</v>
      </c>
      <c r="I14" s="339" t="e">
        <f t="shared" si="4"/>
        <v>#REF!</v>
      </c>
      <c r="J14" s="339" t="e">
        <f t="shared" si="4"/>
        <v>#REF!</v>
      </c>
      <c r="K14" s="339" t="e">
        <f t="shared" si="4"/>
        <v>#REF!</v>
      </c>
      <c r="L14" s="339">
        <f t="shared" si="4"/>
        <v>5331.3</v>
      </c>
      <c r="M14" s="339">
        <f t="shared" si="4"/>
        <v>4338</v>
      </c>
      <c r="N14" s="339">
        <f t="shared" si="2"/>
        <v>81.36852174891676</v>
      </c>
    </row>
    <row r="15" spans="1:14" ht="56.25">
      <c r="A15" s="337" t="s">
        <v>184</v>
      </c>
      <c r="B15" s="338" t="s">
        <v>564</v>
      </c>
      <c r="C15" s="338" t="s">
        <v>201</v>
      </c>
      <c r="D15" s="338" t="s">
        <v>270</v>
      </c>
      <c r="E15" s="338" t="s">
        <v>185</v>
      </c>
      <c r="F15" s="338"/>
      <c r="G15" s="339" t="e">
        <f>#REF!</f>
        <v>#REF!</v>
      </c>
      <c r="H15" s="339" t="e">
        <f>#REF!</f>
        <v>#REF!</v>
      </c>
      <c r="I15" s="339" t="e">
        <f>#REF!</f>
        <v>#REF!</v>
      </c>
      <c r="J15" s="339" t="e">
        <f>#REF!</f>
        <v>#REF!</v>
      </c>
      <c r="K15" s="339" t="e">
        <f>#REF!</f>
        <v>#REF!</v>
      </c>
      <c r="L15" s="339">
        <f>'Прил.№4 ведомств.'!G906</f>
        <v>5331.3</v>
      </c>
      <c r="M15" s="339">
        <f>'Прил.№4 ведомств.'!H906</f>
        <v>4338</v>
      </c>
      <c r="N15" s="339">
        <f t="shared" si="2"/>
        <v>81.36852174891676</v>
      </c>
    </row>
    <row r="16" spans="1:14" ht="18.75">
      <c r="A16" s="340" t="s">
        <v>186</v>
      </c>
      <c r="B16" s="338" t="s">
        <v>564</v>
      </c>
      <c r="C16" s="338" t="s">
        <v>201</v>
      </c>
      <c r="D16" s="338" t="s">
        <v>270</v>
      </c>
      <c r="E16" s="338" t="s">
        <v>196</v>
      </c>
      <c r="F16" s="338"/>
      <c r="G16" s="339" t="e">
        <f>G17</f>
        <v>#REF!</v>
      </c>
      <c r="H16" s="339" t="e">
        <f aca="true" t="shared" si="5" ref="H16:M16">H17</f>
        <v>#REF!</v>
      </c>
      <c r="I16" s="339" t="e">
        <f t="shared" si="5"/>
        <v>#REF!</v>
      </c>
      <c r="J16" s="339" t="e">
        <f t="shared" si="5"/>
        <v>#REF!</v>
      </c>
      <c r="K16" s="339" t="e">
        <f t="shared" si="5"/>
        <v>#REF!</v>
      </c>
      <c r="L16" s="339">
        <f t="shared" si="5"/>
        <v>16</v>
      </c>
      <c r="M16" s="339">
        <f t="shared" si="5"/>
        <v>0</v>
      </c>
      <c r="N16" s="339">
        <f t="shared" si="2"/>
        <v>0</v>
      </c>
    </row>
    <row r="17" spans="1:14" ht="18.75">
      <c r="A17" s="340" t="s">
        <v>188</v>
      </c>
      <c r="B17" s="338" t="s">
        <v>564</v>
      </c>
      <c r="C17" s="338" t="s">
        <v>201</v>
      </c>
      <c r="D17" s="338" t="s">
        <v>270</v>
      </c>
      <c r="E17" s="338" t="s">
        <v>189</v>
      </c>
      <c r="F17" s="338"/>
      <c r="G17" s="339" t="e">
        <f>#REF!</f>
        <v>#REF!</v>
      </c>
      <c r="H17" s="339" t="e">
        <f>#REF!</f>
        <v>#REF!</v>
      </c>
      <c r="I17" s="339" t="e">
        <f>#REF!</f>
        <v>#REF!</v>
      </c>
      <c r="J17" s="339" t="e">
        <f>#REF!</f>
        <v>#REF!</v>
      </c>
      <c r="K17" s="339" t="e">
        <f>#REF!</f>
        <v>#REF!</v>
      </c>
      <c r="L17" s="339">
        <f>'Прил.№4 ведомств.'!G908</f>
        <v>16</v>
      </c>
      <c r="M17" s="339">
        <f>'Прил.№4 ведомств.'!H908</f>
        <v>0</v>
      </c>
      <c r="N17" s="339">
        <f t="shared" si="2"/>
        <v>0</v>
      </c>
    </row>
    <row r="18" spans="1:14" ht="56.25">
      <c r="A18" s="341" t="s">
        <v>700</v>
      </c>
      <c r="B18" s="338" t="s">
        <v>562</v>
      </c>
      <c r="C18" s="338" t="s">
        <v>201</v>
      </c>
      <c r="D18" s="338" t="s">
        <v>270</v>
      </c>
      <c r="E18" s="338"/>
      <c r="F18" s="338" t="s">
        <v>701</v>
      </c>
      <c r="G18" s="339" t="e">
        <f aca="true" t="shared" si="6" ref="G18:M18">G13</f>
        <v>#REF!</v>
      </c>
      <c r="H18" s="339" t="e">
        <f t="shared" si="6"/>
        <v>#REF!</v>
      </c>
      <c r="I18" s="339" t="e">
        <f t="shared" si="6"/>
        <v>#REF!</v>
      </c>
      <c r="J18" s="339" t="e">
        <f t="shared" si="6"/>
        <v>#REF!</v>
      </c>
      <c r="K18" s="339" t="e">
        <f t="shared" si="6"/>
        <v>#REF!</v>
      </c>
      <c r="L18" s="339">
        <f t="shared" si="6"/>
        <v>5347.3</v>
      </c>
      <c r="M18" s="339">
        <f t="shared" si="6"/>
        <v>4338</v>
      </c>
      <c r="N18" s="339">
        <f t="shared" si="2"/>
        <v>81.12505376545171</v>
      </c>
    </row>
    <row r="19" spans="1:14" ht="56.25">
      <c r="A19" s="334" t="s">
        <v>394</v>
      </c>
      <c r="B19" s="335" t="s">
        <v>395</v>
      </c>
      <c r="C19" s="335"/>
      <c r="D19" s="335"/>
      <c r="E19" s="335"/>
      <c r="F19" s="335"/>
      <c r="G19" s="342" t="e">
        <f aca="true" t="shared" si="7" ref="G19:L19">G20+G35+G42+G49+G58+G65+G72+G98</f>
        <v>#REF!</v>
      </c>
      <c r="H19" s="342" t="e">
        <f t="shared" si="7"/>
        <v>#REF!</v>
      </c>
      <c r="I19" s="342" t="e">
        <f t="shared" si="7"/>
        <v>#REF!</v>
      </c>
      <c r="J19" s="342" t="e">
        <f t="shared" si="7"/>
        <v>#REF!</v>
      </c>
      <c r="K19" s="342" t="e">
        <f t="shared" si="7"/>
        <v>#REF!</v>
      </c>
      <c r="L19" s="342">
        <f t="shared" si="7"/>
        <v>4342.7</v>
      </c>
      <c r="M19" s="342">
        <f>M20+M35+M42+M49+M58+M65+M72+M98</f>
        <v>3770.6000000000004</v>
      </c>
      <c r="N19" s="336">
        <f t="shared" si="2"/>
        <v>86.82616805213348</v>
      </c>
    </row>
    <row r="20" spans="1:14" ht="37.5">
      <c r="A20" s="334" t="s">
        <v>702</v>
      </c>
      <c r="B20" s="335" t="s">
        <v>397</v>
      </c>
      <c r="C20" s="335"/>
      <c r="D20" s="335"/>
      <c r="E20" s="335"/>
      <c r="F20" s="335"/>
      <c r="G20" s="342" t="e">
        <f>G21</f>
        <v>#REF!</v>
      </c>
      <c r="H20" s="342" t="e">
        <f aca="true" t="shared" si="8" ref="H20:M21">H21</f>
        <v>#REF!</v>
      </c>
      <c r="I20" s="342" t="e">
        <f t="shared" si="8"/>
        <v>#REF!</v>
      </c>
      <c r="J20" s="342" t="e">
        <f t="shared" si="8"/>
        <v>#REF!</v>
      </c>
      <c r="K20" s="342" t="e">
        <f t="shared" si="8"/>
        <v>#REF!</v>
      </c>
      <c r="L20" s="342">
        <f t="shared" si="8"/>
        <v>927.2</v>
      </c>
      <c r="M20" s="342">
        <f t="shared" si="8"/>
        <v>920.7</v>
      </c>
      <c r="N20" s="336">
        <f t="shared" si="2"/>
        <v>99.29896462467644</v>
      </c>
    </row>
    <row r="21" spans="1:14" ht="18.75">
      <c r="A21" s="341" t="s">
        <v>294</v>
      </c>
      <c r="B21" s="338" t="s">
        <v>397</v>
      </c>
      <c r="C21" s="338" t="s">
        <v>295</v>
      </c>
      <c r="D21" s="338"/>
      <c r="E21" s="338"/>
      <c r="F21" s="338"/>
      <c r="G21" s="343" t="e">
        <f>G22</f>
        <v>#REF!</v>
      </c>
      <c r="H21" s="343" t="e">
        <f t="shared" si="8"/>
        <v>#REF!</v>
      </c>
      <c r="I21" s="343" t="e">
        <f t="shared" si="8"/>
        <v>#REF!</v>
      </c>
      <c r="J21" s="343" t="e">
        <f t="shared" si="8"/>
        <v>#REF!</v>
      </c>
      <c r="K21" s="343" t="e">
        <f t="shared" si="8"/>
        <v>#REF!</v>
      </c>
      <c r="L21" s="343">
        <f t="shared" si="8"/>
        <v>927.2</v>
      </c>
      <c r="M21" s="343">
        <f t="shared" si="8"/>
        <v>920.7</v>
      </c>
      <c r="N21" s="339">
        <f t="shared" si="2"/>
        <v>99.29896462467644</v>
      </c>
    </row>
    <row r="22" spans="1:14" ht="18.75">
      <c r="A22" s="341" t="s">
        <v>303</v>
      </c>
      <c r="B22" s="338" t="s">
        <v>397</v>
      </c>
      <c r="C22" s="338" t="s">
        <v>295</v>
      </c>
      <c r="D22" s="338" t="s">
        <v>266</v>
      </c>
      <c r="E22" s="338"/>
      <c r="F22" s="338"/>
      <c r="G22" s="343" t="e">
        <f aca="true" t="shared" si="9" ref="G22:M22">G23+G31</f>
        <v>#REF!</v>
      </c>
      <c r="H22" s="343" t="e">
        <f t="shared" si="9"/>
        <v>#REF!</v>
      </c>
      <c r="I22" s="343" t="e">
        <f t="shared" si="9"/>
        <v>#REF!</v>
      </c>
      <c r="J22" s="343" t="e">
        <f t="shared" si="9"/>
        <v>#REF!</v>
      </c>
      <c r="K22" s="343" t="e">
        <f t="shared" si="9"/>
        <v>#REF!</v>
      </c>
      <c r="L22" s="343">
        <f t="shared" si="9"/>
        <v>927.2</v>
      </c>
      <c r="M22" s="343">
        <f t="shared" si="9"/>
        <v>920.7</v>
      </c>
      <c r="N22" s="339">
        <f t="shared" si="2"/>
        <v>99.29896462467644</v>
      </c>
    </row>
    <row r="23" spans="1:14" ht="37.5">
      <c r="A23" s="337" t="s">
        <v>208</v>
      </c>
      <c r="B23" s="344" t="s">
        <v>398</v>
      </c>
      <c r="C23" s="338" t="s">
        <v>295</v>
      </c>
      <c r="D23" s="338" t="s">
        <v>266</v>
      </c>
      <c r="E23" s="338"/>
      <c r="F23" s="338"/>
      <c r="G23" s="343" t="e">
        <f>G26+G29</f>
        <v>#REF!</v>
      </c>
      <c r="H23" s="343" t="e">
        <f>H26+H29</f>
        <v>#REF!</v>
      </c>
      <c r="I23" s="343" t="e">
        <f>I26+I29</f>
        <v>#REF!</v>
      </c>
      <c r="J23" s="343" t="e">
        <f>J26+J29</f>
        <v>#REF!</v>
      </c>
      <c r="K23" s="343" t="e">
        <f>K26+K29</f>
        <v>#REF!</v>
      </c>
      <c r="L23" s="343">
        <f>L26+L29+L24</f>
        <v>658.6</v>
      </c>
      <c r="M23" s="343">
        <f>M26+M29+M24</f>
        <v>658.6</v>
      </c>
      <c r="N23" s="339">
        <f t="shared" si="2"/>
        <v>100</v>
      </c>
    </row>
    <row r="24" spans="1:14" ht="112.5">
      <c r="A24" s="340" t="s">
        <v>178</v>
      </c>
      <c r="B24" s="344" t="s">
        <v>398</v>
      </c>
      <c r="C24" s="338" t="s">
        <v>295</v>
      </c>
      <c r="D24" s="338" t="s">
        <v>266</v>
      </c>
      <c r="E24" s="338" t="s">
        <v>179</v>
      </c>
      <c r="F24" s="338"/>
      <c r="G24" s="343">
        <f>G25</f>
        <v>0</v>
      </c>
      <c r="H24" s="343">
        <f aca="true" t="shared" si="10" ref="H24:M24">H25</f>
        <v>0</v>
      </c>
      <c r="I24" s="343">
        <f t="shared" si="10"/>
        <v>0</v>
      </c>
      <c r="J24" s="343">
        <f t="shared" si="10"/>
        <v>0</v>
      </c>
      <c r="K24" s="343">
        <f t="shared" si="10"/>
        <v>0</v>
      </c>
      <c r="L24" s="343">
        <f t="shared" si="10"/>
        <v>58</v>
      </c>
      <c r="M24" s="343">
        <f t="shared" si="10"/>
        <v>58</v>
      </c>
      <c r="N24" s="339">
        <f t="shared" si="2"/>
        <v>100</v>
      </c>
    </row>
    <row r="25" spans="1:14" ht="37.5">
      <c r="A25" s="340" t="s">
        <v>393</v>
      </c>
      <c r="B25" s="344" t="s">
        <v>398</v>
      </c>
      <c r="C25" s="338" t="s">
        <v>295</v>
      </c>
      <c r="D25" s="338" t="s">
        <v>266</v>
      </c>
      <c r="E25" s="338" t="s">
        <v>260</v>
      </c>
      <c r="F25" s="338"/>
      <c r="G25" s="343"/>
      <c r="H25" s="343"/>
      <c r="I25" s="343"/>
      <c r="J25" s="343"/>
      <c r="K25" s="343"/>
      <c r="L25" s="343">
        <f>'Прил.№4 ведомств.'!G460</f>
        <v>58</v>
      </c>
      <c r="M25" s="343">
        <f>'Прил.№4 ведомств.'!H460</f>
        <v>58</v>
      </c>
      <c r="N25" s="339">
        <f t="shared" si="2"/>
        <v>100</v>
      </c>
    </row>
    <row r="26" spans="1:14" ht="37.5">
      <c r="A26" s="337" t="s">
        <v>182</v>
      </c>
      <c r="B26" s="344" t="s">
        <v>398</v>
      </c>
      <c r="C26" s="338" t="s">
        <v>295</v>
      </c>
      <c r="D26" s="338" t="s">
        <v>266</v>
      </c>
      <c r="E26" s="338" t="s">
        <v>183</v>
      </c>
      <c r="F26" s="338"/>
      <c r="G26" s="343" t="e">
        <f>G27</f>
        <v>#REF!</v>
      </c>
      <c r="H26" s="343" t="e">
        <f aca="true" t="shared" si="11" ref="H26:M26">H27</f>
        <v>#REF!</v>
      </c>
      <c r="I26" s="343" t="e">
        <f t="shared" si="11"/>
        <v>#REF!</v>
      </c>
      <c r="J26" s="343" t="e">
        <f t="shared" si="11"/>
        <v>#REF!</v>
      </c>
      <c r="K26" s="343" t="e">
        <f t="shared" si="11"/>
        <v>#REF!</v>
      </c>
      <c r="L26" s="343">
        <f t="shared" si="11"/>
        <v>575.6</v>
      </c>
      <c r="M26" s="343">
        <f t="shared" si="11"/>
        <v>575.6</v>
      </c>
      <c r="N26" s="339">
        <f t="shared" si="2"/>
        <v>100</v>
      </c>
    </row>
    <row r="27" spans="1:14" ht="56.25">
      <c r="A27" s="337" t="s">
        <v>184</v>
      </c>
      <c r="B27" s="344" t="s">
        <v>398</v>
      </c>
      <c r="C27" s="338" t="s">
        <v>295</v>
      </c>
      <c r="D27" s="338" t="s">
        <v>266</v>
      </c>
      <c r="E27" s="338" t="s">
        <v>185</v>
      </c>
      <c r="F27" s="338"/>
      <c r="G27" s="339" t="e">
        <f>#REF!</f>
        <v>#REF!</v>
      </c>
      <c r="H27" s="339" t="e">
        <f>#REF!</f>
        <v>#REF!</v>
      </c>
      <c r="I27" s="339" t="e">
        <f>#REF!</f>
        <v>#REF!</v>
      </c>
      <c r="J27" s="339" t="e">
        <f>#REF!</f>
        <v>#REF!</v>
      </c>
      <c r="K27" s="339" t="e">
        <f>#REF!</f>
        <v>#REF!</v>
      </c>
      <c r="L27" s="339">
        <f>'Прил.№4 ведомств.'!G462</f>
        <v>575.6</v>
      </c>
      <c r="M27" s="339">
        <f>'Прил.№4 ведомств.'!H462</f>
        <v>575.6</v>
      </c>
      <c r="N27" s="339">
        <f t="shared" si="2"/>
        <v>100</v>
      </c>
    </row>
    <row r="28" spans="1:14" ht="18.75" hidden="1">
      <c r="A28" s="337"/>
      <c r="B28" s="338"/>
      <c r="C28" s="338"/>
      <c r="D28" s="338"/>
      <c r="E28" s="338"/>
      <c r="F28" s="338"/>
      <c r="G28" s="339"/>
      <c r="H28" s="339"/>
      <c r="I28" s="339"/>
      <c r="J28" s="339"/>
      <c r="K28" s="339"/>
      <c r="L28" s="339"/>
      <c r="M28" s="339"/>
      <c r="N28" s="339" t="e">
        <f t="shared" si="2"/>
        <v>#DIV/0!</v>
      </c>
    </row>
    <row r="29" spans="1:14" ht="37.5">
      <c r="A29" s="340" t="s">
        <v>299</v>
      </c>
      <c r="B29" s="344" t="s">
        <v>398</v>
      </c>
      <c r="C29" s="338" t="s">
        <v>295</v>
      </c>
      <c r="D29" s="338" t="s">
        <v>266</v>
      </c>
      <c r="E29" s="344" t="s">
        <v>300</v>
      </c>
      <c r="F29" s="338"/>
      <c r="G29" s="339" t="e">
        <f>G30</f>
        <v>#REF!</v>
      </c>
      <c r="H29" s="339" t="e">
        <f aca="true" t="shared" si="12" ref="H29:M29">H30</f>
        <v>#REF!</v>
      </c>
      <c r="I29" s="339" t="e">
        <f t="shared" si="12"/>
        <v>#REF!</v>
      </c>
      <c r="J29" s="339" t="e">
        <f t="shared" si="12"/>
        <v>#REF!</v>
      </c>
      <c r="K29" s="339" t="e">
        <f t="shared" si="12"/>
        <v>#REF!</v>
      </c>
      <c r="L29" s="339">
        <f t="shared" si="12"/>
        <v>25</v>
      </c>
      <c r="M29" s="339">
        <f t="shared" si="12"/>
        <v>25</v>
      </c>
      <c r="N29" s="339">
        <f t="shared" si="2"/>
        <v>100</v>
      </c>
    </row>
    <row r="30" spans="1:14" ht="37.5">
      <c r="A30" s="340" t="s">
        <v>399</v>
      </c>
      <c r="B30" s="344" t="s">
        <v>398</v>
      </c>
      <c r="C30" s="338" t="s">
        <v>295</v>
      </c>
      <c r="D30" s="338" t="s">
        <v>266</v>
      </c>
      <c r="E30" s="344" t="s">
        <v>400</v>
      </c>
      <c r="F30" s="338"/>
      <c r="G30" s="339" t="e">
        <f>#REF!</f>
        <v>#REF!</v>
      </c>
      <c r="H30" s="339" t="e">
        <f>#REF!</f>
        <v>#REF!</v>
      </c>
      <c r="I30" s="339" t="e">
        <f>#REF!</f>
        <v>#REF!</v>
      </c>
      <c r="J30" s="339" t="e">
        <f>#REF!</f>
        <v>#REF!</v>
      </c>
      <c r="K30" s="339" t="e">
        <f>#REF!</f>
        <v>#REF!</v>
      </c>
      <c r="L30" s="339">
        <f>'Прил.№4 ведомств.'!G464</f>
        <v>25</v>
      </c>
      <c r="M30" s="339">
        <f>'Прил.№4 ведомств.'!H464</f>
        <v>25</v>
      </c>
      <c r="N30" s="339">
        <f t="shared" si="2"/>
        <v>100</v>
      </c>
    </row>
    <row r="31" spans="1:14" ht="37.5">
      <c r="A31" s="340" t="s">
        <v>401</v>
      </c>
      <c r="B31" s="344" t="s">
        <v>402</v>
      </c>
      <c r="C31" s="338" t="s">
        <v>295</v>
      </c>
      <c r="D31" s="338" t="s">
        <v>266</v>
      </c>
      <c r="E31" s="338"/>
      <c r="F31" s="338"/>
      <c r="G31" s="343" t="e">
        <f>G32</f>
        <v>#REF!</v>
      </c>
      <c r="H31" s="343" t="e">
        <f aca="true" t="shared" si="13" ref="H31:M32">H32</f>
        <v>#REF!</v>
      </c>
      <c r="I31" s="343" t="e">
        <f t="shared" si="13"/>
        <v>#REF!</v>
      </c>
      <c r="J31" s="343" t="e">
        <f t="shared" si="13"/>
        <v>#REF!</v>
      </c>
      <c r="K31" s="343" t="e">
        <f t="shared" si="13"/>
        <v>#REF!</v>
      </c>
      <c r="L31" s="343">
        <f t="shared" si="13"/>
        <v>268.6</v>
      </c>
      <c r="M31" s="343">
        <f t="shared" si="13"/>
        <v>262.1</v>
      </c>
      <c r="N31" s="339">
        <f t="shared" si="2"/>
        <v>97.58004467609828</v>
      </c>
    </row>
    <row r="32" spans="1:14" ht="56.25">
      <c r="A32" s="340" t="s">
        <v>323</v>
      </c>
      <c r="B32" s="344" t="s">
        <v>402</v>
      </c>
      <c r="C32" s="338" t="s">
        <v>295</v>
      </c>
      <c r="D32" s="338" t="s">
        <v>266</v>
      </c>
      <c r="E32" s="338" t="s">
        <v>324</v>
      </c>
      <c r="F32" s="338"/>
      <c r="G32" s="343" t="e">
        <f>G33</f>
        <v>#REF!</v>
      </c>
      <c r="H32" s="343" t="e">
        <f t="shared" si="13"/>
        <v>#REF!</v>
      </c>
      <c r="I32" s="343" t="e">
        <f t="shared" si="13"/>
        <v>#REF!</v>
      </c>
      <c r="J32" s="343" t="e">
        <f t="shared" si="13"/>
        <v>#REF!</v>
      </c>
      <c r="K32" s="343" t="e">
        <f t="shared" si="13"/>
        <v>#REF!</v>
      </c>
      <c r="L32" s="343">
        <f t="shared" si="13"/>
        <v>268.6</v>
      </c>
      <c r="M32" s="343">
        <f t="shared" si="13"/>
        <v>262.1</v>
      </c>
      <c r="N32" s="339">
        <f t="shared" si="2"/>
        <v>97.58004467609828</v>
      </c>
    </row>
    <row r="33" spans="1:14" ht="18.75">
      <c r="A33" s="340" t="s">
        <v>325</v>
      </c>
      <c r="B33" s="344" t="s">
        <v>402</v>
      </c>
      <c r="C33" s="338" t="s">
        <v>295</v>
      </c>
      <c r="D33" s="338" t="s">
        <v>266</v>
      </c>
      <c r="E33" s="338" t="s">
        <v>326</v>
      </c>
      <c r="F33" s="338"/>
      <c r="G33" s="343" t="e">
        <f>#REF!</f>
        <v>#REF!</v>
      </c>
      <c r="H33" s="343" t="e">
        <f>#REF!</f>
        <v>#REF!</v>
      </c>
      <c r="I33" s="343" t="e">
        <f>#REF!</f>
        <v>#REF!</v>
      </c>
      <c r="J33" s="343" t="e">
        <f>#REF!</f>
        <v>#REF!</v>
      </c>
      <c r="K33" s="343" t="e">
        <f>#REF!</f>
        <v>#REF!</v>
      </c>
      <c r="L33" s="343">
        <f>'Прил.№4 ведомств.'!G467</f>
        <v>268.6</v>
      </c>
      <c r="M33" s="343">
        <f>'Прил.№4 ведомств.'!H467</f>
        <v>262.1</v>
      </c>
      <c r="N33" s="339">
        <f t="shared" si="2"/>
        <v>97.58004467609828</v>
      </c>
    </row>
    <row r="34" spans="1:14" ht="56.25">
      <c r="A34" s="341" t="s">
        <v>312</v>
      </c>
      <c r="B34" s="344" t="s">
        <v>397</v>
      </c>
      <c r="C34" s="338" t="s">
        <v>295</v>
      </c>
      <c r="D34" s="338" t="s">
        <v>266</v>
      </c>
      <c r="E34" s="338"/>
      <c r="F34" s="338" t="s">
        <v>704</v>
      </c>
      <c r="G34" s="339" t="e">
        <f aca="true" t="shared" si="14" ref="G34:M34">G20</f>
        <v>#REF!</v>
      </c>
      <c r="H34" s="339" t="e">
        <f t="shared" si="14"/>
        <v>#REF!</v>
      </c>
      <c r="I34" s="339" t="e">
        <f t="shared" si="14"/>
        <v>#REF!</v>
      </c>
      <c r="J34" s="339" t="e">
        <f t="shared" si="14"/>
        <v>#REF!</v>
      </c>
      <c r="K34" s="339" t="e">
        <f t="shared" si="14"/>
        <v>#REF!</v>
      </c>
      <c r="L34" s="339">
        <f t="shared" si="14"/>
        <v>927.2</v>
      </c>
      <c r="M34" s="339">
        <f t="shared" si="14"/>
        <v>920.7</v>
      </c>
      <c r="N34" s="339">
        <f t="shared" si="2"/>
        <v>99.29896462467644</v>
      </c>
    </row>
    <row r="35" spans="1:14" ht="56.25">
      <c r="A35" s="334" t="s">
        <v>705</v>
      </c>
      <c r="B35" s="335" t="s">
        <v>404</v>
      </c>
      <c r="C35" s="335"/>
      <c r="D35" s="335"/>
      <c r="E35" s="335"/>
      <c r="F35" s="335"/>
      <c r="G35" s="342" t="e">
        <f>G36</f>
        <v>#REF!</v>
      </c>
      <c r="H35" s="342" t="e">
        <f aca="true" t="shared" si="15" ref="H35:M39">H36</f>
        <v>#REF!</v>
      </c>
      <c r="I35" s="342" t="e">
        <f t="shared" si="15"/>
        <v>#REF!</v>
      </c>
      <c r="J35" s="342" t="e">
        <f t="shared" si="15"/>
        <v>#REF!</v>
      </c>
      <c r="K35" s="342" t="e">
        <f t="shared" si="15"/>
        <v>#REF!</v>
      </c>
      <c r="L35" s="342">
        <f t="shared" si="15"/>
        <v>921.1000000000001</v>
      </c>
      <c r="M35" s="342">
        <f t="shared" si="15"/>
        <v>724.5</v>
      </c>
      <c r="N35" s="336">
        <f t="shared" si="2"/>
        <v>78.65595483660839</v>
      </c>
    </row>
    <row r="36" spans="1:14" ht="18.75">
      <c r="A36" s="341" t="s">
        <v>294</v>
      </c>
      <c r="B36" s="338" t="s">
        <v>404</v>
      </c>
      <c r="C36" s="338" t="s">
        <v>295</v>
      </c>
      <c r="D36" s="338"/>
      <c r="E36" s="338"/>
      <c r="F36" s="338"/>
      <c r="G36" s="343" t="e">
        <f>G37</f>
        <v>#REF!</v>
      </c>
      <c r="H36" s="343" t="e">
        <f t="shared" si="15"/>
        <v>#REF!</v>
      </c>
      <c r="I36" s="343" t="e">
        <f t="shared" si="15"/>
        <v>#REF!</v>
      </c>
      <c r="J36" s="343" t="e">
        <f t="shared" si="15"/>
        <v>#REF!</v>
      </c>
      <c r="K36" s="343" t="e">
        <f t="shared" si="15"/>
        <v>#REF!</v>
      </c>
      <c r="L36" s="343">
        <f t="shared" si="15"/>
        <v>921.1000000000001</v>
      </c>
      <c r="M36" s="343">
        <f t="shared" si="15"/>
        <v>724.5</v>
      </c>
      <c r="N36" s="339">
        <f t="shared" si="2"/>
        <v>78.65595483660839</v>
      </c>
    </row>
    <row r="37" spans="1:14" ht="18.75">
      <c r="A37" s="341" t="s">
        <v>303</v>
      </c>
      <c r="B37" s="338" t="s">
        <v>404</v>
      </c>
      <c r="C37" s="338" t="s">
        <v>295</v>
      </c>
      <c r="D37" s="338" t="s">
        <v>266</v>
      </c>
      <c r="E37" s="338"/>
      <c r="F37" s="338"/>
      <c r="G37" s="343" t="e">
        <f>G38</f>
        <v>#REF!</v>
      </c>
      <c r="H37" s="343" t="e">
        <f t="shared" si="15"/>
        <v>#REF!</v>
      </c>
      <c r="I37" s="343" t="e">
        <f t="shared" si="15"/>
        <v>#REF!</v>
      </c>
      <c r="J37" s="343" t="e">
        <f t="shared" si="15"/>
        <v>#REF!</v>
      </c>
      <c r="K37" s="343" t="e">
        <f t="shared" si="15"/>
        <v>#REF!</v>
      </c>
      <c r="L37" s="343">
        <f t="shared" si="15"/>
        <v>921.1000000000001</v>
      </c>
      <c r="M37" s="343">
        <f t="shared" si="15"/>
        <v>724.5</v>
      </c>
      <c r="N37" s="339">
        <f t="shared" si="2"/>
        <v>78.65595483660839</v>
      </c>
    </row>
    <row r="38" spans="1:14" ht="56.25">
      <c r="A38" s="340" t="s">
        <v>981</v>
      </c>
      <c r="B38" s="344" t="s">
        <v>1027</v>
      </c>
      <c r="C38" s="338" t="s">
        <v>295</v>
      </c>
      <c r="D38" s="338" t="s">
        <v>266</v>
      </c>
      <c r="E38" s="338"/>
      <c r="F38" s="338"/>
      <c r="G38" s="343" t="e">
        <f>G39</f>
        <v>#REF!</v>
      </c>
      <c r="H38" s="343" t="e">
        <f t="shared" si="15"/>
        <v>#REF!</v>
      </c>
      <c r="I38" s="343" t="e">
        <f t="shared" si="15"/>
        <v>#REF!</v>
      </c>
      <c r="J38" s="343" t="e">
        <f t="shared" si="15"/>
        <v>#REF!</v>
      </c>
      <c r="K38" s="343" t="e">
        <f t="shared" si="15"/>
        <v>#REF!</v>
      </c>
      <c r="L38" s="343">
        <f t="shared" si="15"/>
        <v>921.1000000000001</v>
      </c>
      <c r="M38" s="343">
        <f t="shared" si="15"/>
        <v>724.5</v>
      </c>
      <c r="N38" s="339">
        <f t="shared" si="2"/>
        <v>78.65595483660839</v>
      </c>
    </row>
    <row r="39" spans="1:14" ht="37.5">
      <c r="A39" s="337" t="s">
        <v>299</v>
      </c>
      <c r="B39" s="344" t="s">
        <v>1027</v>
      </c>
      <c r="C39" s="338" t="s">
        <v>295</v>
      </c>
      <c r="D39" s="338" t="s">
        <v>266</v>
      </c>
      <c r="E39" s="338" t="s">
        <v>300</v>
      </c>
      <c r="F39" s="338"/>
      <c r="G39" s="343" t="e">
        <f>G40</f>
        <v>#REF!</v>
      </c>
      <c r="H39" s="343" t="e">
        <f t="shared" si="15"/>
        <v>#REF!</v>
      </c>
      <c r="I39" s="343" t="e">
        <f t="shared" si="15"/>
        <v>#REF!</v>
      </c>
      <c r="J39" s="343" t="e">
        <f t="shared" si="15"/>
        <v>#REF!</v>
      </c>
      <c r="K39" s="343" t="e">
        <f t="shared" si="15"/>
        <v>#REF!</v>
      </c>
      <c r="L39" s="343">
        <f t="shared" si="15"/>
        <v>921.1000000000001</v>
      </c>
      <c r="M39" s="343">
        <f t="shared" si="15"/>
        <v>724.5</v>
      </c>
      <c r="N39" s="339">
        <f t="shared" si="2"/>
        <v>78.65595483660839</v>
      </c>
    </row>
    <row r="40" spans="1:14" ht="37.5">
      <c r="A40" s="337" t="s">
        <v>301</v>
      </c>
      <c r="B40" s="344" t="s">
        <v>1027</v>
      </c>
      <c r="C40" s="338" t="s">
        <v>295</v>
      </c>
      <c r="D40" s="338" t="s">
        <v>266</v>
      </c>
      <c r="E40" s="338" t="s">
        <v>302</v>
      </c>
      <c r="F40" s="338"/>
      <c r="G40" s="343" t="e">
        <f>#REF!</f>
        <v>#REF!</v>
      </c>
      <c r="H40" s="343" t="e">
        <f>#REF!</f>
        <v>#REF!</v>
      </c>
      <c r="I40" s="343" t="e">
        <f>#REF!</f>
        <v>#REF!</v>
      </c>
      <c r="J40" s="343" t="e">
        <f>#REF!</f>
        <v>#REF!</v>
      </c>
      <c r="K40" s="343" t="e">
        <f>#REF!</f>
        <v>#REF!</v>
      </c>
      <c r="L40" s="343">
        <f>'Прил.№4 ведомств.'!G471</f>
        <v>921.1000000000001</v>
      </c>
      <c r="M40" s="343">
        <f>'Прил.№4 ведомств.'!H471</f>
        <v>724.5</v>
      </c>
      <c r="N40" s="339">
        <f t="shared" si="2"/>
        <v>78.65595483660839</v>
      </c>
    </row>
    <row r="41" spans="1:14" ht="56.25">
      <c r="A41" s="341" t="s">
        <v>312</v>
      </c>
      <c r="B41" s="344" t="s">
        <v>404</v>
      </c>
      <c r="C41" s="338" t="s">
        <v>295</v>
      </c>
      <c r="D41" s="338" t="s">
        <v>266</v>
      </c>
      <c r="E41" s="338"/>
      <c r="F41" s="338" t="s">
        <v>704</v>
      </c>
      <c r="G41" s="343" t="e">
        <f aca="true" t="shared" si="16" ref="G41:M41">G35</f>
        <v>#REF!</v>
      </c>
      <c r="H41" s="343" t="e">
        <f t="shared" si="16"/>
        <v>#REF!</v>
      </c>
      <c r="I41" s="343" t="e">
        <f t="shared" si="16"/>
        <v>#REF!</v>
      </c>
      <c r="J41" s="343" t="e">
        <f t="shared" si="16"/>
        <v>#REF!</v>
      </c>
      <c r="K41" s="343" t="e">
        <f t="shared" si="16"/>
        <v>#REF!</v>
      </c>
      <c r="L41" s="343">
        <f t="shared" si="16"/>
        <v>921.1000000000001</v>
      </c>
      <c r="M41" s="343">
        <f t="shared" si="16"/>
        <v>724.5</v>
      </c>
      <c r="N41" s="339">
        <f t="shared" si="2"/>
        <v>78.65595483660839</v>
      </c>
    </row>
    <row r="42" spans="1:14" ht="56.25">
      <c r="A42" s="334" t="s">
        <v>706</v>
      </c>
      <c r="B42" s="335" t="s">
        <v>407</v>
      </c>
      <c r="C42" s="335"/>
      <c r="D42" s="335"/>
      <c r="E42" s="335"/>
      <c r="F42" s="335"/>
      <c r="G42" s="342" t="e">
        <f>G43</f>
        <v>#REF!</v>
      </c>
      <c r="H42" s="342" t="e">
        <f aca="true" t="shared" si="17" ref="H42:M46">H43</f>
        <v>#REF!</v>
      </c>
      <c r="I42" s="342" t="e">
        <f t="shared" si="17"/>
        <v>#REF!</v>
      </c>
      <c r="J42" s="342" t="e">
        <f t="shared" si="17"/>
        <v>#REF!</v>
      </c>
      <c r="K42" s="342" t="e">
        <f t="shared" si="17"/>
        <v>#REF!</v>
      </c>
      <c r="L42" s="342">
        <f t="shared" si="17"/>
        <v>420</v>
      </c>
      <c r="M42" s="342">
        <f t="shared" si="17"/>
        <v>400</v>
      </c>
      <c r="N42" s="336">
        <f t="shared" si="2"/>
        <v>95.23809523809523</v>
      </c>
    </row>
    <row r="43" spans="1:14" ht="18.75">
      <c r="A43" s="341" t="s">
        <v>294</v>
      </c>
      <c r="B43" s="338" t="s">
        <v>407</v>
      </c>
      <c r="C43" s="338" t="s">
        <v>295</v>
      </c>
      <c r="D43" s="338"/>
      <c r="E43" s="338"/>
      <c r="F43" s="338"/>
      <c r="G43" s="343" t="e">
        <f>G44</f>
        <v>#REF!</v>
      </c>
      <c r="H43" s="343" t="e">
        <f t="shared" si="17"/>
        <v>#REF!</v>
      </c>
      <c r="I43" s="343" t="e">
        <f t="shared" si="17"/>
        <v>#REF!</v>
      </c>
      <c r="J43" s="343" t="e">
        <f t="shared" si="17"/>
        <v>#REF!</v>
      </c>
      <c r="K43" s="343" t="e">
        <f t="shared" si="17"/>
        <v>#REF!</v>
      </c>
      <c r="L43" s="343">
        <f t="shared" si="17"/>
        <v>420</v>
      </c>
      <c r="M43" s="343">
        <f t="shared" si="17"/>
        <v>400</v>
      </c>
      <c r="N43" s="339">
        <f t="shared" si="2"/>
        <v>95.23809523809523</v>
      </c>
    </row>
    <row r="44" spans="1:14" ht="18.75">
      <c r="A44" s="341" t="s">
        <v>303</v>
      </c>
      <c r="B44" s="338" t="s">
        <v>407</v>
      </c>
      <c r="C44" s="338" t="s">
        <v>295</v>
      </c>
      <c r="D44" s="338" t="s">
        <v>266</v>
      </c>
      <c r="E44" s="338"/>
      <c r="F44" s="338"/>
      <c r="G44" s="343" t="e">
        <f>G45</f>
        <v>#REF!</v>
      </c>
      <c r="H44" s="343" t="e">
        <f t="shared" si="17"/>
        <v>#REF!</v>
      </c>
      <c r="I44" s="343" t="e">
        <f t="shared" si="17"/>
        <v>#REF!</v>
      </c>
      <c r="J44" s="343" t="e">
        <f t="shared" si="17"/>
        <v>#REF!</v>
      </c>
      <c r="K44" s="343" t="e">
        <f t="shared" si="17"/>
        <v>#REF!</v>
      </c>
      <c r="L44" s="343">
        <f t="shared" si="17"/>
        <v>420</v>
      </c>
      <c r="M44" s="343">
        <f t="shared" si="17"/>
        <v>400</v>
      </c>
      <c r="N44" s="339">
        <f t="shared" si="2"/>
        <v>95.23809523809523</v>
      </c>
    </row>
    <row r="45" spans="1:14" ht="37.5">
      <c r="A45" s="337" t="s">
        <v>208</v>
      </c>
      <c r="B45" s="338" t="s">
        <v>408</v>
      </c>
      <c r="C45" s="338" t="s">
        <v>295</v>
      </c>
      <c r="D45" s="338" t="s">
        <v>266</v>
      </c>
      <c r="E45" s="338"/>
      <c r="F45" s="338"/>
      <c r="G45" s="343" t="e">
        <f>G46</f>
        <v>#REF!</v>
      </c>
      <c r="H45" s="343" t="e">
        <f t="shared" si="17"/>
        <v>#REF!</v>
      </c>
      <c r="I45" s="343" t="e">
        <f t="shared" si="17"/>
        <v>#REF!</v>
      </c>
      <c r="J45" s="343" t="e">
        <f t="shared" si="17"/>
        <v>#REF!</v>
      </c>
      <c r="K45" s="343" t="e">
        <f t="shared" si="17"/>
        <v>#REF!</v>
      </c>
      <c r="L45" s="343">
        <f t="shared" si="17"/>
        <v>420</v>
      </c>
      <c r="M45" s="343">
        <f t="shared" si="17"/>
        <v>400</v>
      </c>
      <c r="N45" s="339">
        <f t="shared" si="2"/>
        <v>95.23809523809523</v>
      </c>
    </row>
    <row r="46" spans="1:14" ht="37.5">
      <c r="A46" s="337" t="s">
        <v>299</v>
      </c>
      <c r="B46" s="338" t="s">
        <v>408</v>
      </c>
      <c r="C46" s="338" t="s">
        <v>295</v>
      </c>
      <c r="D46" s="338" t="s">
        <v>266</v>
      </c>
      <c r="E46" s="338" t="s">
        <v>300</v>
      </c>
      <c r="F46" s="338"/>
      <c r="G46" s="343" t="e">
        <f>G47</f>
        <v>#REF!</v>
      </c>
      <c r="H46" s="343" t="e">
        <f t="shared" si="17"/>
        <v>#REF!</v>
      </c>
      <c r="I46" s="343" t="e">
        <f t="shared" si="17"/>
        <v>#REF!</v>
      </c>
      <c r="J46" s="343" t="e">
        <f t="shared" si="17"/>
        <v>#REF!</v>
      </c>
      <c r="K46" s="343" t="e">
        <f t="shared" si="17"/>
        <v>#REF!</v>
      </c>
      <c r="L46" s="343">
        <f t="shared" si="17"/>
        <v>420</v>
      </c>
      <c r="M46" s="343">
        <f t="shared" si="17"/>
        <v>400</v>
      </c>
      <c r="N46" s="339">
        <f t="shared" si="2"/>
        <v>95.23809523809523</v>
      </c>
    </row>
    <row r="47" spans="1:14" ht="37.5">
      <c r="A47" s="337" t="s">
        <v>399</v>
      </c>
      <c r="B47" s="338" t="s">
        <v>408</v>
      </c>
      <c r="C47" s="338" t="s">
        <v>295</v>
      </c>
      <c r="D47" s="338" t="s">
        <v>266</v>
      </c>
      <c r="E47" s="338" t="s">
        <v>400</v>
      </c>
      <c r="F47" s="338"/>
      <c r="G47" s="343" t="e">
        <f>#REF!</f>
        <v>#REF!</v>
      </c>
      <c r="H47" s="343" t="e">
        <f>#REF!</f>
        <v>#REF!</v>
      </c>
      <c r="I47" s="343" t="e">
        <f>#REF!</f>
        <v>#REF!</v>
      </c>
      <c r="J47" s="343" t="e">
        <f>#REF!</f>
        <v>#REF!</v>
      </c>
      <c r="K47" s="343" t="e">
        <f>#REF!</f>
        <v>#REF!</v>
      </c>
      <c r="L47" s="343">
        <f>'Прил.№4 ведомств.'!G475</f>
        <v>420</v>
      </c>
      <c r="M47" s="343">
        <f>'Прил.№4 ведомств.'!H475</f>
        <v>400</v>
      </c>
      <c r="N47" s="339">
        <f t="shared" si="2"/>
        <v>95.23809523809523</v>
      </c>
    </row>
    <row r="48" spans="1:14" ht="56.25">
      <c r="A48" s="341" t="s">
        <v>312</v>
      </c>
      <c r="B48" s="338" t="s">
        <v>407</v>
      </c>
      <c r="C48" s="338" t="s">
        <v>295</v>
      </c>
      <c r="D48" s="338" t="s">
        <v>266</v>
      </c>
      <c r="E48" s="338"/>
      <c r="F48" s="338" t="s">
        <v>704</v>
      </c>
      <c r="G48" s="343" t="e">
        <f aca="true" t="shared" si="18" ref="G48:M48">G42</f>
        <v>#REF!</v>
      </c>
      <c r="H48" s="343" t="e">
        <f t="shared" si="18"/>
        <v>#REF!</v>
      </c>
      <c r="I48" s="343" t="e">
        <f t="shared" si="18"/>
        <v>#REF!</v>
      </c>
      <c r="J48" s="343" t="e">
        <f t="shared" si="18"/>
        <v>#REF!</v>
      </c>
      <c r="K48" s="343" t="e">
        <f t="shared" si="18"/>
        <v>#REF!</v>
      </c>
      <c r="L48" s="343">
        <f t="shared" si="18"/>
        <v>420</v>
      </c>
      <c r="M48" s="343">
        <f t="shared" si="18"/>
        <v>400</v>
      </c>
      <c r="N48" s="339">
        <f t="shared" si="2"/>
        <v>95.23809523809523</v>
      </c>
    </row>
    <row r="49" spans="1:14" ht="37.5">
      <c r="A49" s="334" t="s">
        <v>708</v>
      </c>
      <c r="B49" s="335" t="s">
        <v>410</v>
      </c>
      <c r="C49" s="335"/>
      <c r="D49" s="335"/>
      <c r="E49" s="335"/>
      <c r="F49" s="335"/>
      <c r="G49" s="342" t="e">
        <f>G50</f>
        <v>#REF!</v>
      </c>
      <c r="H49" s="342" t="e">
        <f aca="true" t="shared" si="19" ref="H49:M51">H50</f>
        <v>#REF!</v>
      </c>
      <c r="I49" s="342" t="e">
        <f t="shared" si="19"/>
        <v>#REF!</v>
      </c>
      <c r="J49" s="342" t="e">
        <f t="shared" si="19"/>
        <v>#REF!</v>
      </c>
      <c r="K49" s="342" t="e">
        <f t="shared" si="19"/>
        <v>#REF!</v>
      </c>
      <c r="L49" s="342">
        <f t="shared" si="19"/>
        <v>1368.6</v>
      </c>
      <c r="M49" s="342">
        <f t="shared" si="19"/>
        <v>1128.6</v>
      </c>
      <c r="N49" s="336">
        <f t="shared" si="2"/>
        <v>82.46383165278387</v>
      </c>
    </row>
    <row r="50" spans="1:14" ht="18.75">
      <c r="A50" s="341" t="s">
        <v>294</v>
      </c>
      <c r="B50" s="338" t="s">
        <v>410</v>
      </c>
      <c r="C50" s="338" t="s">
        <v>295</v>
      </c>
      <c r="D50" s="338"/>
      <c r="E50" s="338"/>
      <c r="F50" s="338"/>
      <c r="G50" s="343" t="e">
        <f>G51</f>
        <v>#REF!</v>
      </c>
      <c r="H50" s="343" t="e">
        <f t="shared" si="19"/>
        <v>#REF!</v>
      </c>
      <c r="I50" s="343" t="e">
        <f t="shared" si="19"/>
        <v>#REF!</v>
      </c>
      <c r="J50" s="343" t="e">
        <f t="shared" si="19"/>
        <v>#REF!</v>
      </c>
      <c r="K50" s="343" t="e">
        <f t="shared" si="19"/>
        <v>#REF!</v>
      </c>
      <c r="L50" s="343">
        <f t="shared" si="19"/>
        <v>1368.6</v>
      </c>
      <c r="M50" s="343">
        <f t="shared" si="19"/>
        <v>1128.6</v>
      </c>
      <c r="N50" s="339">
        <f t="shared" si="2"/>
        <v>82.46383165278387</v>
      </c>
    </row>
    <row r="51" spans="1:14" ht="18.75">
      <c r="A51" s="341" t="s">
        <v>303</v>
      </c>
      <c r="B51" s="338" t="s">
        <v>410</v>
      </c>
      <c r="C51" s="338" t="s">
        <v>295</v>
      </c>
      <c r="D51" s="338" t="s">
        <v>266</v>
      </c>
      <c r="E51" s="338"/>
      <c r="F51" s="338"/>
      <c r="G51" s="343" t="e">
        <f>G52</f>
        <v>#REF!</v>
      </c>
      <c r="H51" s="343" t="e">
        <f t="shared" si="19"/>
        <v>#REF!</v>
      </c>
      <c r="I51" s="343" t="e">
        <f t="shared" si="19"/>
        <v>#REF!</v>
      </c>
      <c r="J51" s="343" t="e">
        <f t="shared" si="19"/>
        <v>#REF!</v>
      </c>
      <c r="K51" s="343" t="e">
        <f t="shared" si="19"/>
        <v>#REF!</v>
      </c>
      <c r="L51" s="343">
        <f t="shared" si="19"/>
        <v>1368.6</v>
      </c>
      <c r="M51" s="343">
        <f t="shared" si="19"/>
        <v>1128.6</v>
      </c>
      <c r="N51" s="339">
        <f t="shared" si="2"/>
        <v>82.46383165278387</v>
      </c>
    </row>
    <row r="52" spans="1:14" ht="37.5">
      <c r="A52" s="337" t="s">
        <v>208</v>
      </c>
      <c r="B52" s="338" t="s">
        <v>411</v>
      </c>
      <c r="C52" s="338" t="s">
        <v>295</v>
      </c>
      <c r="D52" s="338" t="s">
        <v>266</v>
      </c>
      <c r="E52" s="338"/>
      <c r="F52" s="338"/>
      <c r="G52" s="343" t="e">
        <f aca="true" t="shared" si="20" ref="G52:M52">G53+G55</f>
        <v>#REF!</v>
      </c>
      <c r="H52" s="343" t="e">
        <f t="shared" si="20"/>
        <v>#REF!</v>
      </c>
      <c r="I52" s="343" t="e">
        <f t="shared" si="20"/>
        <v>#REF!</v>
      </c>
      <c r="J52" s="343" t="e">
        <f t="shared" si="20"/>
        <v>#REF!</v>
      </c>
      <c r="K52" s="343" t="e">
        <f t="shared" si="20"/>
        <v>#REF!</v>
      </c>
      <c r="L52" s="343">
        <f t="shared" si="20"/>
        <v>1368.6</v>
      </c>
      <c r="M52" s="343">
        <f t="shared" si="20"/>
        <v>1128.6</v>
      </c>
      <c r="N52" s="339">
        <f t="shared" si="2"/>
        <v>82.46383165278387</v>
      </c>
    </row>
    <row r="53" spans="1:14" ht="37.5">
      <c r="A53" s="337" t="s">
        <v>182</v>
      </c>
      <c r="B53" s="338" t="s">
        <v>411</v>
      </c>
      <c r="C53" s="338" t="s">
        <v>295</v>
      </c>
      <c r="D53" s="338" t="s">
        <v>266</v>
      </c>
      <c r="E53" s="338" t="s">
        <v>183</v>
      </c>
      <c r="F53" s="338"/>
      <c r="G53" s="343" t="e">
        <f>G54</f>
        <v>#REF!</v>
      </c>
      <c r="H53" s="343" t="e">
        <f aca="true" t="shared" si="21" ref="H53:M53">H54</f>
        <v>#REF!</v>
      </c>
      <c r="I53" s="343" t="e">
        <f t="shared" si="21"/>
        <v>#REF!</v>
      </c>
      <c r="J53" s="343" t="e">
        <f t="shared" si="21"/>
        <v>#REF!</v>
      </c>
      <c r="K53" s="343" t="e">
        <f t="shared" si="21"/>
        <v>#REF!</v>
      </c>
      <c r="L53" s="343">
        <f t="shared" si="21"/>
        <v>273.6</v>
      </c>
      <c r="M53" s="343">
        <f t="shared" si="21"/>
        <v>174.6</v>
      </c>
      <c r="N53" s="339">
        <f t="shared" si="2"/>
        <v>63.815789473684205</v>
      </c>
    </row>
    <row r="54" spans="1:14" ht="56.25">
      <c r="A54" s="337" t="s">
        <v>184</v>
      </c>
      <c r="B54" s="338" t="s">
        <v>411</v>
      </c>
      <c r="C54" s="338" t="s">
        <v>295</v>
      </c>
      <c r="D54" s="338" t="s">
        <v>266</v>
      </c>
      <c r="E54" s="338" t="s">
        <v>185</v>
      </c>
      <c r="F54" s="338"/>
      <c r="G54" s="343" t="e">
        <f>#REF!</f>
        <v>#REF!</v>
      </c>
      <c r="H54" s="343" t="e">
        <f>#REF!</f>
        <v>#REF!</v>
      </c>
      <c r="I54" s="343" t="e">
        <f>#REF!</f>
        <v>#REF!</v>
      </c>
      <c r="J54" s="343" t="e">
        <f>#REF!</f>
        <v>#REF!</v>
      </c>
      <c r="K54" s="343" t="e">
        <f>#REF!</f>
        <v>#REF!</v>
      </c>
      <c r="L54" s="343">
        <f>'Прил.№4 ведомств.'!G479</f>
        <v>273.6</v>
      </c>
      <c r="M54" s="343">
        <f>'Прил.№4 ведомств.'!H479</f>
        <v>174.6</v>
      </c>
      <c r="N54" s="339">
        <f t="shared" si="2"/>
        <v>63.815789473684205</v>
      </c>
    </row>
    <row r="55" spans="1:14" ht="37.5">
      <c r="A55" s="337" t="s">
        <v>299</v>
      </c>
      <c r="B55" s="338" t="s">
        <v>411</v>
      </c>
      <c r="C55" s="338" t="s">
        <v>295</v>
      </c>
      <c r="D55" s="338" t="s">
        <v>266</v>
      </c>
      <c r="E55" s="338" t="s">
        <v>300</v>
      </c>
      <c r="F55" s="338"/>
      <c r="G55" s="343" t="e">
        <f>G56</f>
        <v>#REF!</v>
      </c>
      <c r="H55" s="343" t="e">
        <f aca="true" t="shared" si="22" ref="H55:M55">H56</f>
        <v>#REF!</v>
      </c>
      <c r="I55" s="343" t="e">
        <f t="shared" si="22"/>
        <v>#REF!</v>
      </c>
      <c r="J55" s="343" t="e">
        <f t="shared" si="22"/>
        <v>#REF!</v>
      </c>
      <c r="K55" s="343" t="e">
        <f t="shared" si="22"/>
        <v>#REF!</v>
      </c>
      <c r="L55" s="343">
        <f t="shared" si="22"/>
        <v>1095</v>
      </c>
      <c r="M55" s="343">
        <f t="shared" si="22"/>
        <v>954</v>
      </c>
      <c r="N55" s="339">
        <f t="shared" si="2"/>
        <v>87.12328767123287</v>
      </c>
    </row>
    <row r="56" spans="1:14" ht="37.5">
      <c r="A56" s="337" t="s">
        <v>399</v>
      </c>
      <c r="B56" s="338" t="s">
        <v>411</v>
      </c>
      <c r="C56" s="338" t="s">
        <v>295</v>
      </c>
      <c r="D56" s="338" t="s">
        <v>266</v>
      </c>
      <c r="E56" s="338" t="s">
        <v>400</v>
      </c>
      <c r="F56" s="338"/>
      <c r="G56" s="343" t="e">
        <f>#REF!</f>
        <v>#REF!</v>
      </c>
      <c r="H56" s="343" t="e">
        <f>#REF!</f>
        <v>#REF!</v>
      </c>
      <c r="I56" s="343" t="e">
        <f>#REF!</f>
        <v>#REF!</v>
      </c>
      <c r="J56" s="343" t="e">
        <f>#REF!</f>
        <v>#REF!</v>
      </c>
      <c r="K56" s="343" t="e">
        <f>#REF!</f>
        <v>#REF!</v>
      </c>
      <c r="L56" s="343">
        <f>'Прил.№4 ведомств.'!G481</f>
        <v>1095</v>
      </c>
      <c r="M56" s="343">
        <f>'Прил.№4 ведомств.'!H481</f>
        <v>954</v>
      </c>
      <c r="N56" s="339">
        <f t="shared" si="2"/>
        <v>87.12328767123287</v>
      </c>
    </row>
    <row r="57" spans="1:14" ht="56.25">
      <c r="A57" s="341" t="s">
        <v>312</v>
      </c>
      <c r="B57" s="338" t="s">
        <v>410</v>
      </c>
      <c r="C57" s="338" t="s">
        <v>295</v>
      </c>
      <c r="D57" s="338" t="s">
        <v>266</v>
      </c>
      <c r="E57" s="338"/>
      <c r="F57" s="338" t="s">
        <v>704</v>
      </c>
      <c r="G57" s="343" t="e">
        <f aca="true" t="shared" si="23" ref="G57:L57">G49</f>
        <v>#REF!</v>
      </c>
      <c r="H57" s="343" t="e">
        <f t="shared" si="23"/>
        <v>#REF!</v>
      </c>
      <c r="I57" s="343" t="e">
        <f t="shared" si="23"/>
        <v>#REF!</v>
      </c>
      <c r="J57" s="343" t="e">
        <f t="shared" si="23"/>
        <v>#REF!</v>
      </c>
      <c r="K57" s="343" t="e">
        <f t="shared" si="23"/>
        <v>#REF!</v>
      </c>
      <c r="L57" s="343">
        <f t="shared" si="23"/>
        <v>1368.6</v>
      </c>
      <c r="M57" s="343">
        <f>M49</f>
        <v>1128.6</v>
      </c>
      <c r="N57" s="339">
        <f t="shared" si="2"/>
        <v>82.46383165278387</v>
      </c>
    </row>
    <row r="58" spans="1:14" ht="56.25">
      <c r="A58" s="334" t="s">
        <v>710</v>
      </c>
      <c r="B58" s="335" t="s">
        <v>413</v>
      </c>
      <c r="C58" s="335"/>
      <c r="D58" s="335"/>
      <c r="E58" s="335"/>
      <c r="F58" s="335"/>
      <c r="G58" s="342" t="e">
        <f>G59</f>
        <v>#REF!</v>
      </c>
      <c r="H58" s="342" t="e">
        <f aca="true" t="shared" si="24" ref="H58:M62">H59</f>
        <v>#REF!</v>
      </c>
      <c r="I58" s="342" t="e">
        <f t="shared" si="24"/>
        <v>#REF!</v>
      </c>
      <c r="J58" s="342" t="e">
        <f t="shared" si="24"/>
        <v>#REF!</v>
      </c>
      <c r="K58" s="342" t="e">
        <f t="shared" si="24"/>
        <v>#REF!</v>
      </c>
      <c r="L58" s="342">
        <f t="shared" si="24"/>
        <v>271.9</v>
      </c>
      <c r="M58" s="342">
        <f t="shared" si="24"/>
        <v>271.9</v>
      </c>
      <c r="N58" s="336">
        <f t="shared" si="2"/>
        <v>100</v>
      </c>
    </row>
    <row r="59" spans="1:14" ht="18.75">
      <c r="A59" s="341" t="s">
        <v>294</v>
      </c>
      <c r="B59" s="338" t="s">
        <v>413</v>
      </c>
      <c r="C59" s="338" t="s">
        <v>295</v>
      </c>
      <c r="D59" s="338"/>
      <c r="E59" s="338"/>
      <c r="F59" s="338"/>
      <c r="G59" s="343" t="e">
        <f>G60</f>
        <v>#REF!</v>
      </c>
      <c r="H59" s="343" t="e">
        <f t="shared" si="24"/>
        <v>#REF!</v>
      </c>
      <c r="I59" s="343" t="e">
        <f t="shared" si="24"/>
        <v>#REF!</v>
      </c>
      <c r="J59" s="343" t="e">
        <f t="shared" si="24"/>
        <v>#REF!</v>
      </c>
      <c r="K59" s="343" t="e">
        <f t="shared" si="24"/>
        <v>#REF!</v>
      </c>
      <c r="L59" s="343">
        <f t="shared" si="24"/>
        <v>271.9</v>
      </c>
      <c r="M59" s="343">
        <f t="shared" si="24"/>
        <v>271.9</v>
      </c>
      <c r="N59" s="339">
        <f t="shared" si="2"/>
        <v>100</v>
      </c>
    </row>
    <row r="60" spans="1:14" ht="21.75" customHeight="1">
      <c r="A60" s="341" t="s">
        <v>303</v>
      </c>
      <c r="B60" s="338" t="s">
        <v>413</v>
      </c>
      <c r="C60" s="338" t="s">
        <v>295</v>
      </c>
      <c r="D60" s="338" t="s">
        <v>266</v>
      </c>
      <c r="E60" s="338"/>
      <c r="F60" s="338"/>
      <c r="G60" s="343" t="e">
        <f>G61</f>
        <v>#REF!</v>
      </c>
      <c r="H60" s="343" t="e">
        <f t="shared" si="24"/>
        <v>#REF!</v>
      </c>
      <c r="I60" s="343" t="e">
        <f t="shared" si="24"/>
        <v>#REF!</v>
      </c>
      <c r="J60" s="343" t="e">
        <f t="shared" si="24"/>
        <v>#REF!</v>
      </c>
      <c r="K60" s="343" t="e">
        <f t="shared" si="24"/>
        <v>#REF!</v>
      </c>
      <c r="L60" s="343">
        <f t="shared" si="24"/>
        <v>271.9</v>
      </c>
      <c r="M60" s="343">
        <f t="shared" si="24"/>
        <v>271.9</v>
      </c>
      <c r="N60" s="339">
        <f t="shared" si="2"/>
        <v>100</v>
      </c>
    </row>
    <row r="61" spans="1:14" ht="37.5">
      <c r="A61" s="337" t="s">
        <v>208</v>
      </c>
      <c r="B61" s="338" t="s">
        <v>414</v>
      </c>
      <c r="C61" s="338" t="s">
        <v>295</v>
      </c>
      <c r="D61" s="338" t="s">
        <v>266</v>
      </c>
      <c r="E61" s="338"/>
      <c r="F61" s="338"/>
      <c r="G61" s="343" t="e">
        <f>G62</f>
        <v>#REF!</v>
      </c>
      <c r="H61" s="343" t="e">
        <f t="shared" si="24"/>
        <v>#REF!</v>
      </c>
      <c r="I61" s="343" t="e">
        <f t="shared" si="24"/>
        <v>#REF!</v>
      </c>
      <c r="J61" s="343" t="e">
        <f t="shared" si="24"/>
        <v>#REF!</v>
      </c>
      <c r="K61" s="343" t="e">
        <f t="shared" si="24"/>
        <v>#REF!</v>
      </c>
      <c r="L61" s="343">
        <f t="shared" si="24"/>
        <v>271.9</v>
      </c>
      <c r="M61" s="343">
        <f t="shared" si="24"/>
        <v>271.9</v>
      </c>
      <c r="N61" s="339">
        <f t="shared" si="2"/>
        <v>100</v>
      </c>
    </row>
    <row r="62" spans="1:14" ht="37.5">
      <c r="A62" s="337" t="s">
        <v>299</v>
      </c>
      <c r="B62" s="338" t="s">
        <v>414</v>
      </c>
      <c r="C62" s="338" t="s">
        <v>295</v>
      </c>
      <c r="D62" s="338" t="s">
        <v>266</v>
      </c>
      <c r="E62" s="338" t="s">
        <v>300</v>
      </c>
      <c r="F62" s="338"/>
      <c r="G62" s="343" t="e">
        <f>G63</f>
        <v>#REF!</v>
      </c>
      <c r="H62" s="343" t="e">
        <f t="shared" si="24"/>
        <v>#REF!</v>
      </c>
      <c r="I62" s="343" t="e">
        <f t="shared" si="24"/>
        <v>#REF!</v>
      </c>
      <c r="J62" s="343" t="e">
        <f t="shared" si="24"/>
        <v>#REF!</v>
      </c>
      <c r="K62" s="343" t="e">
        <f t="shared" si="24"/>
        <v>#REF!</v>
      </c>
      <c r="L62" s="343">
        <f t="shared" si="24"/>
        <v>271.9</v>
      </c>
      <c r="M62" s="343">
        <f t="shared" si="24"/>
        <v>271.9</v>
      </c>
      <c r="N62" s="339">
        <f t="shared" si="2"/>
        <v>100</v>
      </c>
    </row>
    <row r="63" spans="1:14" ht="37.5">
      <c r="A63" s="337" t="s">
        <v>399</v>
      </c>
      <c r="B63" s="338" t="s">
        <v>414</v>
      </c>
      <c r="C63" s="338" t="s">
        <v>295</v>
      </c>
      <c r="D63" s="338" t="s">
        <v>266</v>
      </c>
      <c r="E63" s="338" t="s">
        <v>400</v>
      </c>
      <c r="F63" s="338"/>
      <c r="G63" s="343" t="e">
        <f>#REF!</f>
        <v>#REF!</v>
      </c>
      <c r="H63" s="343" t="e">
        <f>#REF!</f>
        <v>#REF!</v>
      </c>
      <c r="I63" s="343" t="e">
        <f>#REF!</f>
        <v>#REF!</v>
      </c>
      <c r="J63" s="343" t="e">
        <f>#REF!</f>
        <v>#REF!</v>
      </c>
      <c r="K63" s="343" t="e">
        <f>#REF!</f>
        <v>#REF!</v>
      </c>
      <c r="L63" s="343">
        <f>'Прил.№4 ведомств.'!G485</f>
        <v>271.9</v>
      </c>
      <c r="M63" s="343">
        <f>'Прил.№4 ведомств.'!H485</f>
        <v>271.9</v>
      </c>
      <c r="N63" s="339">
        <f t="shared" si="2"/>
        <v>100</v>
      </c>
    </row>
    <row r="64" spans="1:14" ht="56.25">
      <c r="A64" s="341" t="s">
        <v>312</v>
      </c>
      <c r="B64" s="338" t="s">
        <v>413</v>
      </c>
      <c r="C64" s="338" t="s">
        <v>295</v>
      </c>
      <c r="D64" s="338" t="s">
        <v>266</v>
      </c>
      <c r="E64" s="338"/>
      <c r="F64" s="338" t="s">
        <v>704</v>
      </c>
      <c r="G64" s="343" t="e">
        <f aca="true" t="shared" si="25" ref="G64:M64">G58</f>
        <v>#REF!</v>
      </c>
      <c r="H64" s="343" t="e">
        <f t="shared" si="25"/>
        <v>#REF!</v>
      </c>
      <c r="I64" s="343" t="e">
        <f t="shared" si="25"/>
        <v>#REF!</v>
      </c>
      <c r="J64" s="343" t="e">
        <f t="shared" si="25"/>
        <v>#REF!</v>
      </c>
      <c r="K64" s="343" t="e">
        <f t="shared" si="25"/>
        <v>#REF!</v>
      </c>
      <c r="L64" s="343">
        <f t="shared" si="25"/>
        <v>271.9</v>
      </c>
      <c r="M64" s="343">
        <f t="shared" si="25"/>
        <v>271.9</v>
      </c>
      <c r="N64" s="339">
        <f t="shared" si="2"/>
        <v>100</v>
      </c>
    </row>
    <row r="65" spans="1:14" ht="75">
      <c r="A65" s="334" t="s">
        <v>415</v>
      </c>
      <c r="B65" s="335" t="s">
        <v>416</v>
      </c>
      <c r="C65" s="335"/>
      <c r="D65" s="335"/>
      <c r="E65" s="335"/>
      <c r="F65" s="335"/>
      <c r="G65" s="342" t="e">
        <f>G66</f>
        <v>#REF!</v>
      </c>
      <c r="H65" s="342" t="e">
        <f aca="true" t="shared" si="26" ref="H65:M69">H66</f>
        <v>#REF!</v>
      </c>
      <c r="I65" s="342" t="e">
        <f t="shared" si="26"/>
        <v>#REF!</v>
      </c>
      <c r="J65" s="342" t="e">
        <f t="shared" si="26"/>
        <v>#REF!</v>
      </c>
      <c r="K65" s="342" t="e">
        <f t="shared" si="26"/>
        <v>#REF!</v>
      </c>
      <c r="L65" s="342">
        <f t="shared" si="26"/>
        <v>260</v>
      </c>
      <c r="M65" s="342">
        <f t="shared" si="26"/>
        <v>192.3</v>
      </c>
      <c r="N65" s="336">
        <f t="shared" si="2"/>
        <v>73.96153846153847</v>
      </c>
    </row>
    <row r="66" spans="1:14" ht="18.75">
      <c r="A66" s="341" t="s">
        <v>294</v>
      </c>
      <c r="B66" s="338" t="s">
        <v>416</v>
      </c>
      <c r="C66" s="338" t="s">
        <v>295</v>
      </c>
      <c r="D66" s="338"/>
      <c r="E66" s="338"/>
      <c r="F66" s="338"/>
      <c r="G66" s="343" t="e">
        <f>G67</f>
        <v>#REF!</v>
      </c>
      <c r="H66" s="343" t="e">
        <f t="shared" si="26"/>
        <v>#REF!</v>
      </c>
      <c r="I66" s="343" t="e">
        <f t="shared" si="26"/>
        <v>#REF!</v>
      </c>
      <c r="J66" s="343" t="e">
        <f t="shared" si="26"/>
        <v>#REF!</v>
      </c>
      <c r="K66" s="343" t="e">
        <f t="shared" si="26"/>
        <v>#REF!</v>
      </c>
      <c r="L66" s="343">
        <f t="shared" si="26"/>
        <v>260</v>
      </c>
      <c r="M66" s="343">
        <f t="shared" si="26"/>
        <v>192.3</v>
      </c>
      <c r="N66" s="339">
        <f t="shared" si="2"/>
        <v>73.96153846153847</v>
      </c>
    </row>
    <row r="67" spans="1:14" ht="18.75">
      <c r="A67" s="341" t="s">
        <v>303</v>
      </c>
      <c r="B67" s="338" t="s">
        <v>416</v>
      </c>
      <c r="C67" s="338" t="s">
        <v>295</v>
      </c>
      <c r="D67" s="338" t="s">
        <v>266</v>
      </c>
      <c r="E67" s="338"/>
      <c r="F67" s="338"/>
      <c r="G67" s="343" t="e">
        <f>G68</f>
        <v>#REF!</v>
      </c>
      <c r="H67" s="343" t="e">
        <f t="shared" si="26"/>
        <v>#REF!</v>
      </c>
      <c r="I67" s="343" t="e">
        <f t="shared" si="26"/>
        <v>#REF!</v>
      </c>
      <c r="J67" s="343" t="e">
        <f t="shared" si="26"/>
        <v>#REF!</v>
      </c>
      <c r="K67" s="343" t="e">
        <f t="shared" si="26"/>
        <v>#REF!</v>
      </c>
      <c r="L67" s="343">
        <f t="shared" si="26"/>
        <v>260</v>
      </c>
      <c r="M67" s="343">
        <f t="shared" si="26"/>
        <v>192.3</v>
      </c>
      <c r="N67" s="339">
        <f t="shared" si="2"/>
        <v>73.96153846153847</v>
      </c>
    </row>
    <row r="68" spans="1:14" ht="42.75" customHeight="1">
      <c r="A68" s="337" t="s">
        <v>208</v>
      </c>
      <c r="B68" s="338" t="s">
        <v>417</v>
      </c>
      <c r="C68" s="338" t="s">
        <v>295</v>
      </c>
      <c r="D68" s="338" t="s">
        <v>266</v>
      </c>
      <c r="E68" s="338"/>
      <c r="F68" s="338"/>
      <c r="G68" s="343" t="e">
        <f>G69</f>
        <v>#REF!</v>
      </c>
      <c r="H68" s="343" t="e">
        <f t="shared" si="26"/>
        <v>#REF!</v>
      </c>
      <c r="I68" s="343" t="e">
        <f t="shared" si="26"/>
        <v>#REF!</v>
      </c>
      <c r="J68" s="343" t="e">
        <f t="shared" si="26"/>
        <v>#REF!</v>
      </c>
      <c r="K68" s="343" t="e">
        <f t="shared" si="26"/>
        <v>#REF!</v>
      </c>
      <c r="L68" s="343">
        <f t="shared" si="26"/>
        <v>260</v>
      </c>
      <c r="M68" s="343">
        <f t="shared" si="26"/>
        <v>192.3</v>
      </c>
      <c r="N68" s="339">
        <f t="shared" si="2"/>
        <v>73.96153846153847</v>
      </c>
    </row>
    <row r="69" spans="1:14" ht="37.5">
      <c r="A69" s="337" t="s">
        <v>182</v>
      </c>
      <c r="B69" s="338" t="s">
        <v>417</v>
      </c>
      <c r="C69" s="338" t="s">
        <v>295</v>
      </c>
      <c r="D69" s="338" t="s">
        <v>266</v>
      </c>
      <c r="E69" s="338" t="s">
        <v>183</v>
      </c>
      <c r="F69" s="338"/>
      <c r="G69" s="343" t="e">
        <f>G70</f>
        <v>#REF!</v>
      </c>
      <c r="H69" s="343" t="e">
        <f t="shared" si="26"/>
        <v>#REF!</v>
      </c>
      <c r="I69" s="343" t="e">
        <f t="shared" si="26"/>
        <v>#REF!</v>
      </c>
      <c r="J69" s="343" t="e">
        <f t="shared" si="26"/>
        <v>#REF!</v>
      </c>
      <c r="K69" s="343" t="e">
        <f t="shared" si="26"/>
        <v>#REF!</v>
      </c>
      <c r="L69" s="343">
        <f t="shared" si="26"/>
        <v>260</v>
      </c>
      <c r="M69" s="343">
        <f t="shared" si="26"/>
        <v>192.3</v>
      </c>
      <c r="N69" s="339">
        <f t="shared" si="2"/>
        <v>73.96153846153847</v>
      </c>
    </row>
    <row r="70" spans="1:14" ht="56.25">
      <c r="A70" s="337" t="s">
        <v>184</v>
      </c>
      <c r="B70" s="338" t="s">
        <v>417</v>
      </c>
      <c r="C70" s="338" t="s">
        <v>295</v>
      </c>
      <c r="D70" s="338" t="s">
        <v>266</v>
      </c>
      <c r="E70" s="338" t="s">
        <v>185</v>
      </c>
      <c r="F70" s="338"/>
      <c r="G70" s="343" t="e">
        <f>#REF!</f>
        <v>#REF!</v>
      </c>
      <c r="H70" s="343" t="e">
        <f>#REF!</f>
        <v>#REF!</v>
      </c>
      <c r="I70" s="343" t="e">
        <f>#REF!</f>
        <v>#REF!</v>
      </c>
      <c r="J70" s="343" t="e">
        <f>#REF!</f>
        <v>#REF!</v>
      </c>
      <c r="K70" s="343" t="e">
        <f>#REF!</f>
        <v>#REF!</v>
      </c>
      <c r="L70" s="343">
        <f>'Прил.№4 ведомств.'!G489</f>
        <v>260</v>
      </c>
      <c r="M70" s="343">
        <f>'Прил.№4 ведомств.'!H489</f>
        <v>192.3</v>
      </c>
      <c r="N70" s="339">
        <f t="shared" si="2"/>
        <v>73.96153846153847</v>
      </c>
    </row>
    <row r="71" spans="1:14" ht="56.25">
      <c r="A71" s="341" t="s">
        <v>312</v>
      </c>
      <c r="B71" s="338" t="s">
        <v>416</v>
      </c>
      <c r="C71" s="338" t="s">
        <v>295</v>
      </c>
      <c r="D71" s="338" t="s">
        <v>266</v>
      </c>
      <c r="E71" s="338"/>
      <c r="F71" s="338" t="s">
        <v>704</v>
      </c>
      <c r="G71" s="343" t="e">
        <f aca="true" t="shared" si="27" ref="G71:M71">G65</f>
        <v>#REF!</v>
      </c>
      <c r="H71" s="343" t="e">
        <f t="shared" si="27"/>
        <v>#REF!</v>
      </c>
      <c r="I71" s="343" t="e">
        <f t="shared" si="27"/>
        <v>#REF!</v>
      </c>
      <c r="J71" s="343" t="e">
        <f t="shared" si="27"/>
        <v>#REF!</v>
      </c>
      <c r="K71" s="343" t="e">
        <f t="shared" si="27"/>
        <v>#REF!</v>
      </c>
      <c r="L71" s="343">
        <f t="shared" si="27"/>
        <v>260</v>
      </c>
      <c r="M71" s="343">
        <f t="shared" si="27"/>
        <v>192.3</v>
      </c>
      <c r="N71" s="339">
        <f t="shared" si="2"/>
        <v>73.96153846153847</v>
      </c>
    </row>
    <row r="72" spans="1:14" ht="75">
      <c r="A72" s="345" t="s">
        <v>418</v>
      </c>
      <c r="B72" s="335" t="s">
        <v>419</v>
      </c>
      <c r="C72" s="335"/>
      <c r="D72" s="335"/>
      <c r="E72" s="335"/>
      <c r="F72" s="335"/>
      <c r="G72" s="342" t="e">
        <f>G73</f>
        <v>#REF!</v>
      </c>
      <c r="H72" s="342" t="e">
        <f aca="true" t="shared" si="28" ref="H72:M73">H73</f>
        <v>#REF!</v>
      </c>
      <c r="I72" s="342" t="e">
        <f t="shared" si="28"/>
        <v>#REF!</v>
      </c>
      <c r="J72" s="342" t="e">
        <f t="shared" si="28"/>
        <v>#REF!</v>
      </c>
      <c r="K72" s="342" t="e">
        <f t="shared" si="28"/>
        <v>#REF!</v>
      </c>
      <c r="L72" s="342">
        <f t="shared" si="28"/>
        <v>20</v>
      </c>
      <c r="M72" s="342">
        <f t="shared" si="28"/>
        <v>0</v>
      </c>
      <c r="N72" s="336">
        <f t="shared" si="2"/>
        <v>0</v>
      </c>
    </row>
    <row r="73" spans="1:14" ht="18.75">
      <c r="A73" s="341" t="s">
        <v>294</v>
      </c>
      <c r="B73" s="338" t="s">
        <v>419</v>
      </c>
      <c r="C73" s="338" t="s">
        <v>295</v>
      </c>
      <c r="D73" s="338"/>
      <c r="E73" s="338"/>
      <c r="F73" s="338"/>
      <c r="G73" s="343" t="e">
        <f>G74</f>
        <v>#REF!</v>
      </c>
      <c r="H73" s="343" t="e">
        <f t="shared" si="28"/>
        <v>#REF!</v>
      </c>
      <c r="I73" s="343" t="e">
        <f t="shared" si="28"/>
        <v>#REF!</v>
      </c>
      <c r="J73" s="343" t="e">
        <f t="shared" si="28"/>
        <v>#REF!</v>
      </c>
      <c r="K73" s="343" t="e">
        <f t="shared" si="28"/>
        <v>#REF!</v>
      </c>
      <c r="L73" s="343">
        <f t="shared" si="28"/>
        <v>20</v>
      </c>
      <c r="M73" s="343">
        <f t="shared" si="28"/>
        <v>0</v>
      </c>
      <c r="N73" s="339">
        <f t="shared" si="2"/>
        <v>0</v>
      </c>
    </row>
    <row r="74" spans="1:14" ht="18.75">
      <c r="A74" s="341" t="s">
        <v>303</v>
      </c>
      <c r="B74" s="338" t="s">
        <v>419</v>
      </c>
      <c r="C74" s="338" t="s">
        <v>295</v>
      </c>
      <c r="D74" s="338" t="s">
        <v>266</v>
      </c>
      <c r="E74" s="338"/>
      <c r="F74" s="338"/>
      <c r="G74" s="343" t="e">
        <f aca="true" t="shared" si="29" ref="G74:M74">G75+G93+G84+G88+G80</f>
        <v>#REF!</v>
      </c>
      <c r="H74" s="343" t="e">
        <f t="shared" si="29"/>
        <v>#REF!</v>
      </c>
      <c r="I74" s="343" t="e">
        <f t="shared" si="29"/>
        <v>#REF!</v>
      </c>
      <c r="J74" s="343" t="e">
        <f t="shared" si="29"/>
        <v>#REF!</v>
      </c>
      <c r="K74" s="343" t="e">
        <f t="shared" si="29"/>
        <v>#REF!</v>
      </c>
      <c r="L74" s="343">
        <f t="shared" si="29"/>
        <v>20</v>
      </c>
      <c r="M74" s="343">
        <f t="shared" si="29"/>
        <v>0</v>
      </c>
      <c r="N74" s="339">
        <f t="shared" si="2"/>
        <v>0</v>
      </c>
    </row>
    <row r="75" spans="1:14" ht="45" customHeight="1">
      <c r="A75" s="337" t="s">
        <v>208</v>
      </c>
      <c r="B75" s="338" t="s">
        <v>421</v>
      </c>
      <c r="C75" s="338" t="s">
        <v>295</v>
      </c>
      <c r="D75" s="338" t="s">
        <v>266</v>
      </c>
      <c r="E75" s="338"/>
      <c r="F75" s="338"/>
      <c r="G75" s="343" t="e">
        <f aca="true" t="shared" si="30" ref="G75:M75">G78+G76</f>
        <v>#REF!</v>
      </c>
      <c r="H75" s="343" t="e">
        <f t="shared" si="30"/>
        <v>#REF!</v>
      </c>
      <c r="I75" s="343" t="e">
        <f t="shared" si="30"/>
        <v>#REF!</v>
      </c>
      <c r="J75" s="343" t="e">
        <f t="shared" si="30"/>
        <v>#REF!</v>
      </c>
      <c r="K75" s="343" t="e">
        <f t="shared" si="30"/>
        <v>#REF!</v>
      </c>
      <c r="L75" s="343">
        <f t="shared" si="30"/>
        <v>10</v>
      </c>
      <c r="M75" s="343">
        <f t="shared" si="30"/>
        <v>0</v>
      </c>
      <c r="N75" s="339">
        <f aca="true" t="shared" si="31" ref="N75:N138">M75/L75*100</f>
        <v>0</v>
      </c>
    </row>
    <row r="76" spans="1:14" ht="37.5" hidden="1">
      <c r="A76" s="337" t="s">
        <v>182</v>
      </c>
      <c r="B76" s="338" t="s">
        <v>419</v>
      </c>
      <c r="C76" s="338" t="s">
        <v>295</v>
      </c>
      <c r="D76" s="338" t="s">
        <v>266</v>
      </c>
      <c r="E76" s="338" t="s">
        <v>183</v>
      </c>
      <c r="F76" s="338"/>
      <c r="G76" s="343">
        <f>G77</f>
        <v>0</v>
      </c>
      <c r="H76" s="343">
        <f aca="true" t="shared" si="32" ref="H76:M76">H77</f>
        <v>0</v>
      </c>
      <c r="I76" s="343">
        <f t="shared" si="32"/>
        <v>0</v>
      </c>
      <c r="J76" s="343">
        <f t="shared" si="32"/>
        <v>0</v>
      </c>
      <c r="K76" s="343">
        <f t="shared" si="32"/>
        <v>0</v>
      </c>
      <c r="L76" s="343">
        <f t="shared" si="32"/>
        <v>0</v>
      </c>
      <c r="M76" s="343">
        <f t="shared" si="32"/>
        <v>0</v>
      </c>
      <c r="N76" s="339" t="e">
        <f t="shared" si="31"/>
        <v>#DIV/0!</v>
      </c>
    </row>
    <row r="77" spans="1:14" ht="56.25" hidden="1">
      <c r="A77" s="337" t="s">
        <v>184</v>
      </c>
      <c r="B77" s="338" t="s">
        <v>419</v>
      </c>
      <c r="C77" s="338" t="s">
        <v>295</v>
      </c>
      <c r="D77" s="338" t="s">
        <v>266</v>
      </c>
      <c r="E77" s="338" t="s">
        <v>185</v>
      </c>
      <c r="F77" s="338"/>
      <c r="G77" s="343"/>
      <c r="H77" s="343"/>
      <c r="I77" s="343"/>
      <c r="J77" s="343"/>
      <c r="K77" s="343"/>
      <c r="L77" s="343"/>
      <c r="M77" s="343"/>
      <c r="N77" s="339" t="e">
        <f t="shared" si="31"/>
        <v>#DIV/0!</v>
      </c>
    </row>
    <row r="78" spans="1:14" ht="56.25">
      <c r="A78" s="340" t="s">
        <v>323</v>
      </c>
      <c r="B78" s="338" t="s">
        <v>421</v>
      </c>
      <c r="C78" s="338" t="s">
        <v>295</v>
      </c>
      <c r="D78" s="338" t="s">
        <v>266</v>
      </c>
      <c r="E78" s="338" t="s">
        <v>324</v>
      </c>
      <c r="F78" s="338"/>
      <c r="G78" s="343" t="e">
        <f>G79</f>
        <v>#REF!</v>
      </c>
      <c r="H78" s="343" t="e">
        <f aca="true" t="shared" si="33" ref="H78:M78">H79</f>
        <v>#REF!</v>
      </c>
      <c r="I78" s="343" t="e">
        <f t="shared" si="33"/>
        <v>#REF!</v>
      </c>
      <c r="J78" s="343" t="e">
        <f t="shared" si="33"/>
        <v>#REF!</v>
      </c>
      <c r="K78" s="343" t="e">
        <f t="shared" si="33"/>
        <v>#REF!</v>
      </c>
      <c r="L78" s="343">
        <f t="shared" si="33"/>
        <v>10</v>
      </c>
      <c r="M78" s="343">
        <f t="shared" si="33"/>
        <v>0</v>
      </c>
      <c r="N78" s="339">
        <f t="shared" si="31"/>
        <v>0</v>
      </c>
    </row>
    <row r="79" spans="1:14" ht="46.5" customHeight="1">
      <c r="A79" s="340" t="s">
        <v>422</v>
      </c>
      <c r="B79" s="338" t="s">
        <v>421</v>
      </c>
      <c r="C79" s="338" t="s">
        <v>295</v>
      </c>
      <c r="D79" s="338" t="s">
        <v>266</v>
      </c>
      <c r="E79" s="338" t="s">
        <v>423</v>
      </c>
      <c r="F79" s="338"/>
      <c r="G79" s="343" t="e">
        <f>#REF!</f>
        <v>#REF!</v>
      </c>
      <c r="H79" s="343" t="e">
        <f>#REF!</f>
        <v>#REF!</v>
      </c>
      <c r="I79" s="343" t="e">
        <f>#REF!</f>
        <v>#REF!</v>
      </c>
      <c r="J79" s="343" t="e">
        <f>#REF!</f>
        <v>#REF!</v>
      </c>
      <c r="K79" s="343" t="e">
        <f>#REF!</f>
        <v>#REF!</v>
      </c>
      <c r="L79" s="343">
        <f>'Прил.№4 ведомств.'!G493</f>
        <v>10</v>
      </c>
      <c r="M79" s="343">
        <f>'Прил.№4 ведомств.'!H493</f>
        <v>0</v>
      </c>
      <c r="N79" s="339">
        <f t="shared" si="31"/>
        <v>0</v>
      </c>
    </row>
    <row r="80" spans="1:14" ht="75">
      <c r="A80" s="340" t="s">
        <v>426</v>
      </c>
      <c r="B80" s="344" t="s">
        <v>427</v>
      </c>
      <c r="C80" s="338" t="s">
        <v>295</v>
      </c>
      <c r="D80" s="338" t="s">
        <v>266</v>
      </c>
      <c r="E80" s="338"/>
      <c r="F80" s="338"/>
      <c r="G80" s="343" t="e">
        <f>G81</f>
        <v>#REF!</v>
      </c>
      <c r="H80" s="343" t="e">
        <f aca="true" t="shared" si="34" ref="H80:M81">H81</f>
        <v>#REF!</v>
      </c>
      <c r="I80" s="343" t="e">
        <f t="shared" si="34"/>
        <v>#REF!</v>
      </c>
      <c r="J80" s="343" t="e">
        <f t="shared" si="34"/>
        <v>#REF!</v>
      </c>
      <c r="K80" s="343" t="e">
        <f t="shared" si="34"/>
        <v>#REF!</v>
      </c>
      <c r="L80" s="343">
        <f t="shared" si="34"/>
        <v>10</v>
      </c>
      <c r="M80" s="343">
        <f t="shared" si="34"/>
        <v>0</v>
      </c>
      <c r="N80" s="339">
        <f t="shared" si="31"/>
        <v>0</v>
      </c>
    </row>
    <row r="81" spans="1:14" ht="37.5">
      <c r="A81" s="340" t="s">
        <v>299</v>
      </c>
      <c r="B81" s="344" t="s">
        <v>427</v>
      </c>
      <c r="C81" s="338" t="s">
        <v>295</v>
      </c>
      <c r="D81" s="338" t="s">
        <v>266</v>
      </c>
      <c r="E81" s="338" t="s">
        <v>300</v>
      </c>
      <c r="F81" s="338"/>
      <c r="G81" s="343" t="e">
        <f>G82</f>
        <v>#REF!</v>
      </c>
      <c r="H81" s="343" t="e">
        <f t="shared" si="34"/>
        <v>#REF!</v>
      </c>
      <c r="I81" s="343" t="e">
        <f t="shared" si="34"/>
        <v>#REF!</v>
      </c>
      <c r="J81" s="343" t="e">
        <f t="shared" si="34"/>
        <v>#REF!</v>
      </c>
      <c r="K81" s="343" t="e">
        <f t="shared" si="34"/>
        <v>#REF!</v>
      </c>
      <c r="L81" s="343">
        <f t="shared" si="34"/>
        <v>10</v>
      </c>
      <c r="M81" s="343">
        <f t="shared" si="34"/>
        <v>0</v>
      </c>
      <c r="N81" s="339">
        <f t="shared" si="31"/>
        <v>0</v>
      </c>
    </row>
    <row r="82" spans="1:14" ht="37.5">
      <c r="A82" s="340" t="s">
        <v>301</v>
      </c>
      <c r="B82" s="344" t="s">
        <v>427</v>
      </c>
      <c r="C82" s="338" t="s">
        <v>295</v>
      </c>
      <c r="D82" s="338" t="s">
        <v>266</v>
      </c>
      <c r="E82" s="338" t="s">
        <v>302</v>
      </c>
      <c r="F82" s="338"/>
      <c r="G82" s="343" t="e">
        <f>#REF!</f>
        <v>#REF!</v>
      </c>
      <c r="H82" s="343" t="e">
        <f>#REF!</f>
        <v>#REF!</v>
      </c>
      <c r="I82" s="343" t="e">
        <f>#REF!</f>
        <v>#REF!</v>
      </c>
      <c r="J82" s="343" t="e">
        <f>#REF!</f>
        <v>#REF!</v>
      </c>
      <c r="K82" s="343" t="e">
        <f>#REF!</f>
        <v>#REF!</v>
      </c>
      <c r="L82" s="343">
        <f>'Прил.№4 ведомств.'!G502</f>
        <v>10</v>
      </c>
      <c r="M82" s="343">
        <f>'Прил.№4 ведомств.'!H502</f>
        <v>0</v>
      </c>
      <c r="N82" s="339">
        <f t="shared" si="31"/>
        <v>0</v>
      </c>
    </row>
    <row r="83" spans="1:14" ht="56.25">
      <c r="A83" s="341" t="s">
        <v>312</v>
      </c>
      <c r="B83" s="344" t="s">
        <v>419</v>
      </c>
      <c r="C83" s="338" t="s">
        <v>295</v>
      </c>
      <c r="D83" s="338" t="s">
        <v>266</v>
      </c>
      <c r="E83" s="338"/>
      <c r="F83" s="346" t="s">
        <v>704</v>
      </c>
      <c r="G83" s="343" t="e">
        <f aca="true" t="shared" si="35" ref="G83:M83">G72</f>
        <v>#REF!</v>
      </c>
      <c r="H83" s="343" t="e">
        <f t="shared" si="35"/>
        <v>#REF!</v>
      </c>
      <c r="I83" s="343" t="e">
        <f t="shared" si="35"/>
        <v>#REF!</v>
      </c>
      <c r="J83" s="343" t="e">
        <f t="shared" si="35"/>
        <v>#REF!</v>
      </c>
      <c r="K83" s="343" t="e">
        <f t="shared" si="35"/>
        <v>#REF!</v>
      </c>
      <c r="L83" s="343">
        <f t="shared" si="35"/>
        <v>20</v>
      </c>
      <c r="M83" s="343">
        <f t="shared" si="35"/>
        <v>0</v>
      </c>
      <c r="N83" s="339">
        <f t="shared" si="31"/>
        <v>0</v>
      </c>
    </row>
    <row r="84" spans="1:14" ht="150" hidden="1">
      <c r="A84" s="340" t="s">
        <v>424</v>
      </c>
      <c r="B84" s="344" t="s">
        <v>425</v>
      </c>
      <c r="C84" s="338" t="s">
        <v>295</v>
      </c>
      <c r="D84" s="338" t="s">
        <v>266</v>
      </c>
      <c r="E84" s="338"/>
      <c r="F84" s="346"/>
      <c r="G84" s="343">
        <f>G85</f>
        <v>0</v>
      </c>
      <c r="H84" s="343">
        <f aca="true" t="shared" si="36" ref="H84:M85">H85</f>
        <v>0</v>
      </c>
      <c r="I84" s="343">
        <f t="shared" si="36"/>
        <v>0</v>
      </c>
      <c r="J84" s="343">
        <f t="shared" si="36"/>
        <v>0</v>
      </c>
      <c r="K84" s="343">
        <f t="shared" si="36"/>
        <v>0</v>
      </c>
      <c r="L84" s="343">
        <f t="shared" si="36"/>
        <v>0</v>
      </c>
      <c r="M84" s="343">
        <f t="shared" si="36"/>
        <v>0</v>
      </c>
      <c r="N84" s="336" t="e">
        <f t="shared" si="31"/>
        <v>#DIV/0!</v>
      </c>
    </row>
    <row r="85" spans="1:14" ht="18.75" hidden="1">
      <c r="A85" s="340" t="s">
        <v>186</v>
      </c>
      <c r="B85" s="344" t="s">
        <v>425</v>
      </c>
      <c r="C85" s="338" t="s">
        <v>295</v>
      </c>
      <c r="D85" s="338" t="s">
        <v>266</v>
      </c>
      <c r="E85" s="338" t="s">
        <v>196</v>
      </c>
      <c r="F85" s="346"/>
      <c r="G85" s="343">
        <f>G86</f>
        <v>0</v>
      </c>
      <c r="H85" s="343">
        <f t="shared" si="36"/>
        <v>0</v>
      </c>
      <c r="I85" s="343">
        <f t="shared" si="36"/>
        <v>0</v>
      </c>
      <c r="J85" s="343">
        <f t="shared" si="36"/>
        <v>0</v>
      </c>
      <c r="K85" s="343">
        <f t="shared" si="36"/>
        <v>0</v>
      </c>
      <c r="L85" s="343">
        <f t="shared" si="36"/>
        <v>0</v>
      </c>
      <c r="M85" s="343">
        <f t="shared" si="36"/>
        <v>0</v>
      </c>
      <c r="N85" s="336" t="e">
        <f t="shared" si="31"/>
        <v>#DIV/0!</v>
      </c>
    </row>
    <row r="86" spans="1:14" ht="75" hidden="1">
      <c r="A86" s="340" t="s">
        <v>235</v>
      </c>
      <c r="B86" s="344" t="s">
        <v>425</v>
      </c>
      <c r="C86" s="338" t="s">
        <v>295</v>
      </c>
      <c r="D86" s="338" t="s">
        <v>266</v>
      </c>
      <c r="E86" s="338" t="s">
        <v>211</v>
      </c>
      <c r="F86" s="346"/>
      <c r="G86" s="343"/>
      <c r="H86" s="343"/>
      <c r="I86" s="343"/>
      <c r="J86" s="343"/>
      <c r="K86" s="343"/>
      <c r="L86" s="343"/>
      <c r="M86" s="343"/>
      <c r="N86" s="336" t="e">
        <f t="shared" si="31"/>
        <v>#DIV/0!</v>
      </c>
    </row>
    <row r="87" spans="1:14" ht="56.25" hidden="1">
      <c r="A87" s="341" t="s">
        <v>312</v>
      </c>
      <c r="B87" s="344" t="s">
        <v>425</v>
      </c>
      <c r="C87" s="338" t="s">
        <v>295</v>
      </c>
      <c r="D87" s="338" t="s">
        <v>266</v>
      </c>
      <c r="E87" s="338"/>
      <c r="F87" s="346" t="s">
        <v>704</v>
      </c>
      <c r="G87" s="343">
        <f aca="true" t="shared" si="37" ref="G87:M87">G86</f>
        <v>0</v>
      </c>
      <c r="H87" s="343">
        <f t="shared" si="37"/>
        <v>0</v>
      </c>
      <c r="I87" s="343">
        <f t="shared" si="37"/>
        <v>0</v>
      </c>
      <c r="J87" s="343">
        <f t="shared" si="37"/>
        <v>0</v>
      </c>
      <c r="K87" s="343">
        <f t="shared" si="37"/>
        <v>0</v>
      </c>
      <c r="L87" s="343">
        <f t="shared" si="37"/>
        <v>0</v>
      </c>
      <c r="M87" s="343">
        <f t="shared" si="37"/>
        <v>0</v>
      </c>
      <c r="N87" s="336" t="e">
        <f t="shared" si="31"/>
        <v>#DIV/0!</v>
      </c>
    </row>
    <row r="88" spans="1:14" ht="75" hidden="1">
      <c r="A88" s="340" t="s">
        <v>426</v>
      </c>
      <c r="B88" s="344" t="s">
        <v>427</v>
      </c>
      <c r="C88" s="338" t="s">
        <v>295</v>
      </c>
      <c r="D88" s="338" t="s">
        <v>266</v>
      </c>
      <c r="E88" s="338"/>
      <c r="F88" s="346"/>
      <c r="G88" s="343">
        <f>G89</f>
        <v>0</v>
      </c>
      <c r="H88" s="343">
        <f aca="true" t="shared" si="38" ref="H88:M89">H89</f>
        <v>0</v>
      </c>
      <c r="I88" s="343">
        <f t="shared" si="38"/>
        <v>0</v>
      </c>
      <c r="J88" s="343">
        <f t="shared" si="38"/>
        <v>0</v>
      </c>
      <c r="K88" s="343">
        <f t="shared" si="38"/>
        <v>0</v>
      </c>
      <c r="L88" s="343">
        <f t="shared" si="38"/>
        <v>0</v>
      </c>
      <c r="M88" s="343">
        <f t="shared" si="38"/>
        <v>0</v>
      </c>
      <c r="N88" s="336" t="e">
        <f t="shared" si="31"/>
        <v>#DIV/0!</v>
      </c>
    </row>
    <row r="89" spans="1:14" ht="37.5" hidden="1">
      <c r="A89" s="337" t="s">
        <v>299</v>
      </c>
      <c r="B89" s="344" t="s">
        <v>427</v>
      </c>
      <c r="C89" s="338" t="s">
        <v>295</v>
      </c>
      <c r="D89" s="338" t="s">
        <v>266</v>
      </c>
      <c r="E89" s="338" t="s">
        <v>300</v>
      </c>
      <c r="F89" s="346"/>
      <c r="G89" s="343">
        <f>G90</f>
        <v>0</v>
      </c>
      <c r="H89" s="343">
        <f t="shared" si="38"/>
        <v>0</v>
      </c>
      <c r="I89" s="343">
        <f t="shared" si="38"/>
        <v>0</v>
      </c>
      <c r="J89" s="343">
        <f t="shared" si="38"/>
        <v>0</v>
      </c>
      <c r="K89" s="343">
        <f t="shared" si="38"/>
        <v>0</v>
      </c>
      <c r="L89" s="343">
        <f t="shared" si="38"/>
        <v>0</v>
      </c>
      <c r="M89" s="343">
        <f t="shared" si="38"/>
        <v>0</v>
      </c>
      <c r="N89" s="336" t="e">
        <f t="shared" si="31"/>
        <v>#DIV/0!</v>
      </c>
    </row>
    <row r="90" spans="1:14" ht="37.5" hidden="1">
      <c r="A90" s="337" t="s">
        <v>301</v>
      </c>
      <c r="B90" s="344" t="s">
        <v>427</v>
      </c>
      <c r="C90" s="338" t="s">
        <v>295</v>
      </c>
      <c r="D90" s="338" t="s">
        <v>266</v>
      </c>
      <c r="E90" s="338" t="s">
        <v>302</v>
      </c>
      <c r="F90" s="346"/>
      <c r="G90" s="343"/>
      <c r="H90" s="343"/>
      <c r="I90" s="343"/>
      <c r="J90" s="343"/>
      <c r="K90" s="343"/>
      <c r="L90" s="343"/>
      <c r="M90" s="343"/>
      <c r="N90" s="336" t="e">
        <f t="shared" si="31"/>
        <v>#DIV/0!</v>
      </c>
    </row>
    <row r="91" spans="1:14" ht="56.25" hidden="1">
      <c r="A91" s="341" t="s">
        <v>312</v>
      </c>
      <c r="B91" s="344" t="s">
        <v>427</v>
      </c>
      <c r="C91" s="338" t="s">
        <v>295</v>
      </c>
      <c r="D91" s="338" t="s">
        <v>266</v>
      </c>
      <c r="E91" s="338"/>
      <c r="F91" s="346" t="s">
        <v>704</v>
      </c>
      <c r="G91" s="343">
        <f aca="true" t="shared" si="39" ref="G91:M91">G88</f>
        <v>0</v>
      </c>
      <c r="H91" s="343">
        <f t="shared" si="39"/>
        <v>0</v>
      </c>
      <c r="I91" s="343">
        <f t="shared" si="39"/>
        <v>0</v>
      </c>
      <c r="J91" s="343">
        <f t="shared" si="39"/>
        <v>0</v>
      </c>
      <c r="K91" s="343">
        <f t="shared" si="39"/>
        <v>0</v>
      </c>
      <c r="L91" s="343">
        <f t="shared" si="39"/>
        <v>0</v>
      </c>
      <c r="M91" s="343">
        <f t="shared" si="39"/>
        <v>0</v>
      </c>
      <c r="N91" s="336" t="e">
        <f t="shared" si="31"/>
        <v>#DIV/0!</v>
      </c>
    </row>
    <row r="92" spans="1:14" ht="56.25" hidden="1">
      <c r="A92" s="337" t="s">
        <v>428</v>
      </c>
      <c r="B92" s="344" t="s">
        <v>429</v>
      </c>
      <c r="C92" s="338" t="s">
        <v>295</v>
      </c>
      <c r="D92" s="338" t="s">
        <v>266</v>
      </c>
      <c r="E92" s="338"/>
      <c r="F92" s="338"/>
      <c r="G92" s="343">
        <f>G93</f>
        <v>0</v>
      </c>
      <c r="H92" s="343">
        <f aca="true" t="shared" si="40" ref="H92:M93">H93</f>
        <v>0</v>
      </c>
      <c r="I92" s="343">
        <f t="shared" si="40"/>
        <v>0</v>
      </c>
      <c r="J92" s="343">
        <f t="shared" si="40"/>
        <v>0</v>
      </c>
      <c r="K92" s="343">
        <f t="shared" si="40"/>
        <v>0</v>
      </c>
      <c r="L92" s="343">
        <f t="shared" si="40"/>
        <v>0</v>
      </c>
      <c r="M92" s="343">
        <f t="shared" si="40"/>
        <v>0</v>
      </c>
      <c r="N92" s="336" t="e">
        <f t="shared" si="31"/>
        <v>#DIV/0!</v>
      </c>
    </row>
    <row r="93" spans="1:14" ht="37.5" hidden="1">
      <c r="A93" s="337" t="s">
        <v>182</v>
      </c>
      <c r="B93" s="344" t="s">
        <v>429</v>
      </c>
      <c r="C93" s="338" t="s">
        <v>295</v>
      </c>
      <c r="D93" s="338" t="s">
        <v>266</v>
      </c>
      <c r="E93" s="338" t="s">
        <v>183</v>
      </c>
      <c r="F93" s="338"/>
      <c r="G93" s="343">
        <f>G94</f>
        <v>0</v>
      </c>
      <c r="H93" s="343">
        <f t="shared" si="40"/>
        <v>0</v>
      </c>
      <c r="I93" s="343">
        <f t="shared" si="40"/>
        <v>0</v>
      </c>
      <c r="J93" s="343">
        <f t="shared" si="40"/>
        <v>0</v>
      </c>
      <c r="K93" s="343">
        <f t="shared" si="40"/>
        <v>0</v>
      </c>
      <c r="L93" s="343">
        <f t="shared" si="40"/>
        <v>0</v>
      </c>
      <c r="M93" s="343">
        <f t="shared" si="40"/>
        <v>0</v>
      </c>
      <c r="N93" s="336" t="e">
        <f t="shared" si="31"/>
        <v>#DIV/0!</v>
      </c>
    </row>
    <row r="94" spans="1:14" ht="56.25" hidden="1">
      <c r="A94" s="337" t="s">
        <v>184</v>
      </c>
      <c r="B94" s="344" t="s">
        <v>429</v>
      </c>
      <c r="C94" s="338" t="s">
        <v>295</v>
      </c>
      <c r="D94" s="338" t="s">
        <v>266</v>
      </c>
      <c r="E94" s="338" t="s">
        <v>185</v>
      </c>
      <c r="F94" s="338"/>
      <c r="G94" s="343">
        <v>0</v>
      </c>
      <c r="H94" s="343">
        <v>0</v>
      </c>
      <c r="I94" s="343">
        <v>0</v>
      </c>
      <c r="J94" s="343">
        <v>0</v>
      </c>
      <c r="K94" s="343">
        <v>0</v>
      </c>
      <c r="L94" s="343">
        <v>0</v>
      </c>
      <c r="M94" s="343">
        <v>0</v>
      </c>
      <c r="N94" s="336" t="e">
        <f t="shared" si="31"/>
        <v>#DIV/0!</v>
      </c>
    </row>
    <row r="95" spans="1:14" ht="18.75" hidden="1">
      <c r="A95" s="337" t="s">
        <v>186</v>
      </c>
      <c r="B95" s="344" t="s">
        <v>429</v>
      </c>
      <c r="C95" s="338" t="s">
        <v>295</v>
      </c>
      <c r="D95" s="338" t="s">
        <v>266</v>
      </c>
      <c r="E95" s="338" t="s">
        <v>196</v>
      </c>
      <c r="F95" s="338"/>
      <c r="G95" s="343"/>
      <c r="H95" s="343"/>
      <c r="I95" s="343"/>
      <c r="J95" s="343"/>
      <c r="K95" s="343"/>
      <c r="L95" s="343"/>
      <c r="M95" s="343"/>
      <c r="N95" s="336" t="e">
        <f t="shared" si="31"/>
        <v>#DIV/0!</v>
      </c>
    </row>
    <row r="96" spans="1:14" ht="75" hidden="1">
      <c r="A96" s="337" t="s">
        <v>235</v>
      </c>
      <c r="B96" s="344" t="s">
        <v>429</v>
      </c>
      <c r="C96" s="338" t="s">
        <v>295</v>
      </c>
      <c r="D96" s="338" t="s">
        <v>266</v>
      </c>
      <c r="E96" s="338" t="s">
        <v>211</v>
      </c>
      <c r="F96" s="338"/>
      <c r="G96" s="343"/>
      <c r="H96" s="343"/>
      <c r="I96" s="343"/>
      <c r="J96" s="343"/>
      <c r="K96" s="343"/>
      <c r="L96" s="343"/>
      <c r="M96" s="343"/>
      <c r="N96" s="336" t="e">
        <f t="shared" si="31"/>
        <v>#DIV/0!</v>
      </c>
    </row>
    <row r="97" spans="1:14" ht="56.25" hidden="1">
      <c r="A97" s="341" t="s">
        <v>312</v>
      </c>
      <c r="B97" s="344" t="s">
        <v>429</v>
      </c>
      <c r="C97" s="338" t="s">
        <v>295</v>
      </c>
      <c r="D97" s="338" t="s">
        <v>266</v>
      </c>
      <c r="E97" s="338"/>
      <c r="F97" s="346" t="s">
        <v>704</v>
      </c>
      <c r="G97" s="343">
        <f aca="true" t="shared" si="41" ref="G97:M97">G92</f>
        <v>0</v>
      </c>
      <c r="H97" s="343">
        <f t="shared" si="41"/>
        <v>0</v>
      </c>
      <c r="I97" s="343">
        <f t="shared" si="41"/>
        <v>0</v>
      </c>
      <c r="J97" s="343">
        <f t="shared" si="41"/>
        <v>0</v>
      </c>
      <c r="K97" s="343">
        <f t="shared" si="41"/>
        <v>0</v>
      </c>
      <c r="L97" s="343">
        <f t="shared" si="41"/>
        <v>0</v>
      </c>
      <c r="M97" s="343">
        <f t="shared" si="41"/>
        <v>0</v>
      </c>
      <c r="N97" s="336" t="e">
        <f t="shared" si="31"/>
        <v>#DIV/0!</v>
      </c>
    </row>
    <row r="98" spans="1:14" ht="112.5">
      <c r="A98" s="345" t="s">
        <v>431</v>
      </c>
      <c r="B98" s="335" t="s">
        <v>432</v>
      </c>
      <c r="C98" s="335"/>
      <c r="D98" s="335"/>
      <c r="E98" s="335"/>
      <c r="F98" s="347"/>
      <c r="G98" s="342" t="e">
        <f>G99</f>
        <v>#REF!</v>
      </c>
      <c r="H98" s="342" t="e">
        <f aca="true" t="shared" si="42" ref="H98:M102">H99</f>
        <v>#REF!</v>
      </c>
      <c r="I98" s="342" t="e">
        <f t="shared" si="42"/>
        <v>#REF!</v>
      </c>
      <c r="J98" s="342" t="e">
        <f t="shared" si="42"/>
        <v>#REF!</v>
      </c>
      <c r="K98" s="342" t="e">
        <f t="shared" si="42"/>
        <v>#REF!</v>
      </c>
      <c r="L98" s="342">
        <f t="shared" si="42"/>
        <v>153.9</v>
      </c>
      <c r="M98" s="342">
        <f t="shared" si="42"/>
        <v>132.6</v>
      </c>
      <c r="N98" s="336">
        <f t="shared" si="31"/>
        <v>86.15984405458089</v>
      </c>
    </row>
    <row r="99" spans="1:14" ht="18.75">
      <c r="A99" s="341" t="s">
        <v>294</v>
      </c>
      <c r="B99" s="338" t="s">
        <v>432</v>
      </c>
      <c r="C99" s="338" t="s">
        <v>295</v>
      </c>
      <c r="D99" s="338"/>
      <c r="E99" s="338"/>
      <c r="F99" s="346"/>
      <c r="G99" s="343" t="e">
        <f>G100</f>
        <v>#REF!</v>
      </c>
      <c r="H99" s="343" t="e">
        <f t="shared" si="42"/>
        <v>#REF!</v>
      </c>
      <c r="I99" s="343" t="e">
        <f t="shared" si="42"/>
        <v>#REF!</v>
      </c>
      <c r="J99" s="343" t="e">
        <f t="shared" si="42"/>
        <v>#REF!</v>
      </c>
      <c r="K99" s="343" t="e">
        <f t="shared" si="42"/>
        <v>#REF!</v>
      </c>
      <c r="L99" s="343">
        <f t="shared" si="42"/>
        <v>153.9</v>
      </c>
      <c r="M99" s="343">
        <f t="shared" si="42"/>
        <v>132.6</v>
      </c>
      <c r="N99" s="339">
        <f t="shared" si="31"/>
        <v>86.15984405458089</v>
      </c>
    </row>
    <row r="100" spans="1:14" ht="24.75" customHeight="1">
      <c r="A100" s="341" t="s">
        <v>303</v>
      </c>
      <c r="B100" s="338" t="s">
        <v>432</v>
      </c>
      <c r="C100" s="338" t="s">
        <v>295</v>
      </c>
      <c r="D100" s="338" t="s">
        <v>266</v>
      </c>
      <c r="E100" s="338"/>
      <c r="F100" s="346"/>
      <c r="G100" s="343" t="e">
        <f>G101</f>
        <v>#REF!</v>
      </c>
      <c r="H100" s="343" t="e">
        <f t="shared" si="42"/>
        <v>#REF!</v>
      </c>
      <c r="I100" s="343" t="e">
        <f t="shared" si="42"/>
        <v>#REF!</v>
      </c>
      <c r="J100" s="343" t="e">
        <f t="shared" si="42"/>
        <v>#REF!</v>
      </c>
      <c r="K100" s="343" t="e">
        <f t="shared" si="42"/>
        <v>#REF!</v>
      </c>
      <c r="L100" s="343">
        <f t="shared" si="42"/>
        <v>153.9</v>
      </c>
      <c r="M100" s="343">
        <f t="shared" si="42"/>
        <v>132.6</v>
      </c>
      <c r="N100" s="339">
        <f t="shared" si="31"/>
        <v>86.15984405458089</v>
      </c>
    </row>
    <row r="101" spans="1:14" ht="37.5">
      <c r="A101" s="337" t="s">
        <v>208</v>
      </c>
      <c r="B101" s="338" t="s">
        <v>433</v>
      </c>
      <c r="C101" s="338" t="s">
        <v>295</v>
      </c>
      <c r="D101" s="338" t="s">
        <v>266</v>
      </c>
      <c r="E101" s="338"/>
      <c r="F101" s="346"/>
      <c r="G101" s="343" t="e">
        <f>G102</f>
        <v>#REF!</v>
      </c>
      <c r="H101" s="343" t="e">
        <f t="shared" si="42"/>
        <v>#REF!</v>
      </c>
      <c r="I101" s="343" t="e">
        <f t="shared" si="42"/>
        <v>#REF!</v>
      </c>
      <c r="J101" s="343" t="e">
        <f t="shared" si="42"/>
        <v>#REF!</v>
      </c>
      <c r="K101" s="343" t="e">
        <f t="shared" si="42"/>
        <v>#REF!</v>
      </c>
      <c r="L101" s="343">
        <f t="shared" si="42"/>
        <v>153.9</v>
      </c>
      <c r="M101" s="343">
        <f t="shared" si="42"/>
        <v>132.6</v>
      </c>
      <c r="N101" s="339">
        <f t="shared" si="31"/>
        <v>86.15984405458089</v>
      </c>
    </row>
    <row r="102" spans="1:14" ht="37.5">
      <c r="A102" s="337" t="s">
        <v>182</v>
      </c>
      <c r="B102" s="338" t="s">
        <v>433</v>
      </c>
      <c r="C102" s="338" t="s">
        <v>295</v>
      </c>
      <c r="D102" s="338" t="s">
        <v>266</v>
      </c>
      <c r="E102" s="338" t="s">
        <v>183</v>
      </c>
      <c r="F102" s="346"/>
      <c r="G102" s="343" t="e">
        <f>G103</f>
        <v>#REF!</v>
      </c>
      <c r="H102" s="343" t="e">
        <f t="shared" si="42"/>
        <v>#REF!</v>
      </c>
      <c r="I102" s="343" t="e">
        <f t="shared" si="42"/>
        <v>#REF!</v>
      </c>
      <c r="J102" s="343" t="e">
        <f t="shared" si="42"/>
        <v>#REF!</v>
      </c>
      <c r="K102" s="343" t="e">
        <f t="shared" si="42"/>
        <v>#REF!</v>
      </c>
      <c r="L102" s="343">
        <f t="shared" si="42"/>
        <v>153.9</v>
      </c>
      <c r="M102" s="343">
        <f t="shared" si="42"/>
        <v>132.6</v>
      </c>
      <c r="N102" s="339">
        <f t="shared" si="31"/>
        <v>86.15984405458089</v>
      </c>
    </row>
    <row r="103" spans="1:14" ht="56.25">
      <c r="A103" s="337" t="s">
        <v>184</v>
      </c>
      <c r="B103" s="338" t="s">
        <v>433</v>
      </c>
      <c r="C103" s="338" t="s">
        <v>295</v>
      </c>
      <c r="D103" s="338" t="s">
        <v>266</v>
      </c>
      <c r="E103" s="338" t="s">
        <v>185</v>
      </c>
      <c r="F103" s="346"/>
      <c r="G103" s="343" t="e">
        <f>#REF!</f>
        <v>#REF!</v>
      </c>
      <c r="H103" s="343" t="e">
        <f>#REF!</f>
        <v>#REF!</v>
      </c>
      <c r="I103" s="343" t="e">
        <f>#REF!</f>
        <v>#REF!</v>
      </c>
      <c r="J103" s="343" t="e">
        <f>#REF!</f>
        <v>#REF!</v>
      </c>
      <c r="K103" s="343" t="e">
        <f>#REF!</f>
        <v>#REF!</v>
      </c>
      <c r="L103" s="343">
        <f>'Прил.№4 ведомств.'!G511</f>
        <v>153.9</v>
      </c>
      <c r="M103" s="343">
        <f>'Прил.№4 ведомств.'!H511</f>
        <v>132.6</v>
      </c>
      <c r="N103" s="339">
        <f t="shared" si="31"/>
        <v>86.15984405458089</v>
      </c>
    </row>
    <row r="104" spans="1:14" ht="56.25">
      <c r="A104" s="341" t="s">
        <v>312</v>
      </c>
      <c r="B104" s="338" t="s">
        <v>432</v>
      </c>
      <c r="C104" s="338" t="s">
        <v>295</v>
      </c>
      <c r="D104" s="338" t="s">
        <v>266</v>
      </c>
      <c r="E104" s="338"/>
      <c r="F104" s="346" t="s">
        <v>704</v>
      </c>
      <c r="G104" s="343" t="e">
        <f aca="true" t="shared" si="43" ref="G104:M104">G98</f>
        <v>#REF!</v>
      </c>
      <c r="H104" s="343" t="e">
        <f t="shared" si="43"/>
        <v>#REF!</v>
      </c>
      <c r="I104" s="343" t="e">
        <f t="shared" si="43"/>
        <v>#REF!</v>
      </c>
      <c r="J104" s="343" t="e">
        <f t="shared" si="43"/>
        <v>#REF!</v>
      </c>
      <c r="K104" s="343" t="e">
        <f t="shared" si="43"/>
        <v>#REF!</v>
      </c>
      <c r="L104" s="343">
        <f t="shared" si="43"/>
        <v>153.9</v>
      </c>
      <c r="M104" s="343">
        <f t="shared" si="43"/>
        <v>132.6</v>
      </c>
      <c r="N104" s="339">
        <f t="shared" si="31"/>
        <v>86.15984405458089</v>
      </c>
    </row>
    <row r="105" spans="1:14" ht="56.25">
      <c r="A105" s="334" t="s">
        <v>478</v>
      </c>
      <c r="B105" s="335" t="s">
        <v>458</v>
      </c>
      <c r="C105" s="335"/>
      <c r="D105" s="335"/>
      <c r="E105" s="335"/>
      <c r="F105" s="335"/>
      <c r="G105" s="342" t="e">
        <f aca="true" t="shared" si="44" ref="G105:L105">G106+G121+G172+G206+G230</f>
        <v>#REF!</v>
      </c>
      <c r="H105" s="342" t="e">
        <f t="shared" si="44"/>
        <v>#REF!</v>
      </c>
      <c r="I105" s="342" t="e">
        <f t="shared" si="44"/>
        <v>#REF!</v>
      </c>
      <c r="J105" s="342" t="e">
        <f t="shared" si="44"/>
        <v>#REF!</v>
      </c>
      <c r="K105" s="342" t="e">
        <f t="shared" si="44"/>
        <v>#REF!</v>
      </c>
      <c r="L105" s="342">
        <f t="shared" si="44"/>
        <v>100407.1</v>
      </c>
      <c r="M105" s="342">
        <f>M106+M121+M172+M206+M230</f>
        <v>100039.6</v>
      </c>
      <c r="N105" s="336">
        <f t="shared" si="31"/>
        <v>99.63399002660171</v>
      </c>
    </row>
    <row r="106" spans="1:14" ht="56.25">
      <c r="A106" s="345" t="s">
        <v>459</v>
      </c>
      <c r="B106" s="335" t="s">
        <v>460</v>
      </c>
      <c r="C106" s="335"/>
      <c r="D106" s="335"/>
      <c r="E106" s="335"/>
      <c r="F106" s="335"/>
      <c r="G106" s="342" t="e">
        <f>G107</f>
        <v>#REF!</v>
      </c>
      <c r="H106" s="342" t="e">
        <f aca="true" t="shared" si="45" ref="H106:M106">H107</f>
        <v>#REF!</v>
      </c>
      <c r="I106" s="342" t="e">
        <f t="shared" si="45"/>
        <v>#REF!</v>
      </c>
      <c r="J106" s="342" t="e">
        <f t="shared" si="45"/>
        <v>#REF!</v>
      </c>
      <c r="K106" s="342" t="e">
        <f t="shared" si="45"/>
        <v>#REF!</v>
      </c>
      <c r="L106" s="342">
        <f t="shared" si="45"/>
        <v>81577</v>
      </c>
      <c r="M106" s="342">
        <f t="shared" si="45"/>
        <v>81435.1</v>
      </c>
      <c r="N106" s="336">
        <f t="shared" si="31"/>
        <v>99.8260539122547</v>
      </c>
    </row>
    <row r="107" spans="1:14" ht="18.75">
      <c r="A107" s="337" t="s">
        <v>314</v>
      </c>
      <c r="B107" s="338" t="s">
        <v>460</v>
      </c>
      <c r="C107" s="338" t="s">
        <v>315</v>
      </c>
      <c r="D107" s="338"/>
      <c r="E107" s="338"/>
      <c r="F107" s="338"/>
      <c r="G107" s="343" t="e">
        <f aca="true" t="shared" si="46" ref="G107:M107">G108+G112+G116</f>
        <v>#REF!</v>
      </c>
      <c r="H107" s="343" t="e">
        <f t="shared" si="46"/>
        <v>#REF!</v>
      </c>
      <c r="I107" s="343" t="e">
        <f t="shared" si="46"/>
        <v>#REF!</v>
      </c>
      <c r="J107" s="343" t="e">
        <f t="shared" si="46"/>
        <v>#REF!</v>
      </c>
      <c r="K107" s="343" t="e">
        <f t="shared" si="46"/>
        <v>#REF!</v>
      </c>
      <c r="L107" s="343">
        <f t="shared" si="46"/>
        <v>81577</v>
      </c>
      <c r="M107" s="343">
        <f t="shared" si="46"/>
        <v>81435.1</v>
      </c>
      <c r="N107" s="339">
        <f t="shared" si="31"/>
        <v>99.8260539122547</v>
      </c>
    </row>
    <row r="108" spans="1:14" ht="18.75">
      <c r="A108" s="341" t="s">
        <v>456</v>
      </c>
      <c r="B108" s="338" t="s">
        <v>460</v>
      </c>
      <c r="C108" s="338" t="s">
        <v>315</v>
      </c>
      <c r="D108" s="338" t="s">
        <v>169</v>
      </c>
      <c r="E108" s="338"/>
      <c r="F108" s="338"/>
      <c r="G108" s="343" t="e">
        <f>G109</f>
        <v>#REF!</v>
      </c>
      <c r="H108" s="343" t="e">
        <f aca="true" t="shared" si="47" ref="H108:M110">H109</f>
        <v>#REF!</v>
      </c>
      <c r="I108" s="343" t="e">
        <f t="shared" si="47"/>
        <v>#REF!</v>
      </c>
      <c r="J108" s="343" t="e">
        <f t="shared" si="47"/>
        <v>#REF!</v>
      </c>
      <c r="K108" s="343" t="e">
        <f t="shared" si="47"/>
        <v>#REF!</v>
      </c>
      <c r="L108" s="343">
        <f t="shared" si="47"/>
        <v>16938.6</v>
      </c>
      <c r="M108" s="343">
        <f t="shared" si="47"/>
        <v>16938.6</v>
      </c>
      <c r="N108" s="339">
        <f t="shared" si="31"/>
        <v>100</v>
      </c>
    </row>
    <row r="109" spans="1:14" ht="56.25">
      <c r="A109" s="337" t="s">
        <v>461</v>
      </c>
      <c r="B109" s="338" t="s">
        <v>462</v>
      </c>
      <c r="C109" s="338" t="s">
        <v>315</v>
      </c>
      <c r="D109" s="338" t="s">
        <v>169</v>
      </c>
      <c r="E109" s="338"/>
      <c r="F109" s="338"/>
      <c r="G109" s="343" t="e">
        <f>G110</f>
        <v>#REF!</v>
      </c>
      <c r="H109" s="343" t="e">
        <f t="shared" si="47"/>
        <v>#REF!</v>
      </c>
      <c r="I109" s="343" t="e">
        <f t="shared" si="47"/>
        <v>#REF!</v>
      </c>
      <c r="J109" s="343" t="e">
        <f t="shared" si="47"/>
        <v>#REF!</v>
      </c>
      <c r="K109" s="343" t="e">
        <f t="shared" si="47"/>
        <v>#REF!</v>
      </c>
      <c r="L109" s="343">
        <f t="shared" si="47"/>
        <v>16938.6</v>
      </c>
      <c r="M109" s="343">
        <f t="shared" si="47"/>
        <v>16938.6</v>
      </c>
      <c r="N109" s="339">
        <f t="shared" si="31"/>
        <v>100</v>
      </c>
    </row>
    <row r="110" spans="1:14" ht="56.25">
      <c r="A110" s="337" t="s">
        <v>323</v>
      </c>
      <c r="B110" s="338" t="s">
        <v>462</v>
      </c>
      <c r="C110" s="338" t="s">
        <v>315</v>
      </c>
      <c r="D110" s="338" t="s">
        <v>169</v>
      </c>
      <c r="E110" s="338" t="s">
        <v>324</v>
      </c>
      <c r="F110" s="338"/>
      <c r="G110" s="343" t="e">
        <f>G111</f>
        <v>#REF!</v>
      </c>
      <c r="H110" s="343" t="e">
        <f t="shared" si="47"/>
        <v>#REF!</v>
      </c>
      <c r="I110" s="343" t="e">
        <f t="shared" si="47"/>
        <v>#REF!</v>
      </c>
      <c r="J110" s="343" t="e">
        <f t="shared" si="47"/>
        <v>#REF!</v>
      </c>
      <c r="K110" s="343" t="e">
        <f t="shared" si="47"/>
        <v>#REF!</v>
      </c>
      <c r="L110" s="343">
        <f t="shared" si="47"/>
        <v>16938.6</v>
      </c>
      <c r="M110" s="343">
        <f t="shared" si="47"/>
        <v>16938.6</v>
      </c>
      <c r="N110" s="339">
        <f t="shared" si="31"/>
        <v>100</v>
      </c>
    </row>
    <row r="111" spans="1:14" ht="18.75">
      <c r="A111" s="337" t="s">
        <v>325</v>
      </c>
      <c r="B111" s="338" t="s">
        <v>462</v>
      </c>
      <c r="C111" s="338" t="s">
        <v>315</v>
      </c>
      <c r="D111" s="338" t="s">
        <v>169</v>
      </c>
      <c r="E111" s="338" t="s">
        <v>326</v>
      </c>
      <c r="F111" s="338"/>
      <c r="G111" s="339" t="e">
        <f>#REF!</f>
        <v>#REF!</v>
      </c>
      <c r="H111" s="339" t="e">
        <f>#REF!</f>
        <v>#REF!</v>
      </c>
      <c r="I111" s="339" t="e">
        <f>#REF!</f>
        <v>#REF!</v>
      </c>
      <c r="J111" s="339" t="e">
        <f>#REF!</f>
        <v>#REF!</v>
      </c>
      <c r="K111" s="339" t="e">
        <f>#REF!</f>
        <v>#REF!</v>
      </c>
      <c r="L111" s="339">
        <f>'Прил.№4 ведомств.'!G603</f>
        <v>16938.6</v>
      </c>
      <c r="M111" s="339">
        <f>'Прил.№4 ведомств.'!H603</f>
        <v>16938.6</v>
      </c>
      <c r="N111" s="339">
        <f t="shared" si="31"/>
        <v>100</v>
      </c>
    </row>
    <row r="112" spans="1:14" ht="18.75">
      <c r="A112" s="337" t="s">
        <v>477</v>
      </c>
      <c r="B112" s="338" t="s">
        <v>460</v>
      </c>
      <c r="C112" s="338" t="s">
        <v>315</v>
      </c>
      <c r="D112" s="338" t="s">
        <v>264</v>
      </c>
      <c r="E112" s="338"/>
      <c r="F112" s="338"/>
      <c r="G112" s="343" t="e">
        <f>G113</f>
        <v>#REF!</v>
      </c>
      <c r="H112" s="343" t="e">
        <f aca="true" t="shared" si="48" ref="H112:M114">H113</f>
        <v>#REF!</v>
      </c>
      <c r="I112" s="343" t="e">
        <f t="shared" si="48"/>
        <v>#REF!</v>
      </c>
      <c r="J112" s="343" t="e">
        <f t="shared" si="48"/>
        <v>#REF!</v>
      </c>
      <c r="K112" s="343" t="e">
        <f t="shared" si="48"/>
        <v>#REF!</v>
      </c>
      <c r="L112" s="343">
        <f t="shared" si="48"/>
        <v>33571.899999999994</v>
      </c>
      <c r="M112" s="343">
        <f t="shared" si="48"/>
        <v>33430</v>
      </c>
      <c r="N112" s="339">
        <f t="shared" si="31"/>
        <v>99.57732508437117</v>
      </c>
    </row>
    <row r="113" spans="1:14" ht="30.75" customHeight="1">
      <c r="A113" s="337" t="s">
        <v>479</v>
      </c>
      <c r="B113" s="338" t="s">
        <v>480</v>
      </c>
      <c r="C113" s="338" t="s">
        <v>315</v>
      </c>
      <c r="D113" s="338" t="s">
        <v>264</v>
      </c>
      <c r="E113" s="338"/>
      <c r="F113" s="338"/>
      <c r="G113" s="343" t="e">
        <f>G114</f>
        <v>#REF!</v>
      </c>
      <c r="H113" s="343" t="e">
        <f t="shared" si="48"/>
        <v>#REF!</v>
      </c>
      <c r="I113" s="343" t="e">
        <f t="shared" si="48"/>
        <v>#REF!</v>
      </c>
      <c r="J113" s="343" t="e">
        <f t="shared" si="48"/>
        <v>#REF!</v>
      </c>
      <c r="K113" s="343" t="e">
        <f t="shared" si="48"/>
        <v>#REF!</v>
      </c>
      <c r="L113" s="343">
        <f t="shared" si="48"/>
        <v>33571.899999999994</v>
      </c>
      <c r="M113" s="343">
        <f t="shared" si="48"/>
        <v>33430</v>
      </c>
      <c r="N113" s="339">
        <f t="shared" si="31"/>
        <v>99.57732508437117</v>
      </c>
    </row>
    <row r="114" spans="1:14" ht="37.5" customHeight="1">
      <c r="A114" s="337" t="s">
        <v>323</v>
      </c>
      <c r="B114" s="338" t="s">
        <v>480</v>
      </c>
      <c r="C114" s="338" t="s">
        <v>315</v>
      </c>
      <c r="D114" s="338" t="s">
        <v>264</v>
      </c>
      <c r="E114" s="338" t="s">
        <v>324</v>
      </c>
      <c r="F114" s="338"/>
      <c r="G114" s="343" t="e">
        <f>G115</f>
        <v>#REF!</v>
      </c>
      <c r="H114" s="343" t="e">
        <f t="shared" si="48"/>
        <v>#REF!</v>
      </c>
      <c r="I114" s="343" t="e">
        <f t="shared" si="48"/>
        <v>#REF!</v>
      </c>
      <c r="J114" s="343" t="e">
        <f t="shared" si="48"/>
        <v>#REF!</v>
      </c>
      <c r="K114" s="343" t="e">
        <f t="shared" si="48"/>
        <v>#REF!</v>
      </c>
      <c r="L114" s="343">
        <f t="shared" si="48"/>
        <v>33571.899999999994</v>
      </c>
      <c r="M114" s="343">
        <f t="shared" si="48"/>
        <v>33430</v>
      </c>
      <c r="N114" s="339">
        <f t="shared" si="31"/>
        <v>99.57732508437117</v>
      </c>
    </row>
    <row r="115" spans="1:14" ht="18.75">
      <c r="A115" s="337" t="s">
        <v>325</v>
      </c>
      <c r="B115" s="338" t="s">
        <v>480</v>
      </c>
      <c r="C115" s="338" t="s">
        <v>315</v>
      </c>
      <c r="D115" s="338" t="s">
        <v>264</v>
      </c>
      <c r="E115" s="338" t="s">
        <v>326</v>
      </c>
      <c r="F115" s="338"/>
      <c r="G115" s="339" t="e">
        <f>#REF!</f>
        <v>#REF!</v>
      </c>
      <c r="H115" s="339" t="e">
        <f>#REF!</f>
        <v>#REF!</v>
      </c>
      <c r="I115" s="339" t="e">
        <f>#REF!</f>
        <v>#REF!</v>
      </c>
      <c r="J115" s="339" t="e">
        <f>#REF!</f>
        <v>#REF!</v>
      </c>
      <c r="K115" s="339" t="e">
        <f>#REF!</f>
        <v>#REF!</v>
      </c>
      <c r="L115" s="339">
        <f>'Прил.№4 ведомств.'!G654</f>
        <v>33571.899999999994</v>
      </c>
      <c r="M115" s="339">
        <f>'Прил.№4 ведомств.'!H654</f>
        <v>33430</v>
      </c>
      <c r="N115" s="339">
        <f t="shared" si="31"/>
        <v>99.57732508437117</v>
      </c>
    </row>
    <row r="116" spans="1:14" ht="18.75">
      <c r="A116" s="337" t="s">
        <v>316</v>
      </c>
      <c r="B116" s="338" t="s">
        <v>460</v>
      </c>
      <c r="C116" s="338" t="s">
        <v>315</v>
      </c>
      <c r="D116" s="338" t="s">
        <v>266</v>
      </c>
      <c r="E116" s="338"/>
      <c r="F116" s="338"/>
      <c r="G116" s="339" t="e">
        <f>G117</f>
        <v>#REF!</v>
      </c>
      <c r="H116" s="339" t="e">
        <f aca="true" t="shared" si="49" ref="H116:M118">H117</f>
        <v>#REF!</v>
      </c>
      <c r="I116" s="339" t="e">
        <f t="shared" si="49"/>
        <v>#REF!</v>
      </c>
      <c r="J116" s="339" t="e">
        <f t="shared" si="49"/>
        <v>#REF!</v>
      </c>
      <c r="K116" s="339" t="e">
        <f t="shared" si="49"/>
        <v>#REF!</v>
      </c>
      <c r="L116" s="339">
        <f t="shared" si="49"/>
        <v>31066.5</v>
      </c>
      <c r="M116" s="339">
        <f t="shared" si="49"/>
        <v>31066.5</v>
      </c>
      <c r="N116" s="339">
        <f t="shared" si="31"/>
        <v>100</v>
      </c>
    </row>
    <row r="117" spans="1:14" ht="56.25">
      <c r="A117" s="337" t="s">
        <v>321</v>
      </c>
      <c r="B117" s="338" t="s">
        <v>481</v>
      </c>
      <c r="C117" s="338" t="s">
        <v>315</v>
      </c>
      <c r="D117" s="338" t="s">
        <v>266</v>
      </c>
      <c r="E117" s="335"/>
      <c r="F117" s="335"/>
      <c r="G117" s="343" t="e">
        <f>G118</f>
        <v>#REF!</v>
      </c>
      <c r="H117" s="343" t="e">
        <f t="shared" si="49"/>
        <v>#REF!</v>
      </c>
      <c r="I117" s="343" t="e">
        <f t="shared" si="49"/>
        <v>#REF!</v>
      </c>
      <c r="J117" s="343" t="e">
        <f t="shared" si="49"/>
        <v>#REF!</v>
      </c>
      <c r="K117" s="343" t="e">
        <f t="shared" si="49"/>
        <v>#REF!</v>
      </c>
      <c r="L117" s="343">
        <f t="shared" si="49"/>
        <v>31066.5</v>
      </c>
      <c r="M117" s="343">
        <f t="shared" si="49"/>
        <v>31066.5</v>
      </c>
      <c r="N117" s="339">
        <f t="shared" si="31"/>
        <v>100</v>
      </c>
    </row>
    <row r="118" spans="1:14" ht="56.25">
      <c r="A118" s="337" t="s">
        <v>323</v>
      </c>
      <c r="B118" s="338" t="s">
        <v>481</v>
      </c>
      <c r="C118" s="338" t="s">
        <v>315</v>
      </c>
      <c r="D118" s="338" t="s">
        <v>266</v>
      </c>
      <c r="E118" s="338" t="s">
        <v>324</v>
      </c>
      <c r="F118" s="338"/>
      <c r="G118" s="343" t="e">
        <f>G119</f>
        <v>#REF!</v>
      </c>
      <c r="H118" s="343" t="e">
        <f t="shared" si="49"/>
        <v>#REF!</v>
      </c>
      <c r="I118" s="343" t="e">
        <f t="shared" si="49"/>
        <v>#REF!</v>
      </c>
      <c r="J118" s="343" t="e">
        <f t="shared" si="49"/>
        <v>#REF!</v>
      </c>
      <c r="K118" s="343" t="e">
        <f t="shared" si="49"/>
        <v>#REF!</v>
      </c>
      <c r="L118" s="343">
        <f t="shared" si="49"/>
        <v>31066.5</v>
      </c>
      <c r="M118" s="343">
        <f t="shared" si="49"/>
        <v>31066.5</v>
      </c>
      <c r="N118" s="339">
        <f t="shared" si="31"/>
        <v>100</v>
      </c>
    </row>
    <row r="119" spans="1:14" ht="18.75">
      <c r="A119" s="337" t="s">
        <v>325</v>
      </c>
      <c r="B119" s="338" t="s">
        <v>481</v>
      </c>
      <c r="C119" s="338" t="s">
        <v>315</v>
      </c>
      <c r="D119" s="338" t="s">
        <v>266</v>
      </c>
      <c r="E119" s="338" t="s">
        <v>326</v>
      </c>
      <c r="F119" s="338"/>
      <c r="G119" s="339" t="e">
        <f>#REF!</f>
        <v>#REF!</v>
      </c>
      <c r="H119" s="339" t="e">
        <f>#REF!</f>
        <v>#REF!</v>
      </c>
      <c r="I119" s="339" t="e">
        <f>#REF!</f>
        <v>#REF!</v>
      </c>
      <c r="J119" s="339" t="e">
        <f>#REF!</f>
        <v>#REF!</v>
      </c>
      <c r="K119" s="339" t="e">
        <f>#REF!</f>
        <v>#REF!</v>
      </c>
      <c r="L119" s="339">
        <f>'Прил.№4 ведомств.'!G723</f>
        <v>31066.5</v>
      </c>
      <c r="M119" s="339">
        <f>'Прил.№4 ведомств.'!H723</f>
        <v>31066.5</v>
      </c>
      <c r="N119" s="339">
        <f t="shared" si="31"/>
        <v>100</v>
      </c>
    </row>
    <row r="120" spans="1:14" ht="37.5">
      <c r="A120" s="337" t="s">
        <v>455</v>
      </c>
      <c r="B120" s="338" t="s">
        <v>460</v>
      </c>
      <c r="C120" s="338" t="s">
        <v>315</v>
      </c>
      <c r="D120" s="338" t="s">
        <v>266</v>
      </c>
      <c r="E120" s="338"/>
      <c r="F120" s="338" t="s">
        <v>713</v>
      </c>
      <c r="G120" s="339" t="e">
        <f aca="true" t="shared" si="50" ref="G120:M120">G106</f>
        <v>#REF!</v>
      </c>
      <c r="H120" s="339" t="e">
        <f t="shared" si="50"/>
        <v>#REF!</v>
      </c>
      <c r="I120" s="339" t="e">
        <f t="shared" si="50"/>
        <v>#REF!</v>
      </c>
      <c r="J120" s="339" t="e">
        <f t="shared" si="50"/>
        <v>#REF!</v>
      </c>
      <c r="K120" s="339" t="e">
        <f t="shared" si="50"/>
        <v>#REF!</v>
      </c>
      <c r="L120" s="339">
        <f t="shared" si="50"/>
        <v>81577</v>
      </c>
      <c r="M120" s="339">
        <f t="shared" si="50"/>
        <v>81435.1</v>
      </c>
      <c r="N120" s="339">
        <f t="shared" si="31"/>
        <v>99.8260539122547</v>
      </c>
    </row>
    <row r="121" spans="1:14" ht="56.25">
      <c r="A121" s="345" t="s">
        <v>463</v>
      </c>
      <c r="B121" s="335" t="s">
        <v>464</v>
      </c>
      <c r="C121" s="335"/>
      <c r="D121" s="335"/>
      <c r="E121" s="335"/>
      <c r="F121" s="335"/>
      <c r="G121" s="342" t="e">
        <f>G122</f>
        <v>#REF!</v>
      </c>
      <c r="H121" s="342" t="e">
        <f aca="true" t="shared" si="51" ref="H121:M121">H122</f>
        <v>#REF!</v>
      </c>
      <c r="I121" s="342" t="e">
        <f t="shared" si="51"/>
        <v>#REF!</v>
      </c>
      <c r="J121" s="342" t="e">
        <f t="shared" si="51"/>
        <v>#REF!</v>
      </c>
      <c r="K121" s="342" t="e">
        <f t="shared" si="51"/>
        <v>#REF!</v>
      </c>
      <c r="L121" s="342">
        <f t="shared" si="51"/>
        <v>7396.599999999999</v>
      </c>
      <c r="M121" s="342">
        <f t="shared" si="51"/>
        <v>7267.7</v>
      </c>
      <c r="N121" s="336">
        <f t="shared" si="31"/>
        <v>98.25730741151341</v>
      </c>
    </row>
    <row r="122" spans="1:14" ht="18.75">
      <c r="A122" s="337" t="s">
        <v>314</v>
      </c>
      <c r="B122" s="338" t="s">
        <v>464</v>
      </c>
      <c r="C122" s="338" t="s">
        <v>315</v>
      </c>
      <c r="D122" s="338"/>
      <c r="E122" s="338"/>
      <c r="F122" s="338"/>
      <c r="G122" s="343" t="e">
        <f>G123</f>
        <v>#REF!</v>
      </c>
      <c r="H122" s="343" t="e">
        <f aca="true" t="shared" si="52" ref="H122:M122">H123</f>
        <v>#REF!</v>
      </c>
      <c r="I122" s="343" t="e">
        <f t="shared" si="52"/>
        <v>#REF!</v>
      </c>
      <c r="J122" s="343" t="e">
        <f t="shared" si="52"/>
        <v>#REF!</v>
      </c>
      <c r="K122" s="343" t="e">
        <f t="shared" si="52"/>
        <v>#REF!</v>
      </c>
      <c r="L122" s="343">
        <f t="shared" si="52"/>
        <v>7396.599999999999</v>
      </c>
      <c r="M122" s="343">
        <f t="shared" si="52"/>
        <v>7267.7</v>
      </c>
      <c r="N122" s="339">
        <f t="shared" si="31"/>
        <v>98.25730741151341</v>
      </c>
    </row>
    <row r="123" spans="1:14" ht="18.75">
      <c r="A123" s="341" t="s">
        <v>456</v>
      </c>
      <c r="B123" s="338" t="s">
        <v>464</v>
      </c>
      <c r="C123" s="338" t="s">
        <v>315</v>
      </c>
      <c r="D123" s="338" t="s">
        <v>169</v>
      </c>
      <c r="E123" s="338"/>
      <c r="F123" s="338"/>
      <c r="G123" s="343" t="e">
        <f>G134+G132+G128+G137+G140+G143</f>
        <v>#REF!</v>
      </c>
      <c r="H123" s="343" t="e">
        <f>H134+H132+H128+H137+H140+H143</f>
        <v>#REF!</v>
      </c>
      <c r="I123" s="343" t="e">
        <f>I134+I132+I128+I137+I140+I143</f>
        <v>#REF!</v>
      </c>
      <c r="J123" s="343" t="e">
        <f>J134+J132+J128+J137+J140+J143</f>
        <v>#REF!</v>
      </c>
      <c r="K123" s="343" t="e">
        <f>K134+K132+K128+K137+K140+K143</f>
        <v>#REF!</v>
      </c>
      <c r="L123" s="343">
        <f>L134+L132+L128+L137+L140+L143+L146</f>
        <v>7396.599999999999</v>
      </c>
      <c r="M123" s="343">
        <f>M134+M132+M128+M137+M140+M143+M146</f>
        <v>7267.7</v>
      </c>
      <c r="N123" s="339">
        <f t="shared" si="31"/>
        <v>98.25730741151341</v>
      </c>
    </row>
    <row r="124" spans="1:14" ht="57.75" customHeight="1" hidden="1">
      <c r="A124" s="337" t="s">
        <v>657</v>
      </c>
      <c r="B124" s="338" t="s">
        <v>658</v>
      </c>
      <c r="C124" s="338" t="s">
        <v>315</v>
      </c>
      <c r="D124" s="338" t="s">
        <v>169</v>
      </c>
      <c r="E124" s="338"/>
      <c r="F124" s="338"/>
      <c r="G124" s="343">
        <f>G125</f>
        <v>0</v>
      </c>
      <c r="H124" s="343">
        <f aca="true" t="shared" si="53" ref="H124:M125">H125</f>
        <v>0</v>
      </c>
      <c r="I124" s="343">
        <f t="shared" si="53"/>
        <v>0</v>
      </c>
      <c r="J124" s="343">
        <f t="shared" si="53"/>
        <v>0</v>
      </c>
      <c r="K124" s="343">
        <f t="shared" si="53"/>
        <v>0</v>
      </c>
      <c r="L124" s="343">
        <f t="shared" si="53"/>
        <v>0</v>
      </c>
      <c r="M124" s="343">
        <f t="shared" si="53"/>
        <v>0</v>
      </c>
      <c r="N124" s="339" t="e">
        <f t="shared" si="31"/>
        <v>#DIV/0!</v>
      </c>
    </row>
    <row r="125" spans="1:14" ht="56.25" hidden="1">
      <c r="A125" s="337" t="s">
        <v>323</v>
      </c>
      <c r="B125" s="338" t="s">
        <v>658</v>
      </c>
      <c r="C125" s="338" t="s">
        <v>315</v>
      </c>
      <c r="D125" s="338" t="s">
        <v>169</v>
      </c>
      <c r="E125" s="338" t="s">
        <v>324</v>
      </c>
      <c r="F125" s="338"/>
      <c r="G125" s="343">
        <f>G126</f>
        <v>0</v>
      </c>
      <c r="H125" s="343">
        <f t="shared" si="53"/>
        <v>0</v>
      </c>
      <c r="I125" s="343">
        <f t="shared" si="53"/>
        <v>0</v>
      </c>
      <c r="J125" s="343">
        <f t="shared" si="53"/>
        <v>0</v>
      </c>
      <c r="K125" s="343">
        <f t="shared" si="53"/>
        <v>0</v>
      </c>
      <c r="L125" s="343">
        <f t="shared" si="53"/>
        <v>0</v>
      </c>
      <c r="M125" s="343">
        <f t="shared" si="53"/>
        <v>0</v>
      </c>
      <c r="N125" s="339" t="e">
        <f t="shared" si="31"/>
        <v>#DIV/0!</v>
      </c>
    </row>
    <row r="126" spans="1:14" ht="18.75" hidden="1">
      <c r="A126" s="337" t="s">
        <v>325</v>
      </c>
      <c r="B126" s="338" t="s">
        <v>658</v>
      </c>
      <c r="C126" s="338" t="s">
        <v>315</v>
      </c>
      <c r="D126" s="338" t="s">
        <v>169</v>
      </c>
      <c r="E126" s="338" t="s">
        <v>326</v>
      </c>
      <c r="F126" s="338"/>
      <c r="G126" s="343"/>
      <c r="H126" s="343"/>
      <c r="I126" s="343"/>
      <c r="J126" s="343"/>
      <c r="K126" s="343"/>
      <c r="L126" s="343"/>
      <c r="M126" s="343"/>
      <c r="N126" s="339" t="e">
        <f t="shared" si="31"/>
        <v>#DIV/0!</v>
      </c>
    </row>
    <row r="127" spans="1:14" ht="37.5" hidden="1">
      <c r="A127" s="337" t="s">
        <v>455</v>
      </c>
      <c r="B127" s="338" t="s">
        <v>658</v>
      </c>
      <c r="C127" s="338" t="s">
        <v>315</v>
      </c>
      <c r="D127" s="338" t="s">
        <v>169</v>
      </c>
      <c r="E127" s="338"/>
      <c r="F127" s="338" t="s">
        <v>713</v>
      </c>
      <c r="G127" s="343">
        <v>0</v>
      </c>
      <c r="H127" s="343">
        <v>0</v>
      </c>
      <c r="I127" s="343">
        <v>0</v>
      </c>
      <c r="J127" s="343">
        <v>0</v>
      </c>
      <c r="K127" s="343">
        <v>0</v>
      </c>
      <c r="L127" s="343">
        <v>0</v>
      </c>
      <c r="M127" s="343">
        <v>0</v>
      </c>
      <c r="N127" s="339" t="e">
        <f t="shared" si="31"/>
        <v>#DIV/0!</v>
      </c>
    </row>
    <row r="128" spans="1:14" ht="56.25">
      <c r="A128" s="337" t="s">
        <v>329</v>
      </c>
      <c r="B128" s="338" t="s">
        <v>465</v>
      </c>
      <c r="C128" s="338" t="s">
        <v>315</v>
      </c>
      <c r="D128" s="338" t="s">
        <v>169</v>
      </c>
      <c r="E128" s="338"/>
      <c r="F128" s="338"/>
      <c r="G128" s="343" t="e">
        <f>G129</f>
        <v>#REF!</v>
      </c>
      <c r="H128" s="343" t="e">
        <f aca="true" t="shared" si="54" ref="H128:M129">H129</f>
        <v>#REF!</v>
      </c>
      <c r="I128" s="343" t="e">
        <f t="shared" si="54"/>
        <v>#REF!</v>
      </c>
      <c r="J128" s="343" t="e">
        <f t="shared" si="54"/>
        <v>#REF!</v>
      </c>
      <c r="K128" s="343" t="e">
        <f t="shared" si="54"/>
        <v>#REF!</v>
      </c>
      <c r="L128" s="343">
        <f t="shared" si="54"/>
        <v>100</v>
      </c>
      <c r="M128" s="343">
        <f t="shared" si="54"/>
        <v>100</v>
      </c>
      <c r="N128" s="339">
        <f t="shared" si="31"/>
        <v>100</v>
      </c>
    </row>
    <row r="129" spans="1:14" ht="56.25">
      <c r="A129" s="337" t="s">
        <v>323</v>
      </c>
      <c r="B129" s="338" t="s">
        <v>465</v>
      </c>
      <c r="C129" s="338" t="s">
        <v>315</v>
      </c>
      <c r="D129" s="338" t="s">
        <v>169</v>
      </c>
      <c r="E129" s="338" t="s">
        <v>324</v>
      </c>
      <c r="F129" s="338"/>
      <c r="G129" s="343" t="e">
        <f>G130</f>
        <v>#REF!</v>
      </c>
      <c r="H129" s="343" t="e">
        <f t="shared" si="54"/>
        <v>#REF!</v>
      </c>
      <c r="I129" s="343" t="e">
        <f t="shared" si="54"/>
        <v>#REF!</v>
      </c>
      <c r="J129" s="343" t="e">
        <f t="shared" si="54"/>
        <v>#REF!</v>
      </c>
      <c r="K129" s="343" t="e">
        <f t="shared" si="54"/>
        <v>#REF!</v>
      </c>
      <c r="L129" s="343">
        <f t="shared" si="54"/>
        <v>100</v>
      </c>
      <c r="M129" s="343">
        <f t="shared" si="54"/>
        <v>100</v>
      </c>
      <c r="N129" s="339">
        <f t="shared" si="31"/>
        <v>100</v>
      </c>
    </row>
    <row r="130" spans="1:14" ht="18.75">
      <c r="A130" s="337" t="s">
        <v>325</v>
      </c>
      <c r="B130" s="338" t="s">
        <v>465</v>
      </c>
      <c r="C130" s="338" t="s">
        <v>315</v>
      </c>
      <c r="D130" s="338" t="s">
        <v>169</v>
      </c>
      <c r="E130" s="338" t="s">
        <v>326</v>
      </c>
      <c r="F130" s="338"/>
      <c r="G130" s="343" t="e">
        <f>#REF!</f>
        <v>#REF!</v>
      </c>
      <c r="H130" s="343" t="e">
        <f>#REF!</f>
        <v>#REF!</v>
      </c>
      <c r="I130" s="343" t="e">
        <f>#REF!</f>
        <v>#REF!</v>
      </c>
      <c r="J130" s="343" t="e">
        <f>#REF!</f>
        <v>#REF!</v>
      </c>
      <c r="K130" s="343" t="e">
        <f>#REF!</f>
        <v>#REF!</v>
      </c>
      <c r="L130" s="343">
        <f>'Прил.№4 ведомств.'!G607</f>
        <v>100</v>
      </c>
      <c r="M130" s="343">
        <f>'Прил.№4 ведомств.'!H607</f>
        <v>100</v>
      </c>
      <c r="N130" s="339">
        <f t="shared" si="31"/>
        <v>100</v>
      </c>
    </row>
    <row r="131" spans="1:14" ht="37.5">
      <c r="A131" s="337" t="s">
        <v>331</v>
      </c>
      <c r="B131" s="338" t="s">
        <v>466</v>
      </c>
      <c r="C131" s="338" t="s">
        <v>315</v>
      </c>
      <c r="D131" s="338" t="s">
        <v>169</v>
      </c>
      <c r="E131" s="338"/>
      <c r="F131" s="338"/>
      <c r="G131" s="343" t="e">
        <f>G132</f>
        <v>#REF!</v>
      </c>
      <c r="H131" s="343" t="e">
        <f aca="true" t="shared" si="55" ref="H131:M132">H132</f>
        <v>#REF!</v>
      </c>
      <c r="I131" s="343" t="e">
        <f t="shared" si="55"/>
        <v>#REF!</v>
      </c>
      <c r="J131" s="343" t="e">
        <f t="shared" si="55"/>
        <v>#REF!</v>
      </c>
      <c r="K131" s="343" t="e">
        <f t="shared" si="55"/>
        <v>#REF!</v>
      </c>
      <c r="L131" s="343">
        <f t="shared" si="55"/>
        <v>100</v>
      </c>
      <c r="M131" s="343">
        <f t="shared" si="55"/>
        <v>100</v>
      </c>
      <c r="N131" s="339">
        <f t="shared" si="31"/>
        <v>100</v>
      </c>
    </row>
    <row r="132" spans="1:14" ht="56.25">
      <c r="A132" s="337" t="s">
        <v>323</v>
      </c>
      <c r="B132" s="338" t="s">
        <v>466</v>
      </c>
      <c r="C132" s="338" t="s">
        <v>315</v>
      </c>
      <c r="D132" s="338" t="s">
        <v>169</v>
      </c>
      <c r="E132" s="338" t="s">
        <v>324</v>
      </c>
      <c r="F132" s="338"/>
      <c r="G132" s="343" t="e">
        <f>G133</f>
        <v>#REF!</v>
      </c>
      <c r="H132" s="343" t="e">
        <f t="shared" si="55"/>
        <v>#REF!</v>
      </c>
      <c r="I132" s="343" t="e">
        <f t="shared" si="55"/>
        <v>#REF!</v>
      </c>
      <c r="J132" s="343" t="e">
        <f t="shared" si="55"/>
        <v>#REF!</v>
      </c>
      <c r="K132" s="343" t="e">
        <f t="shared" si="55"/>
        <v>#REF!</v>
      </c>
      <c r="L132" s="343">
        <f t="shared" si="55"/>
        <v>100</v>
      </c>
      <c r="M132" s="343">
        <f t="shared" si="55"/>
        <v>100</v>
      </c>
      <c r="N132" s="339">
        <f t="shared" si="31"/>
        <v>100</v>
      </c>
    </row>
    <row r="133" spans="1:14" ht="18.75">
      <c r="A133" s="337" t="s">
        <v>325</v>
      </c>
      <c r="B133" s="338" t="s">
        <v>466</v>
      </c>
      <c r="C133" s="338" t="s">
        <v>315</v>
      </c>
      <c r="D133" s="338" t="s">
        <v>169</v>
      </c>
      <c r="E133" s="338" t="s">
        <v>326</v>
      </c>
      <c r="F133" s="338"/>
      <c r="G133" s="343" t="e">
        <f>#REF!</f>
        <v>#REF!</v>
      </c>
      <c r="H133" s="343" t="e">
        <f>#REF!</f>
        <v>#REF!</v>
      </c>
      <c r="I133" s="343" t="e">
        <f>#REF!</f>
        <v>#REF!</v>
      </c>
      <c r="J133" s="343" t="e">
        <f>#REF!</f>
        <v>#REF!</v>
      </c>
      <c r="K133" s="343" t="e">
        <f>#REF!</f>
        <v>#REF!</v>
      </c>
      <c r="L133" s="343">
        <f>'Прил.№4 ведомств.'!G610</f>
        <v>100</v>
      </c>
      <c r="M133" s="343">
        <f>'Прил.№4 ведомств.'!H610</f>
        <v>100</v>
      </c>
      <c r="N133" s="339">
        <f t="shared" si="31"/>
        <v>100</v>
      </c>
    </row>
    <row r="134" spans="1:14" ht="56.25">
      <c r="A134" s="337" t="s">
        <v>467</v>
      </c>
      <c r="B134" s="338" t="s">
        <v>468</v>
      </c>
      <c r="C134" s="338" t="s">
        <v>315</v>
      </c>
      <c r="D134" s="338" t="s">
        <v>169</v>
      </c>
      <c r="E134" s="338"/>
      <c r="F134" s="338"/>
      <c r="G134" s="343" t="e">
        <f>G135</f>
        <v>#REF!</v>
      </c>
      <c r="H134" s="343" t="e">
        <f aca="true" t="shared" si="56" ref="H134:M135">H135</f>
        <v>#REF!</v>
      </c>
      <c r="I134" s="343" t="e">
        <f t="shared" si="56"/>
        <v>#REF!</v>
      </c>
      <c r="J134" s="343" t="e">
        <f t="shared" si="56"/>
        <v>#REF!</v>
      </c>
      <c r="K134" s="343" t="e">
        <f t="shared" si="56"/>
        <v>#REF!</v>
      </c>
      <c r="L134" s="343">
        <f t="shared" si="56"/>
        <v>3615.2</v>
      </c>
      <c r="M134" s="343">
        <f t="shared" si="56"/>
        <v>3500</v>
      </c>
      <c r="N134" s="339">
        <f t="shared" si="31"/>
        <v>96.81345430404957</v>
      </c>
    </row>
    <row r="135" spans="1:14" ht="65.25" customHeight="1">
      <c r="A135" s="337" t="s">
        <v>323</v>
      </c>
      <c r="B135" s="338" t="s">
        <v>468</v>
      </c>
      <c r="C135" s="338" t="s">
        <v>315</v>
      </c>
      <c r="D135" s="338" t="s">
        <v>169</v>
      </c>
      <c r="E135" s="338" t="s">
        <v>324</v>
      </c>
      <c r="F135" s="338"/>
      <c r="G135" s="343" t="e">
        <f>G136</f>
        <v>#REF!</v>
      </c>
      <c r="H135" s="343" t="e">
        <f t="shared" si="56"/>
        <v>#REF!</v>
      </c>
      <c r="I135" s="343" t="e">
        <f t="shared" si="56"/>
        <v>#REF!</v>
      </c>
      <c r="J135" s="343" t="e">
        <f t="shared" si="56"/>
        <v>#REF!</v>
      </c>
      <c r="K135" s="343" t="e">
        <f t="shared" si="56"/>
        <v>#REF!</v>
      </c>
      <c r="L135" s="343">
        <f t="shared" si="56"/>
        <v>3615.2</v>
      </c>
      <c r="M135" s="343">
        <f t="shared" si="56"/>
        <v>3500</v>
      </c>
      <c r="N135" s="339">
        <f t="shared" si="31"/>
        <v>96.81345430404957</v>
      </c>
    </row>
    <row r="136" spans="1:14" ht="18.75">
      <c r="A136" s="337" t="s">
        <v>325</v>
      </c>
      <c r="B136" s="338" t="s">
        <v>468</v>
      </c>
      <c r="C136" s="338" t="s">
        <v>315</v>
      </c>
      <c r="D136" s="338" t="s">
        <v>169</v>
      </c>
      <c r="E136" s="338" t="s">
        <v>326</v>
      </c>
      <c r="F136" s="338"/>
      <c r="G136" s="339" t="e">
        <f>#REF!</f>
        <v>#REF!</v>
      </c>
      <c r="H136" s="339" t="e">
        <f>#REF!</f>
        <v>#REF!</v>
      </c>
      <c r="I136" s="339" t="e">
        <f>#REF!</f>
        <v>#REF!</v>
      </c>
      <c r="J136" s="339" t="e">
        <f>#REF!</f>
        <v>#REF!</v>
      </c>
      <c r="K136" s="339" t="e">
        <f>#REF!</f>
        <v>#REF!</v>
      </c>
      <c r="L136" s="339">
        <f>'Прил.№4 ведомств.'!G613</f>
        <v>3615.2</v>
      </c>
      <c r="M136" s="339">
        <f>'Прил.№4 ведомств.'!H613</f>
        <v>3500</v>
      </c>
      <c r="N136" s="339">
        <f t="shared" si="31"/>
        <v>96.81345430404957</v>
      </c>
    </row>
    <row r="137" spans="1:14" ht="37.5">
      <c r="A137" s="337" t="s">
        <v>335</v>
      </c>
      <c r="B137" s="338" t="s">
        <v>469</v>
      </c>
      <c r="C137" s="338" t="s">
        <v>315</v>
      </c>
      <c r="D137" s="338" t="s">
        <v>169</v>
      </c>
      <c r="E137" s="338"/>
      <c r="F137" s="338"/>
      <c r="G137" s="343" t="e">
        <f>G138</f>
        <v>#REF!</v>
      </c>
      <c r="H137" s="343" t="e">
        <f aca="true" t="shared" si="57" ref="H137:M138">H138</f>
        <v>#REF!</v>
      </c>
      <c r="I137" s="343" t="e">
        <f t="shared" si="57"/>
        <v>#REF!</v>
      </c>
      <c r="J137" s="343" t="e">
        <f t="shared" si="57"/>
        <v>#REF!</v>
      </c>
      <c r="K137" s="343" t="e">
        <f t="shared" si="57"/>
        <v>#REF!</v>
      </c>
      <c r="L137" s="343">
        <f t="shared" si="57"/>
        <v>97.2</v>
      </c>
      <c r="M137" s="343">
        <f t="shared" si="57"/>
        <v>97.1</v>
      </c>
      <c r="N137" s="339">
        <f t="shared" si="31"/>
        <v>99.89711934156378</v>
      </c>
    </row>
    <row r="138" spans="1:14" ht="56.25">
      <c r="A138" s="337" t="s">
        <v>323</v>
      </c>
      <c r="B138" s="338" t="s">
        <v>469</v>
      </c>
      <c r="C138" s="338" t="s">
        <v>315</v>
      </c>
      <c r="D138" s="338" t="s">
        <v>169</v>
      </c>
      <c r="E138" s="338" t="s">
        <v>324</v>
      </c>
      <c r="F138" s="338"/>
      <c r="G138" s="343" t="e">
        <f>G139</f>
        <v>#REF!</v>
      </c>
      <c r="H138" s="343" t="e">
        <f t="shared" si="57"/>
        <v>#REF!</v>
      </c>
      <c r="I138" s="343" t="e">
        <f t="shared" si="57"/>
        <v>#REF!</v>
      </c>
      <c r="J138" s="343" t="e">
        <f t="shared" si="57"/>
        <v>#REF!</v>
      </c>
      <c r="K138" s="343" t="e">
        <f t="shared" si="57"/>
        <v>#REF!</v>
      </c>
      <c r="L138" s="343">
        <f t="shared" si="57"/>
        <v>97.2</v>
      </c>
      <c r="M138" s="343">
        <f t="shared" si="57"/>
        <v>97.1</v>
      </c>
      <c r="N138" s="339">
        <f t="shared" si="31"/>
        <v>99.89711934156378</v>
      </c>
    </row>
    <row r="139" spans="1:14" ht="18.75">
      <c r="A139" s="337" t="s">
        <v>325</v>
      </c>
      <c r="B139" s="338" t="s">
        <v>469</v>
      </c>
      <c r="C139" s="338" t="s">
        <v>315</v>
      </c>
      <c r="D139" s="338" t="s">
        <v>169</v>
      </c>
      <c r="E139" s="338" t="s">
        <v>326</v>
      </c>
      <c r="F139" s="338"/>
      <c r="G139" s="343" t="e">
        <f>#REF!</f>
        <v>#REF!</v>
      </c>
      <c r="H139" s="343" t="e">
        <f>#REF!</f>
        <v>#REF!</v>
      </c>
      <c r="I139" s="343" t="e">
        <f>#REF!</f>
        <v>#REF!</v>
      </c>
      <c r="J139" s="343" t="e">
        <f>#REF!</f>
        <v>#REF!</v>
      </c>
      <c r="K139" s="343" t="e">
        <f>#REF!</f>
        <v>#REF!</v>
      </c>
      <c r="L139" s="343">
        <f>'Прил.№4 ведомств.'!G616</f>
        <v>97.2</v>
      </c>
      <c r="M139" s="343">
        <f>'Прил.№4 ведомств.'!H616</f>
        <v>97.1</v>
      </c>
      <c r="N139" s="339">
        <f aca="true" t="shared" si="58" ref="N139:N202">M139/L139*100</f>
        <v>99.89711934156378</v>
      </c>
    </row>
    <row r="140" spans="1:14" ht="56.25">
      <c r="A140" s="348" t="s">
        <v>857</v>
      </c>
      <c r="B140" s="344" t="s">
        <v>860</v>
      </c>
      <c r="C140" s="344" t="s">
        <v>315</v>
      </c>
      <c r="D140" s="344" t="s">
        <v>169</v>
      </c>
      <c r="E140" s="344"/>
      <c r="F140" s="344"/>
      <c r="G140" s="343" t="e">
        <f>G141</f>
        <v>#REF!</v>
      </c>
      <c r="H140" s="343" t="e">
        <f aca="true" t="shared" si="59" ref="H140:M141">H141</f>
        <v>#REF!</v>
      </c>
      <c r="I140" s="343" t="e">
        <f t="shared" si="59"/>
        <v>#REF!</v>
      </c>
      <c r="J140" s="343" t="e">
        <f t="shared" si="59"/>
        <v>#REF!</v>
      </c>
      <c r="K140" s="343" t="e">
        <f t="shared" si="59"/>
        <v>#REF!</v>
      </c>
      <c r="L140" s="343">
        <f t="shared" si="59"/>
        <v>2587</v>
      </c>
      <c r="M140" s="343">
        <f t="shared" si="59"/>
        <v>2573.4</v>
      </c>
      <c r="N140" s="339">
        <f t="shared" si="58"/>
        <v>99.47429454967144</v>
      </c>
    </row>
    <row r="141" spans="1:14" ht="56.25">
      <c r="A141" s="337" t="s">
        <v>323</v>
      </c>
      <c r="B141" s="344" t="s">
        <v>860</v>
      </c>
      <c r="C141" s="344" t="s">
        <v>315</v>
      </c>
      <c r="D141" s="344" t="s">
        <v>169</v>
      </c>
      <c r="E141" s="344" t="s">
        <v>324</v>
      </c>
      <c r="F141" s="344"/>
      <c r="G141" s="343" t="e">
        <f>G142</f>
        <v>#REF!</v>
      </c>
      <c r="H141" s="343" t="e">
        <f t="shared" si="59"/>
        <v>#REF!</v>
      </c>
      <c r="I141" s="343" t="e">
        <f t="shared" si="59"/>
        <v>#REF!</v>
      </c>
      <c r="J141" s="343" t="e">
        <f t="shared" si="59"/>
        <v>#REF!</v>
      </c>
      <c r="K141" s="343" t="e">
        <f t="shared" si="59"/>
        <v>#REF!</v>
      </c>
      <c r="L141" s="343">
        <f t="shared" si="59"/>
        <v>2587</v>
      </c>
      <c r="M141" s="343">
        <f t="shared" si="59"/>
        <v>2573.4</v>
      </c>
      <c r="N141" s="339">
        <f t="shared" si="58"/>
        <v>99.47429454967144</v>
      </c>
    </row>
    <row r="142" spans="1:14" ht="18.75">
      <c r="A142" s="349" t="s">
        <v>325</v>
      </c>
      <c r="B142" s="344" t="s">
        <v>860</v>
      </c>
      <c r="C142" s="344" t="s">
        <v>315</v>
      </c>
      <c r="D142" s="344" t="s">
        <v>169</v>
      </c>
      <c r="E142" s="344" t="s">
        <v>326</v>
      </c>
      <c r="F142" s="344"/>
      <c r="G142" s="343" t="e">
        <f>#REF!</f>
        <v>#REF!</v>
      </c>
      <c r="H142" s="343" t="e">
        <f>#REF!</f>
        <v>#REF!</v>
      </c>
      <c r="I142" s="343" t="e">
        <f>#REF!</f>
        <v>#REF!</v>
      </c>
      <c r="J142" s="343" t="e">
        <f>#REF!</f>
        <v>#REF!</v>
      </c>
      <c r="K142" s="343" t="e">
        <f>#REF!</f>
        <v>#REF!</v>
      </c>
      <c r="L142" s="343">
        <f>'Прил.№4 ведомств.'!G619</f>
        <v>2587</v>
      </c>
      <c r="M142" s="343">
        <f>'Прил.№4 ведомств.'!H619</f>
        <v>2573.4</v>
      </c>
      <c r="N142" s="339">
        <f t="shared" si="58"/>
        <v>99.47429454967144</v>
      </c>
    </row>
    <row r="143" spans="1:14" ht="75">
      <c r="A143" s="348" t="s">
        <v>866</v>
      </c>
      <c r="B143" s="344" t="s">
        <v>861</v>
      </c>
      <c r="C143" s="344" t="s">
        <v>315</v>
      </c>
      <c r="D143" s="344" t="s">
        <v>169</v>
      </c>
      <c r="E143" s="344"/>
      <c r="F143" s="344"/>
      <c r="G143" s="343" t="e">
        <f>G144</f>
        <v>#REF!</v>
      </c>
      <c r="H143" s="343" t="e">
        <f aca="true" t="shared" si="60" ref="H143:M144">H144</f>
        <v>#REF!</v>
      </c>
      <c r="I143" s="343" t="e">
        <f t="shared" si="60"/>
        <v>#REF!</v>
      </c>
      <c r="J143" s="343" t="e">
        <f t="shared" si="60"/>
        <v>#REF!</v>
      </c>
      <c r="K143" s="343" t="e">
        <f t="shared" si="60"/>
        <v>#REF!</v>
      </c>
      <c r="L143" s="343">
        <f t="shared" si="60"/>
        <v>772.8</v>
      </c>
      <c r="M143" s="343">
        <f t="shared" si="60"/>
        <v>772.8</v>
      </c>
      <c r="N143" s="339">
        <f t="shared" si="58"/>
        <v>100</v>
      </c>
    </row>
    <row r="144" spans="1:14" ht="56.25">
      <c r="A144" s="337" t="s">
        <v>323</v>
      </c>
      <c r="B144" s="344" t="s">
        <v>861</v>
      </c>
      <c r="C144" s="344" t="s">
        <v>315</v>
      </c>
      <c r="D144" s="344" t="s">
        <v>169</v>
      </c>
      <c r="E144" s="344" t="s">
        <v>324</v>
      </c>
      <c r="F144" s="344"/>
      <c r="G144" s="343" t="e">
        <f>G145</f>
        <v>#REF!</v>
      </c>
      <c r="H144" s="343" t="e">
        <f t="shared" si="60"/>
        <v>#REF!</v>
      </c>
      <c r="I144" s="343" t="e">
        <f t="shared" si="60"/>
        <v>#REF!</v>
      </c>
      <c r="J144" s="343" t="e">
        <f t="shared" si="60"/>
        <v>#REF!</v>
      </c>
      <c r="K144" s="343" t="e">
        <f t="shared" si="60"/>
        <v>#REF!</v>
      </c>
      <c r="L144" s="343">
        <f t="shared" si="60"/>
        <v>772.8</v>
      </c>
      <c r="M144" s="343">
        <f t="shared" si="60"/>
        <v>772.8</v>
      </c>
      <c r="N144" s="339">
        <f t="shared" si="58"/>
        <v>100</v>
      </c>
    </row>
    <row r="145" spans="1:14" ht="18.75">
      <c r="A145" s="349" t="s">
        <v>325</v>
      </c>
      <c r="B145" s="344" t="s">
        <v>861</v>
      </c>
      <c r="C145" s="344" t="s">
        <v>315</v>
      </c>
      <c r="D145" s="344" t="s">
        <v>169</v>
      </c>
      <c r="E145" s="344" t="s">
        <v>326</v>
      </c>
      <c r="F145" s="344"/>
      <c r="G145" s="343" t="e">
        <f>#REF!</f>
        <v>#REF!</v>
      </c>
      <c r="H145" s="343" t="e">
        <f>#REF!</f>
        <v>#REF!</v>
      </c>
      <c r="I145" s="343" t="e">
        <f>#REF!</f>
        <v>#REF!</v>
      </c>
      <c r="J145" s="343" t="e">
        <f>#REF!</f>
        <v>#REF!</v>
      </c>
      <c r="K145" s="343" t="e">
        <f>#REF!</f>
        <v>#REF!</v>
      </c>
      <c r="L145" s="343">
        <f>'Прил.№4 ведомств.'!G622</f>
        <v>772.8</v>
      </c>
      <c r="M145" s="343">
        <f>'Прил.№4 ведомств.'!H622</f>
        <v>772.8</v>
      </c>
      <c r="N145" s="339">
        <f t="shared" si="58"/>
        <v>100</v>
      </c>
    </row>
    <row r="146" spans="1:14" ht="187.5">
      <c r="A146" s="340" t="s">
        <v>475</v>
      </c>
      <c r="B146" s="344" t="s">
        <v>1020</v>
      </c>
      <c r="C146" s="344" t="s">
        <v>315</v>
      </c>
      <c r="D146" s="344" t="s">
        <v>169</v>
      </c>
      <c r="E146" s="344"/>
      <c r="F146" s="344"/>
      <c r="G146" s="343"/>
      <c r="H146" s="343"/>
      <c r="I146" s="343"/>
      <c r="J146" s="343"/>
      <c r="K146" s="343"/>
      <c r="L146" s="343">
        <f>L147</f>
        <v>124.4</v>
      </c>
      <c r="M146" s="343">
        <f>M147</f>
        <v>124.4</v>
      </c>
      <c r="N146" s="339">
        <f t="shared" si="58"/>
        <v>100</v>
      </c>
    </row>
    <row r="147" spans="1:14" ht="56.25">
      <c r="A147" s="340" t="s">
        <v>323</v>
      </c>
      <c r="B147" s="344" t="s">
        <v>1020</v>
      </c>
      <c r="C147" s="344" t="s">
        <v>315</v>
      </c>
      <c r="D147" s="344" t="s">
        <v>169</v>
      </c>
      <c r="E147" s="344" t="s">
        <v>324</v>
      </c>
      <c r="F147" s="344"/>
      <c r="G147" s="343"/>
      <c r="H147" s="343"/>
      <c r="I147" s="343"/>
      <c r="J147" s="343"/>
      <c r="K147" s="343"/>
      <c r="L147" s="343">
        <f>L148</f>
        <v>124.4</v>
      </c>
      <c r="M147" s="343">
        <f>M148</f>
        <v>124.4</v>
      </c>
      <c r="N147" s="339">
        <f t="shared" si="58"/>
        <v>100</v>
      </c>
    </row>
    <row r="148" spans="1:14" ht="18.75">
      <c r="A148" s="340" t="s">
        <v>325</v>
      </c>
      <c r="B148" s="344" t="s">
        <v>1020</v>
      </c>
      <c r="C148" s="344" t="s">
        <v>315</v>
      </c>
      <c r="D148" s="344" t="s">
        <v>169</v>
      </c>
      <c r="E148" s="344" t="s">
        <v>326</v>
      </c>
      <c r="F148" s="344"/>
      <c r="G148" s="343"/>
      <c r="H148" s="343"/>
      <c r="I148" s="343"/>
      <c r="J148" s="343"/>
      <c r="K148" s="343"/>
      <c r="L148" s="343">
        <f>'Прил.№4 ведомств.'!G625</f>
        <v>124.4</v>
      </c>
      <c r="M148" s="343">
        <f>'Прил.№4 ведомств.'!H625</f>
        <v>124.4</v>
      </c>
      <c r="N148" s="339">
        <f t="shared" si="58"/>
        <v>100</v>
      </c>
    </row>
    <row r="149" spans="1:14" ht="37.5">
      <c r="A149" s="337" t="s">
        <v>455</v>
      </c>
      <c r="B149" s="338" t="s">
        <v>464</v>
      </c>
      <c r="C149" s="338"/>
      <c r="D149" s="338"/>
      <c r="E149" s="338"/>
      <c r="F149" s="338" t="s">
        <v>713</v>
      </c>
      <c r="G149" s="343" t="e">
        <f aca="true" t="shared" si="61" ref="G149:L149">G121</f>
        <v>#REF!</v>
      </c>
      <c r="H149" s="343" t="e">
        <f t="shared" si="61"/>
        <v>#REF!</v>
      </c>
      <c r="I149" s="343" t="e">
        <f t="shared" si="61"/>
        <v>#REF!</v>
      </c>
      <c r="J149" s="343" t="e">
        <f t="shared" si="61"/>
        <v>#REF!</v>
      </c>
      <c r="K149" s="343" t="e">
        <f t="shared" si="61"/>
        <v>#REF!</v>
      </c>
      <c r="L149" s="343">
        <f t="shared" si="61"/>
        <v>7396.599999999999</v>
      </c>
      <c r="M149" s="343">
        <f>M121</f>
        <v>7267.7</v>
      </c>
      <c r="N149" s="339">
        <f t="shared" si="58"/>
        <v>98.25730741151341</v>
      </c>
    </row>
    <row r="150" spans="1:14" ht="56.25">
      <c r="A150" s="345" t="s">
        <v>482</v>
      </c>
      <c r="B150" s="335" t="s">
        <v>483</v>
      </c>
      <c r="C150" s="335"/>
      <c r="D150" s="335"/>
      <c r="E150" s="335"/>
      <c r="F150" s="335"/>
      <c r="G150" s="336" t="e">
        <f aca="true" t="shared" si="62" ref="G150:M150">G171</f>
        <v>#REF!</v>
      </c>
      <c r="H150" s="336" t="e">
        <f t="shared" si="62"/>
        <v>#REF!</v>
      </c>
      <c r="I150" s="336" t="e">
        <f t="shared" si="62"/>
        <v>#REF!</v>
      </c>
      <c r="J150" s="336" t="e">
        <f t="shared" si="62"/>
        <v>#REF!</v>
      </c>
      <c r="K150" s="336" t="e">
        <f t="shared" si="62"/>
        <v>#REF!</v>
      </c>
      <c r="L150" s="336">
        <f t="shared" si="62"/>
        <v>7103.3</v>
      </c>
      <c r="M150" s="336">
        <f t="shared" si="62"/>
        <v>7006.7</v>
      </c>
      <c r="N150" s="336">
        <f t="shared" si="58"/>
        <v>98.64006870046316</v>
      </c>
    </row>
    <row r="151" spans="1:14" ht="70.5" customHeight="1" hidden="1">
      <c r="A151" s="337" t="s">
        <v>657</v>
      </c>
      <c r="B151" s="338" t="s">
        <v>663</v>
      </c>
      <c r="C151" s="338" t="s">
        <v>315</v>
      </c>
      <c r="D151" s="338" t="s">
        <v>264</v>
      </c>
      <c r="E151" s="338"/>
      <c r="F151" s="338"/>
      <c r="G151" s="343">
        <f>G152</f>
        <v>0</v>
      </c>
      <c r="H151" s="343">
        <f aca="true" t="shared" si="63" ref="H151:M151">H152</f>
        <v>0</v>
      </c>
      <c r="I151" s="343">
        <f t="shared" si="63"/>
        <v>0</v>
      </c>
      <c r="J151" s="343">
        <f t="shared" si="63"/>
        <v>0</v>
      </c>
      <c r="K151" s="343">
        <f t="shared" si="63"/>
        <v>0</v>
      </c>
      <c r="L151" s="343">
        <f t="shared" si="63"/>
        <v>0</v>
      </c>
      <c r="M151" s="343">
        <f t="shared" si="63"/>
        <v>0</v>
      </c>
      <c r="N151" s="336" t="e">
        <f t="shared" si="58"/>
        <v>#DIV/0!</v>
      </c>
    </row>
    <row r="152" spans="1:14" ht="56.25" hidden="1">
      <c r="A152" s="337" t="s">
        <v>323</v>
      </c>
      <c r="B152" s="338" t="s">
        <v>663</v>
      </c>
      <c r="C152" s="338" t="s">
        <v>315</v>
      </c>
      <c r="D152" s="338" t="s">
        <v>264</v>
      </c>
      <c r="E152" s="338" t="s">
        <v>324</v>
      </c>
      <c r="F152" s="338"/>
      <c r="G152" s="343">
        <f aca="true" t="shared" si="64" ref="G152:M152">G154</f>
        <v>0</v>
      </c>
      <c r="H152" s="343">
        <f t="shared" si="64"/>
        <v>0</v>
      </c>
      <c r="I152" s="343">
        <f t="shared" si="64"/>
        <v>0</v>
      </c>
      <c r="J152" s="343">
        <f t="shared" si="64"/>
        <v>0</v>
      </c>
      <c r="K152" s="343">
        <f t="shared" si="64"/>
        <v>0</v>
      </c>
      <c r="L152" s="343">
        <f t="shared" si="64"/>
        <v>0</v>
      </c>
      <c r="M152" s="343">
        <f t="shared" si="64"/>
        <v>0</v>
      </c>
      <c r="N152" s="336" t="e">
        <f t="shared" si="58"/>
        <v>#DIV/0!</v>
      </c>
    </row>
    <row r="153" spans="1:14" ht="18.75" customHeight="1" hidden="1">
      <c r="A153" s="337" t="s">
        <v>325</v>
      </c>
      <c r="B153" s="338" t="s">
        <v>663</v>
      </c>
      <c r="C153" s="338" t="s">
        <v>315</v>
      </c>
      <c r="D153" s="338" t="s">
        <v>264</v>
      </c>
      <c r="E153" s="338" t="s">
        <v>326</v>
      </c>
      <c r="F153" s="338"/>
      <c r="G153" s="343"/>
      <c r="H153" s="343"/>
      <c r="I153" s="343"/>
      <c r="J153" s="343"/>
      <c r="K153" s="343"/>
      <c r="L153" s="343"/>
      <c r="M153" s="343"/>
      <c r="N153" s="336" t="e">
        <f t="shared" si="58"/>
        <v>#DIV/0!</v>
      </c>
    </row>
    <row r="154" spans="1:14" ht="37.5" hidden="1">
      <c r="A154" s="337" t="s">
        <v>455</v>
      </c>
      <c r="B154" s="338" t="s">
        <v>663</v>
      </c>
      <c r="C154" s="338" t="s">
        <v>315</v>
      </c>
      <c r="D154" s="338" t="s">
        <v>264</v>
      </c>
      <c r="E154" s="338"/>
      <c r="F154" s="338" t="s">
        <v>713</v>
      </c>
      <c r="G154" s="343"/>
      <c r="H154" s="343"/>
      <c r="I154" s="343"/>
      <c r="J154" s="343"/>
      <c r="K154" s="343"/>
      <c r="L154" s="343"/>
      <c r="M154" s="343"/>
      <c r="N154" s="336" t="e">
        <f t="shared" si="58"/>
        <v>#DIV/0!</v>
      </c>
    </row>
    <row r="155" spans="1:14" ht="75" hidden="1">
      <c r="A155" s="340" t="s">
        <v>484</v>
      </c>
      <c r="B155" s="338" t="s">
        <v>485</v>
      </c>
      <c r="C155" s="338" t="s">
        <v>315</v>
      </c>
      <c r="D155" s="338" t="s">
        <v>264</v>
      </c>
      <c r="E155" s="338"/>
      <c r="F155" s="338"/>
      <c r="G155" s="343">
        <f>G156</f>
        <v>0</v>
      </c>
      <c r="H155" s="343">
        <f aca="true" t="shared" si="65" ref="H155:M156">H156</f>
        <v>0</v>
      </c>
      <c r="I155" s="343">
        <f t="shared" si="65"/>
        <v>0</v>
      </c>
      <c r="J155" s="343">
        <f t="shared" si="65"/>
        <v>0</v>
      </c>
      <c r="K155" s="343">
        <f t="shared" si="65"/>
        <v>0</v>
      </c>
      <c r="L155" s="343">
        <f t="shared" si="65"/>
        <v>0</v>
      </c>
      <c r="M155" s="343">
        <f t="shared" si="65"/>
        <v>0</v>
      </c>
      <c r="N155" s="336" t="e">
        <f t="shared" si="58"/>
        <v>#DIV/0!</v>
      </c>
    </row>
    <row r="156" spans="1:14" ht="56.25" hidden="1">
      <c r="A156" s="337" t="s">
        <v>323</v>
      </c>
      <c r="B156" s="338" t="s">
        <v>485</v>
      </c>
      <c r="C156" s="338" t="s">
        <v>315</v>
      </c>
      <c r="D156" s="338" t="s">
        <v>264</v>
      </c>
      <c r="E156" s="338" t="s">
        <v>324</v>
      </c>
      <c r="F156" s="338"/>
      <c r="G156" s="343">
        <f>G157</f>
        <v>0</v>
      </c>
      <c r="H156" s="343">
        <f t="shared" si="65"/>
        <v>0</v>
      </c>
      <c r="I156" s="343">
        <f t="shared" si="65"/>
        <v>0</v>
      </c>
      <c r="J156" s="343">
        <f t="shared" si="65"/>
        <v>0</v>
      </c>
      <c r="K156" s="343">
        <f t="shared" si="65"/>
        <v>0</v>
      </c>
      <c r="L156" s="343">
        <f t="shared" si="65"/>
        <v>0</v>
      </c>
      <c r="M156" s="343">
        <f t="shared" si="65"/>
        <v>0</v>
      </c>
      <c r="N156" s="336" t="e">
        <f t="shared" si="58"/>
        <v>#DIV/0!</v>
      </c>
    </row>
    <row r="157" spans="1:14" ht="18.75" hidden="1">
      <c r="A157" s="337" t="s">
        <v>325</v>
      </c>
      <c r="B157" s="338" t="s">
        <v>485</v>
      </c>
      <c r="C157" s="338" t="s">
        <v>315</v>
      </c>
      <c r="D157" s="338" t="s">
        <v>264</v>
      </c>
      <c r="E157" s="338" t="s">
        <v>326</v>
      </c>
      <c r="F157" s="338"/>
      <c r="G157" s="343"/>
      <c r="H157" s="343"/>
      <c r="I157" s="343"/>
      <c r="J157" s="343"/>
      <c r="K157" s="343"/>
      <c r="L157" s="343"/>
      <c r="M157" s="343"/>
      <c r="N157" s="336" t="e">
        <f t="shared" si="58"/>
        <v>#DIV/0!</v>
      </c>
    </row>
    <row r="158" spans="1:14" ht="54.75" customHeight="1" hidden="1">
      <c r="A158" s="337" t="s">
        <v>455</v>
      </c>
      <c r="B158" s="338" t="s">
        <v>485</v>
      </c>
      <c r="C158" s="338" t="s">
        <v>315</v>
      </c>
      <c r="D158" s="338" t="s">
        <v>264</v>
      </c>
      <c r="E158" s="338"/>
      <c r="F158" s="338" t="s">
        <v>713</v>
      </c>
      <c r="G158" s="343">
        <f aca="true" t="shared" si="66" ref="G158:M158">G155</f>
        <v>0</v>
      </c>
      <c r="H158" s="343">
        <f t="shared" si="66"/>
        <v>0</v>
      </c>
      <c r="I158" s="343">
        <f t="shared" si="66"/>
        <v>0</v>
      </c>
      <c r="J158" s="343">
        <f t="shared" si="66"/>
        <v>0</v>
      </c>
      <c r="K158" s="343">
        <f t="shared" si="66"/>
        <v>0</v>
      </c>
      <c r="L158" s="343">
        <f t="shared" si="66"/>
        <v>0</v>
      </c>
      <c r="M158" s="343">
        <f t="shared" si="66"/>
        <v>0</v>
      </c>
      <c r="N158" s="336" t="e">
        <f t="shared" si="58"/>
        <v>#DIV/0!</v>
      </c>
    </row>
    <row r="159" spans="1:14" ht="37.5" hidden="1">
      <c r="A159" s="340" t="s">
        <v>486</v>
      </c>
      <c r="B159" s="344" t="s">
        <v>487</v>
      </c>
      <c r="C159" s="338" t="s">
        <v>315</v>
      </c>
      <c r="D159" s="338" t="s">
        <v>264</v>
      </c>
      <c r="E159" s="338"/>
      <c r="F159" s="338"/>
      <c r="G159" s="343">
        <f>G160</f>
        <v>0</v>
      </c>
      <c r="H159" s="343">
        <f aca="true" t="shared" si="67" ref="H159:M160">H160</f>
        <v>0</v>
      </c>
      <c r="I159" s="343">
        <f t="shared" si="67"/>
        <v>0</v>
      </c>
      <c r="J159" s="343">
        <f t="shared" si="67"/>
        <v>0</v>
      </c>
      <c r="K159" s="343">
        <f t="shared" si="67"/>
        <v>0</v>
      </c>
      <c r="L159" s="343">
        <f t="shared" si="67"/>
        <v>0</v>
      </c>
      <c r="M159" s="343">
        <f t="shared" si="67"/>
        <v>0</v>
      </c>
      <c r="N159" s="336" t="e">
        <f t="shared" si="58"/>
        <v>#DIV/0!</v>
      </c>
    </row>
    <row r="160" spans="1:14" ht="65.25" customHeight="1" hidden="1">
      <c r="A160" s="340" t="s">
        <v>323</v>
      </c>
      <c r="B160" s="344" t="s">
        <v>487</v>
      </c>
      <c r="C160" s="338" t="s">
        <v>315</v>
      </c>
      <c r="D160" s="338" t="s">
        <v>264</v>
      </c>
      <c r="E160" s="338" t="s">
        <v>324</v>
      </c>
      <c r="F160" s="338"/>
      <c r="G160" s="343">
        <f>G161</f>
        <v>0</v>
      </c>
      <c r="H160" s="343">
        <f t="shared" si="67"/>
        <v>0</v>
      </c>
      <c r="I160" s="343">
        <f t="shared" si="67"/>
        <v>0</v>
      </c>
      <c r="J160" s="343">
        <f t="shared" si="67"/>
        <v>0</v>
      </c>
      <c r="K160" s="343">
        <f t="shared" si="67"/>
        <v>0</v>
      </c>
      <c r="L160" s="343">
        <f t="shared" si="67"/>
        <v>0</v>
      </c>
      <c r="M160" s="343">
        <f t="shared" si="67"/>
        <v>0</v>
      </c>
      <c r="N160" s="336" t="e">
        <f t="shared" si="58"/>
        <v>#DIV/0!</v>
      </c>
    </row>
    <row r="161" spans="1:14" ht="18.75" hidden="1">
      <c r="A161" s="340" t="s">
        <v>325</v>
      </c>
      <c r="B161" s="344" t="s">
        <v>487</v>
      </c>
      <c r="C161" s="338" t="s">
        <v>315</v>
      </c>
      <c r="D161" s="338" t="s">
        <v>264</v>
      </c>
      <c r="E161" s="338" t="s">
        <v>326</v>
      </c>
      <c r="F161" s="338"/>
      <c r="G161" s="343"/>
      <c r="H161" s="343"/>
      <c r="I161" s="343"/>
      <c r="J161" s="343"/>
      <c r="K161" s="343"/>
      <c r="L161" s="343"/>
      <c r="M161" s="343"/>
      <c r="N161" s="336" t="e">
        <f t="shared" si="58"/>
        <v>#DIV/0!</v>
      </c>
    </row>
    <row r="162" spans="1:14" ht="37.5" hidden="1">
      <c r="A162" s="337" t="s">
        <v>455</v>
      </c>
      <c r="B162" s="344" t="s">
        <v>487</v>
      </c>
      <c r="C162" s="338" t="s">
        <v>315</v>
      </c>
      <c r="D162" s="338" t="s">
        <v>264</v>
      </c>
      <c r="E162" s="338"/>
      <c r="F162" s="338" t="s">
        <v>713</v>
      </c>
      <c r="G162" s="343">
        <f aca="true" t="shared" si="68" ref="G162:M162">G159</f>
        <v>0</v>
      </c>
      <c r="H162" s="343">
        <f t="shared" si="68"/>
        <v>0</v>
      </c>
      <c r="I162" s="343">
        <f t="shared" si="68"/>
        <v>0</v>
      </c>
      <c r="J162" s="343">
        <f t="shared" si="68"/>
        <v>0</v>
      </c>
      <c r="K162" s="343">
        <f t="shared" si="68"/>
        <v>0</v>
      </c>
      <c r="L162" s="343">
        <f t="shared" si="68"/>
        <v>0</v>
      </c>
      <c r="M162" s="343">
        <f t="shared" si="68"/>
        <v>0</v>
      </c>
      <c r="N162" s="336" t="e">
        <f t="shared" si="58"/>
        <v>#DIV/0!</v>
      </c>
    </row>
    <row r="163" spans="1:14" ht="75" hidden="1">
      <c r="A163" s="340" t="s">
        <v>490</v>
      </c>
      <c r="B163" s="344" t="s">
        <v>491</v>
      </c>
      <c r="C163" s="338" t="s">
        <v>315</v>
      </c>
      <c r="D163" s="338" t="s">
        <v>264</v>
      </c>
      <c r="E163" s="338"/>
      <c r="F163" s="338"/>
      <c r="G163" s="343">
        <f>G164</f>
        <v>0</v>
      </c>
      <c r="H163" s="343">
        <f aca="true" t="shared" si="69" ref="H163:M164">H164</f>
        <v>0</v>
      </c>
      <c r="I163" s="343">
        <f t="shared" si="69"/>
        <v>0</v>
      </c>
      <c r="J163" s="343">
        <f t="shared" si="69"/>
        <v>0</v>
      </c>
      <c r="K163" s="343">
        <f t="shared" si="69"/>
        <v>0</v>
      </c>
      <c r="L163" s="343">
        <f t="shared" si="69"/>
        <v>0</v>
      </c>
      <c r="M163" s="343">
        <f t="shared" si="69"/>
        <v>0</v>
      </c>
      <c r="N163" s="336" t="e">
        <f t="shared" si="58"/>
        <v>#DIV/0!</v>
      </c>
    </row>
    <row r="164" spans="1:14" ht="56.25" hidden="1">
      <c r="A164" s="337" t="s">
        <v>323</v>
      </c>
      <c r="B164" s="344" t="s">
        <v>491</v>
      </c>
      <c r="C164" s="338" t="s">
        <v>315</v>
      </c>
      <c r="D164" s="338" t="s">
        <v>264</v>
      </c>
      <c r="E164" s="338" t="s">
        <v>324</v>
      </c>
      <c r="F164" s="338"/>
      <c r="G164" s="343">
        <f>G165</f>
        <v>0</v>
      </c>
      <c r="H164" s="343">
        <f t="shared" si="69"/>
        <v>0</v>
      </c>
      <c r="I164" s="343">
        <f t="shared" si="69"/>
        <v>0</v>
      </c>
      <c r="J164" s="343">
        <f t="shared" si="69"/>
        <v>0</v>
      </c>
      <c r="K164" s="343">
        <f t="shared" si="69"/>
        <v>0</v>
      </c>
      <c r="L164" s="343">
        <f t="shared" si="69"/>
        <v>0</v>
      </c>
      <c r="M164" s="343">
        <f t="shared" si="69"/>
        <v>0</v>
      </c>
      <c r="N164" s="336" t="e">
        <f t="shared" si="58"/>
        <v>#DIV/0!</v>
      </c>
    </row>
    <row r="165" spans="1:14" ht="18.75" hidden="1">
      <c r="A165" s="337" t="s">
        <v>325</v>
      </c>
      <c r="B165" s="344" t="s">
        <v>491</v>
      </c>
      <c r="C165" s="338" t="s">
        <v>315</v>
      </c>
      <c r="D165" s="338" t="s">
        <v>264</v>
      </c>
      <c r="E165" s="338" t="s">
        <v>326</v>
      </c>
      <c r="F165" s="338"/>
      <c r="G165" s="343"/>
      <c r="H165" s="343"/>
      <c r="I165" s="343"/>
      <c r="J165" s="343"/>
      <c r="K165" s="343"/>
      <c r="L165" s="343"/>
      <c r="M165" s="343"/>
      <c r="N165" s="336" t="e">
        <f t="shared" si="58"/>
        <v>#DIV/0!</v>
      </c>
    </row>
    <row r="166" spans="1:14" ht="37.5" hidden="1">
      <c r="A166" s="337" t="s">
        <v>455</v>
      </c>
      <c r="B166" s="344" t="s">
        <v>491</v>
      </c>
      <c r="C166" s="338" t="s">
        <v>315</v>
      </c>
      <c r="D166" s="338" t="s">
        <v>264</v>
      </c>
      <c r="E166" s="338"/>
      <c r="F166" s="338" t="s">
        <v>713</v>
      </c>
      <c r="G166" s="343">
        <f aca="true" t="shared" si="70" ref="G166:M166">G165</f>
        <v>0</v>
      </c>
      <c r="H166" s="343">
        <f t="shared" si="70"/>
        <v>0</v>
      </c>
      <c r="I166" s="343">
        <f t="shared" si="70"/>
        <v>0</v>
      </c>
      <c r="J166" s="343">
        <f t="shared" si="70"/>
        <v>0</v>
      </c>
      <c r="K166" s="343">
        <f t="shared" si="70"/>
        <v>0</v>
      </c>
      <c r="L166" s="343">
        <f t="shared" si="70"/>
        <v>0</v>
      </c>
      <c r="M166" s="343">
        <f t="shared" si="70"/>
        <v>0</v>
      </c>
      <c r="N166" s="336" t="e">
        <f t="shared" si="58"/>
        <v>#DIV/0!</v>
      </c>
    </row>
    <row r="167" spans="1:14" ht="56.25" hidden="1">
      <c r="A167" s="340" t="s">
        <v>666</v>
      </c>
      <c r="B167" s="344" t="s">
        <v>494</v>
      </c>
      <c r="C167" s="338" t="s">
        <v>315</v>
      </c>
      <c r="D167" s="338" t="s">
        <v>264</v>
      </c>
      <c r="E167" s="338"/>
      <c r="F167" s="338"/>
      <c r="G167" s="343">
        <f>G168</f>
        <v>0</v>
      </c>
      <c r="H167" s="343">
        <f aca="true" t="shared" si="71" ref="H167:M168">H168</f>
        <v>0</v>
      </c>
      <c r="I167" s="343">
        <f t="shared" si="71"/>
        <v>0</v>
      </c>
      <c r="J167" s="343">
        <f t="shared" si="71"/>
        <v>0</v>
      </c>
      <c r="K167" s="343">
        <f t="shared" si="71"/>
        <v>0</v>
      </c>
      <c r="L167" s="343">
        <f t="shared" si="71"/>
        <v>0</v>
      </c>
      <c r="M167" s="343">
        <f t="shared" si="71"/>
        <v>0</v>
      </c>
      <c r="N167" s="336" t="e">
        <f t="shared" si="58"/>
        <v>#DIV/0!</v>
      </c>
    </row>
    <row r="168" spans="1:14" ht="56.25" hidden="1">
      <c r="A168" s="340" t="s">
        <v>323</v>
      </c>
      <c r="B168" s="344" t="s">
        <v>494</v>
      </c>
      <c r="C168" s="338" t="s">
        <v>315</v>
      </c>
      <c r="D168" s="338" t="s">
        <v>264</v>
      </c>
      <c r="E168" s="338" t="s">
        <v>324</v>
      </c>
      <c r="F168" s="338"/>
      <c r="G168" s="343">
        <f>G169</f>
        <v>0</v>
      </c>
      <c r="H168" s="343">
        <f t="shared" si="71"/>
        <v>0</v>
      </c>
      <c r="I168" s="343">
        <f t="shared" si="71"/>
        <v>0</v>
      </c>
      <c r="J168" s="343">
        <f t="shared" si="71"/>
        <v>0</v>
      </c>
      <c r="K168" s="343">
        <f t="shared" si="71"/>
        <v>0</v>
      </c>
      <c r="L168" s="343">
        <f t="shared" si="71"/>
        <v>0</v>
      </c>
      <c r="M168" s="343">
        <f t="shared" si="71"/>
        <v>0</v>
      </c>
      <c r="N168" s="336" t="e">
        <f t="shared" si="58"/>
        <v>#DIV/0!</v>
      </c>
    </row>
    <row r="169" spans="1:14" ht="18.75" hidden="1">
      <c r="A169" s="340" t="s">
        <v>325</v>
      </c>
      <c r="B169" s="344" t="s">
        <v>494</v>
      </c>
      <c r="C169" s="338" t="s">
        <v>315</v>
      </c>
      <c r="D169" s="338" t="s">
        <v>264</v>
      </c>
      <c r="E169" s="338" t="s">
        <v>326</v>
      </c>
      <c r="F169" s="338"/>
      <c r="G169" s="343"/>
      <c r="H169" s="343"/>
      <c r="I169" s="343"/>
      <c r="J169" s="343"/>
      <c r="K169" s="343"/>
      <c r="L169" s="343"/>
      <c r="M169" s="343"/>
      <c r="N169" s="336" t="e">
        <f t="shared" si="58"/>
        <v>#DIV/0!</v>
      </c>
    </row>
    <row r="170" spans="1:14" ht="37.5" hidden="1">
      <c r="A170" s="337" t="s">
        <v>455</v>
      </c>
      <c r="B170" s="344" t="s">
        <v>494</v>
      </c>
      <c r="C170" s="338" t="s">
        <v>315</v>
      </c>
      <c r="D170" s="338" t="s">
        <v>264</v>
      </c>
      <c r="E170" s="338"/>
      <c r="F170" s="338" t="s">
        <v>713</v>
      </c>
      <c r="G170" s="343">
        <f aca="true" t="shared" si="72" ref="G170:M170">G168</f>
        <v>0</v>
      </c>
      <c r="H170" s="343">
        <f t="shared" si="72"/>
        <v>0</v>
      </c>
      <c r="I170" s="343">
        <f t="shared" si="72"/>
        <v>0</v>
      </c>
      <c r="J170" s="343">
        <f t="shared" si="72"/>
        <v>0</v>
      </c>
      <c r="K170" s="343">
        <f t="shared" si="72"/>
        <v>0</v>
      </c>
      <c r="L170" s="343">
        <f t="shared" si="72"/>
        <v>0</v>
      </c>
      <c r="M170" s="343">
        <f t="shared" si="72"/>
        <v>0</v>
      </c>
      <c r="N170" s="336" t="e">
        <f t="shared" si="58"/>
        <v>#DIV/0!</v>
      </c>
    </row>
    <row r="171" spans="1:14" ht="18.75">
      <c r="A171" s="337" t="s">
        <v>314</v>
      </c>
      <c r="B171" s="338" t="s">
        <v>483</v>
      </c>
      <c r="C171" s="338" t="s">
        <v>315</v>
      </c>
      <c r="D171" s="338"/>
      <c r="E171" s="338"/>
      <c r="F171" s="338"/>
      <c r="G171" s="343" t="e">
        <f>G172</f>
        <v>#REF!</v>
      </c>
      <c r="H171" s="343" t="e">
        <f aca="true" t="shared" si="73" ref="H171:M171">H172</f>
        <v>#REF!</v>
      </c>
      <c r="I171" s="343" t="e">
        <f t="shared" si="73"/>
        <v>#REF!</v>
      </c>
      <c r="J171" s="343" t="e">
        <f t="shared" si="73"/>
        <v>#REF!</v>
      </c>
      <c r="K171" s="343" t="e">
        <f t="shared" si="73"/>
        <v>#REF!</v>
      </c>
      <c r="L171" s="343">
        <f t="shared" si="73"/>
        <v>7103.3</v>
      </c>
      <c r="M171" s="343">
        <f t="shared" si="73"/>
        <v>7006.7</v>
      </c>
      <c r="N171" s="339">
        <f t="shared" si="58"/>
        <v>98.64006870046316</v>
      </c>
    </row>
    <row r="172" spans="1:14" ht="18.75">
      <c r="A172" s="337" t="s">
        <v>477</v>
      </c>
      <c r="B172" s="338" t="s">
        <v>483</v>
      </c>
      <c r="C172" s="338" t="s">
        <v>315</v>
      </c>
      <c r="D172" s="338" t="s">
        <v>264</v>
      </c>
      <c r="E172" s="338"/>
      <c r="F172" s="338"/>
      <c r="G172" s="343" t="e">
        <f>G173+G176+G188+G182+G191+G185+G194</f>
        <v>#REF!</v>
      </c>
      <c r="H172" s="343" t="e">
        <f>H173+H176+H188+H182+H191+H185+H194</f>
        <v>#REF!</v>
      </c>
      <c r="I172" s="343" t="e">
        <f>I173+I176+I188+I182+I191+I185+I194</f>
        <v>#REF!</v>
      </c>
      <c r="J172" s="343" t="e">
        <f>J173+J176+J188+J182+J191+J185+J194</f>
        <v>#REF!</v>
      </c>
      <c r="K172" s="343" t="e">
        <f>K173+K176+K188+K182+K191+K185+K194</f>
        <v>#REF!</v>
      </c>
      <c r="L172" s="343">
        <f>L173+L176+L188+L182+L191+L185+L194+L179</f>
        <v>7103.3</v>
      </c>
      <c r="M172" s="343">
        <f>M173+M176+M188+M182+M191+M185+M194+M179</f>
        <v>7006.7</v>
      </c>
      <c r="N172" s="339">
        <f t="shared" si="58"/>
        <v>98.64006870046316</v>
      </c>
    </row>
    <row r="173" spans="1:14" ht="56.25">
      <c r="A173" s="337" t="s">
        <v>665</v>
      </c>
      <c r="B173" s="344" t="s">
        <v>489</v>
      </c>
      <c r="C173" s="338" t="s">
        <v>315</v>
      </c>
      <c r="D173" s="338" t="s">
        <v>264</v>
      </c>
      <c r="E173" s="338"/>
      <c r="F173" s="338"/>
      <c r="G173" s="343" t="e">
        <f>G174</f>
        <v>#REF!</v>
      </c>
      <c r="H173" s="343" t="e">
        <f aca="true" t="shared" si="74" ref="H173:M174">H174</f>
        <v>#REF!</v>
      </c>
      <c r="I173" s="343" t="e">
        <f t="shared" si="74"/>
        <v>#REF!</v>
      </c>
      <c r="J173" s="343" t="e">
        <f t="shared" si="74"/>
        <v>#REF!</v>
      </c>
      <c r="K173" s="343" t="e">
        <f t="shared" si="74"/>
        <v>#REF!</v>
      </c>
      <c r="L173" s="343">
        <f t="shared" si="74"/>
        <v>2967.9</v>
      </c>
      <c r="M173" s="343">
        <f t="shared" si="74"/>
        <v>2967.9</v>
      </c>
      <c r="N173" s="339">
        <f t="shared" si="58"/>
        <v>100</v>
      </c>
    </row>
    <row r="174" spans="1:14" ht="56.25">
      <c r="A174" s="337" t="s">
        <v>323</v>
      </c>
      <c r="B174" s="344" t="s">
        <v>489</v>
      </c>
      <c r="C174" s="338" t="s">
        <v>315</v>
      </c>
      <c r="D174" s="338" t="s">
        <v>264</v>
      </c>
      <c r="E174" s="338" t="s">
        <v>324</v>
      </c>
      <c r="F174" s="338"/>
      <c r="G174" s="343" t="e">
        <f>G175</f>
        <v>#REF!</v>
      </c>
      <c r="H174" s="343" t="e">
        <f t="shared" si="74"/>
        <v>#REF!</v>
      </c>
      <c r="I174" s="343" t="e">
        <f t="shared" si="74"/>
        <v>#REF!</v>
      </c>
      <c r="J174" s="343" t="e">
        <f t="shared" si="74"/>
        <v>#REF!</v>
      </c>
      <c r="K174" s="343" t="e">
        <f t="shared" si="74"/>
        <v>#REF!</v>
      </c>
      <c r="L174" s="343">
        <f t="shared" si="74"/>
        <v>2967.9</v>
      </c>
      <c r="M174" s="343">
        <f t="shared" si="74"/>
        <v>2967.9</v>
      </c>
      <c r="N174" s="339">
        <f t="shared" si="58"/>
        <v>100</v>
      </c>
    </row>
    <row r="175" spans="1:14" ht="24" customHeight="1">
      <c r="A175" s="337" t="s">
        <v>325</v>
      </c>
      <c r="B175" s="344" t="s">
        <v>489</v>
      </c>
      <c r="C175" s="338" t="s">
        <v>315</v>
      </c>
      <c r="D175" s="338" t="s">
        <v>264</v>
      </c>
      <c r="E175" s="338" t="s">
        <v>326</v>
      </c>
      <c r="F175" s="338"/>
      <c r="G175" s="339" t="e">
        <f>#REF!</f>
        <v>#REF!</v>
      </c>
      <c r="H175" s="339" t="e">
        <f>#REF!</f>
        <v>#REF!</v>
      </c>
      <c r="I175" s="339" t="e">
        <f>#REF!</f>
        <v>#REF!</v>
      </c>
      <c r="J175" s="339" t="e">
        <f>#REF!</f>
        <v>#REF!</v>
      </c>
      <c r="K175" s="339" t="e">
        <f>#REF!</f>
        <v>#REF!</v>
      </c>
      <c r="L175" s="339">
        <f>'Прил.№4 ведомств.'!G664</f>
        <v>2967.9</v>
      </c>
      <c r="M175" s="339">
        <f>'Прил.№4 ведомств.'!H664</f>
        <v>2967.9</v>
      </c>
      <c r="N175" s="339">
        <f t="shared" si="58"/>
        <v>100</v>
      </c>
    </row>
    <row r="176" spans="1:14" ht="75">
      <c r="A176" s="340" t="s">
        <v>490</v>
      </c>
      <c r="B176" s="344" t="s">
        <v>491</v>
      </c>
      <c r="C176" s="338" t="s">
        <v>315</v>
      </c>
      <c r="D176" s="338" t="s">
        <v>264</v>
      </c>
      <c r="E176" s="338"/>
      <c r="F176" s="338"/>
      <c r="G176" s="339" t="e">
        <f>G177</f>
        <v>#REF!</v>
      </c>
      <c r="H176" s="339" t="e">
        <f aca="true" t="shared" si="75" ref="H176:M177">H177</f>
        <v>#REF!</v>
      </c>
      <c r="I176" s="339" t="e">
        <f t="shared" si="75"/>
        <v>#REF!</v>
      </c>
      <c r="J176" s="339" t="e">
        <f t="shared" si="75"/>
        <v>#REF!</v>
      </c>
      <c r="K176" s="339" t="e">
        <f t="shared" si="75"/>
        <v>#REF!</v>
      </c>
      <c r="L176" s="339">
        <f t="shared" si="75"/>
        <v>362.3</v>
      </c>
      <c r="M176" s="339">
        <f t="shared" si="75"/>
        <v>351.9</v>
      </c>
      <c r="N176" s="339">
        <f t="shared" si="58"/>
        <v>97.12945073143803</v>
      </c>
    </row>
    <row r="177" spans="1:14" ht="56.25">
      <c r="A177" s="340" t="s">
        <v>323</v>
      </c>
      <c r="B177" s="344" t="s">
        <v>491</v>
      </c>
      <c r="C177" s="338" t="s">
        <v>315</v>
      </c>
      <c r="D177" s="338" t="s">
        <v>264</v>
      </c>
      <c r="E177" s="338" t="s">
        <v>324</v>
      </c>
      <c r="F177" s="338"/>
      <c r="G177" s="339" t="e">
        <f>G178</f>
        <v>#REF!</v>
      </c>
      <c r="H177" s="339" t="e">
        <f t="shared" si="75"/>
        <v>#REF!</v>
      </c>
      <c r="I177" s="339" t="e">
        <f t="shared" si="75"/>
        <v>#REF!</v>
      </c>
      <c r="J177" s="339" t="e">
        <f t="shared" si="75"/>
        <v>#REF!</v>
      </c>
      <c r="K177" s="339" t="e">
        <f t="shared" si="75"/>
        <v>#REF!</v>
      </c>
      <c r="L177" s="339">
        <f t="shared" si="75"/>
        <v>362.3</v>
      </c>
      <c r="M177" s="339">
        <f t="shared" si="75"/>
        <v>351.9</v>
      </c>
      <c r="N177" s="339">
        <f t="shared" si="58"/>
        <v>97.12945073143803</v>
      </c>
    </row>
    <row r="178" spans="1:14" ht="18.75">
      <c r="A178" s="340" t="s">
        <v>325</v>
      </c>
      <c r="B178" s="344" t="s">
        <v>491</v>
      </c>
      <c r="C178" s="338" t="s">
        <v>315</v>
      </c>
      <c r="D178" s="338" t="s">
        <v>264</v>
      </c>
      <c r="E178" s="338" t="s">
        <v>326</v>
      </c>
      <c r="F178" s="338"/>
      <c r="G178" s="339" t="e">
        <f>#REF!</f>
        <v>#REF!</v>
      </c>
      <c r="H178" s="339" t="e">
        <f>#REF!</f>
        <v>#REF!</v>
      </c>
      <c r="I178" s="339" t="e">
        <f>#REF!</f>
        <v>#REF!</v>
      </c>
      <c r="J178" s="339" t="e">
        <f>#REF!</f>
        <v>#REF!</v>
      </c>
      <c r="K178" s="339" t="e">
        <f>#REF!</f>
        <v>#REF!</v>
      </c>
      <c r="L178" s="339">
        <f>'Прил.№4 ведомств.'!G667</f>
        <v>362.3</v>
      </c>
      <c r="M178" s="339">
        <f>'Прил.№4 ведомств.'!H667</f>
        <v>351.9</v>
      </c>
      <c r="N178" s="339">
        <f t="shared" si="58"/>
        <v>97.12945073143803</v>
      </c>
    </row>
    <row r="179" spans="1:14" ht="56.25">
      <c r="A179" s="340" t="s">
        <v>973</v>
      </c>
      <c r="B179" s="344" t="s">
        <v>493</v>
      </c>
      <c r="C179" s="338" t="s">
        <v>315</v>
      </c>
      <c r="D179" s="338" t="s">
        <v>264</v>
      </c>
      <c r="E179" s="338"/>
      <c r="F179" s="338"/>
      <c r="G179" s="339"/>
      <c r="H179" s="339"/>
      <c r="I179" s="339"/>
      <c r="J179" s="339"/>
      <c r="K179" s="339"/>
      <c r="L179" s="339">
        <f>L180</f>
        <v>107</v>
      </c>
      <c r="M179" s="339">
        <f>M180</f>
        <v>107</v>
      </c>
      <c r="N179" s="339">
        <f t="shared" si="58"/>
        <v>100</v>
      </c>
    </row>
    <row r="180" spans="1:14" ht="56.25">
      <c r="A180" s="340" t="s">
        <v>323</v>
      </c>
      <c r="B180" s="344" t="s">
        <v>493</v>
      </c>
      <c r="C180" s="338" t="s">
        <v>315</v>
      </c>
      <c r="D180" s="338" t="s">
        <v>264</v>
      </c>
      <c r="E180" s="338" t="s">
        <v>324</v>
      </c>
      <c r="F180" s="338"/>
      <c r="G180" s="339"/>
      <c r="H180" s="339"/>
      <c r="I180" s="339"/>
      <c r="J180" s="339"/>
      <c r="K180" s="339"/>
      <c r="L180" s="339">
        <f>L181</f>
        <v>107</v>
      </c>
      <c r="M180" s="339">
        <f>M181</f>
        <v>107</v>
      </c>
      <c r="N180" s="339">
        <f t="shared" si="58"/>
        <v>100</v>
      </c>
    </row>
    <row r="181" spans="1:14" ht="18.75">
      <c r="A181" s="340" t="s">
        <v>325</v>
      </c>
      <c r="B181" s="344" t="s">
        <v>493</v>
      </c>
      <c r="C181" s="338" t="s">
        <v>315</v>
      </c>
      <c r="D181" s="338" t="s">
        <v>264</v>
      </c>
      <c r="E181" s="338" t="s">
        <v>326</v>
      </c>
      <c r="F181" s="338"/>
      <c r="G181" s="339"/>
      <c r="H181" s="339"/>
      <c r="I181" s="339"/>
      <c r="J181" s="339"/>
      <c r="K181" s="339"/>
      <c r="L181" s="339">
        <f>'Прил.№4 ведомств.'!G670</f>
        <v>107</v>
      </c>
      <c r="M181" s="339">
        <f>'Прил.№4 ведомств.'!H670</f>
        <v>107</v>
      </c>
      <c r="N181" s="339">
        <f t="shared" si="58"/>
        <v>100</v>
      </c>
    </row>
    <row r="182" spans="1:14" ht="56.25">
      <c r="A182" s="340" t="s">
        <v>329</v>
      </c>
      <c r="B182" s="338" t="s">
        <v>494</v>
      </c>
      <c r="C182" s="338" t="s">
        <v>315</v>
      </c>
      <c r="D182" s="338" t="s">
        <v>264</v>
      </c>
      <c r="E182" s="338"/>
      <c r="F182" s="338"/>
      <c r="G182" s="339" t="e">
        <f>G183</f>
        <v>#REF!</v>
      </c>
      <c r="H182" s="339" t="e">
        <f aca="true" t="shared" si="76" ref="H182:M183">H183</f>
        <v>#REF!</v>
      </c>
      <c r="I182" s="339" t="e">
        <f t="shared" si="76"/>
        <v>#REF!</v>
      </c>
      <c r="J182" s="339" t="e">
        <f t="shared" si="76"/>
        <v>#REF!</v>
      </c>
      <c r="K182" s="339" t="e">
        <f t="shared" si="76"/>
        <v>#REF!</v>
      </c>
      <c r="L182" s="339">
        <f t="shared" si="76"/>
        <v>300</v>
      </c>
      <c r="M182" s="339">
        <f t="shared" si="76"/>
        <v>300</v>
      </c>
      <c r="N182" s="339">
        <f t="shared" si="58"/>
        <v>100</v>
      </c>
    </row>
    <row r="183" spans="1:14" ht="56.25">
      <c r="A183" s="340" t="s">
        <v>323</v>
      </c>
      <c r="B183" s="338" t="s">
        <v>494</v>
      </c>
      <c r="C183" s="338" t="s">
        <v>315</v>
      </c>
      <c r="D183" s="338" t="s">
        <v>264</v>
      </c>
      <c r="E183" s="338" t="s">
        <v>324</v>
      </c>
      <c r="F183" s="338"/>
      <c r="G183" s="339" t="e">
        <f>G184</f>
        <v>#REF!</v>
      </c>
      <c r="H183" s="339" t="e">
        <f t="shared" si="76"/>
        <v>#REF!</v>
      </c>
      <c r="I183" s="339" t="e">
        <f t="shared" si="76"/>
        <v>#REF!</v>
      </c>
      <c r="J183" s="339" t="e">
        <f t="shared" si="76"/>
        <v>#REF!</v>
      </c>
      <c r="K183" s="339" t="e">
        <f t="shared" si="76"/>
        <v>#REF!</v>
      </c>
      <c r="L183" s="339">
        <f t="shared" si="76"/>
        <v>300</v>
      </c>
      <c r="M183" s="339">
        <f t="shared" si="76"/>
        <v>300</v>
      </c>
      <c r="N183" s="339">
        <f t="shared" si="58"/>
        <v>100</v>
      </c>
    </row>
    <row r="184" spans="1:14" ht="18.75">
      <c r="A184" s="340" t="s">
        <v>325</v>
      </c>
      <c r="B184" s="338" t="s">
        <v>494</v>
      </c>
      <c r="C184" s="338" t="s">
        <v>315</v>
      </c>
      <c r="D184" s="338" t="s">
        <v>264</v>
      </c>
      <c r="E184" s="338" t="s">
        <v>326</v>
      </c>
      <c r="F184" s="338"/>
      <c r="G184" s="339" t="e">
        <f>#REF!</f>
        <v>#REF!</v>
      </c>
      <c r="H184" s="339" t="e">
        <f>#REF!</f>
        <v>#REF!</v>
      </c>
      <c r="I184" s="339" t="e">
        <f>#REF!</f>
        <v>#REF!</v>
      </c>
      <c r="J184" s="339" t="e">
        <f>#REF!</f>
        <v>#REF!</v>
      </c>
      <c r="K184" s="339" t="e">
        <f>#REF!</f>
        <v>#REF!</v>
      </c>
      <c r="L184" s="339">
        <f>'Прил.№4 ведомств.'!G673</f>
        <v>300</v>
      </c>
      <c r="M184" s="339">
        <f>'Прил.№4 ведомств.'!H673</f>
        <v>300</v>
      </c>
      <c r="N184" s="339">
        <f t="shared" si="58"/>
        <v>100</v>
      </c>
    </row>
    <row r="185" spans="1:14" ht="37.5">
      <c r="A185" s="340" t="s">
        <v>331</v>
      </c>
      <c r="B185" s="338" t="s">
        <v>495</v>
      </c>
      <c r="C185" s="338" t="s">
        <v>315</v>
      </c>
      <c r="D185" s="338" t="s">
        <v>264</v>
      </c>
      <c r="E185" s="338"/>
      <c r="F185" s="338"/>
      <c r="G185" s="339" t="e">
        <f>G186</f>
        <v>#REF!</v>
      </c>
      <c r="H185" s="339" t="e">
        <f aca="true" t="shared" si="77" ref="H185:M186">H186</f>
        <v>#REF!</v>
      </c>
      <c r="I185" s="339" t="e">
        <f t="shared" si="77"/>
        <v>#REF!</v>
      </c>
      <c r="J185" s="339" t="e">
        <f t="shared" si="77"/>
        <v>#REF!</v>
      </c>
      <c r="K185" s="339" t="e">
        <f t="shared" si="77"/>
        <v>#REF!</v>
      </c>
      <c r="L185" s="339">
        <f t="shared" si="77"/>
        <v>136</v>
      </c>
      <c r="M185" s="339">
        <f t="shared" si="77"/>
        <v>136</v>
      </c>
      <c r="N185" s="339">
        <f t="shared" si="58"/>
        <v>100</v>
      </c>
    </row>
    <row r="186" spans="1:14" ht="56.25">
      <c r="A186" s="340" t="s">
        <v>323</v>
      </c>
      <c r="B186" s="338" t="s">
        <v>495</v>
      </c>
      <c r="C186" s="338" t="s">
        <v>315</v>
      </c>
      <c r="D186" s="338" t="s">
        <v>264</v>
      </c>
      <c r="E186" s="338" t="s">
        <v>324</v>
      </c>
      <c r="F186" s="338"/>
      <c r="G186" s="339" t="e">
        <f>G187</f>
        <v>#REF!</v>
      </c>
      <c r="H186" s="339" t="e">
        <f t="shared" si="77"/>
        <v>#REF!</v>
      </c>
      <c r="I186" s="339" t="e">
        <f t="shared" si="77"/>
        <v>#REF!</v>
      </c>
      <c r="J186" s="339" t="e">
        <f t="shared" si="77"/>
        <v>#REF!</v>
      </c>
      <c r="K186" s="339" t="e">
        <f t="shared" si="77"/>
        <v>#REF!</v>
      </c>
      <c r="L186" s="339">
        <f t="shared" si="77"/>
        <v>136</v>
      </c>
      <c r="M186" s="339">
        <f t="shared" si="77"/>
        <v>136</v>
      </c>
      <c r="N186" s="339">
        <f t="shared" si="58"/>
        <v>100</v>
      </c>
    </row>
    <row r="187" spans="1:14" ht="18.75">
      <c r="A187" s="340" t="s">
        <v>325</v>
      </c>
      <c r="B187" s="338" t="s">
        <v>495</v>
      </c>
      <c r="C187" s="338" t="s">
        <v>315</v>
      </c>
      <c r="D187" s="338" t="s">
        <v>264</v>
      </c>
      <c r="E187" s="338" t="s">
        <v>326</v>
      </c>
      <c r="F187" s="338"/>
      <c r="G187" s="339" t="e">
        <f>#REF!</f>
        <v>#REF!</v>
      </c>
      <c r="H187" s="339" t="e">
        <f>#REF!</f>
        <v>#REF!</v>
      </c>
      <c r="I187" s="339" t="e">
        <f>#REF!</f>
        <v>#REF!</v>
      </c>
      <c r="J187" s="339" t="e">
        <f>#REF!</f>
        <v>#REF!</v>
      </c>
      <c r="K187" s="339" t="e">
        <f>#REF!</f>
        <v>#REF!</v>
      </c>
      <c r="L187" s="339">
        <f>'Прил.№4 ведомств.'!G676</f>
        <v>136</v>
      </c>
      <c r="M187" s="339">
        <f>'Прил.№4 ведомств.'!H676</f>
        <v>136</v>
      </c>
      <c r="N187" s="339">
        <f t="shared" si="58"/>
        <v>100</v>
      </c>
    </row>
    <row r="188" spans="1:14" ht="56.25">
      <c r="A188" s="337" t="s">
        <v>333</v>
      </c>
      <c r="B188" s="338" t="s">
        <v>496</v>
      </c>
      <c r="C188" s="338" t="s">
        <v>315</v>
      </c>
      <c r="D188" s="338" t="s">
        <v>264</v>
      </c>
      <c r="E188" s="338"/>
      <c r="F188" s="338"/>
      <c r="G188" s="343" t="e">
        <f>G189</f>
        <v>#REF!</v>
      </c>
      <c r="H188" s="343" t="e">
        <f aca="true" t="shared" si="78" ref="H188:M189">H189</f>
        <v>#REF!</v>
      </c>
      <c r="I188" s="343" t="e">
        <f t="shared" si="78"/>
        <v>#REF!</v>
      </c>
      <c r="J188" s="343" t="e">
        <f t="shared" si="78"/>
        <v>#REF!</v>
      </c>
      <c r="K188" s="343" t="e">
        <f t="shared" si="78"/>
        <v>#REF!</v>
      </c>
      <c r="L188" s="343">
        <f t="shared" si="78"/>
        <v>224.2</v>
      </c>
      <c r="M188" s="343">
        <f t="shared" si="78"/>
        <v>154.7</v>
      </c>
      <c r="N188" s="339">
        <f t="shared" si="58"/>
        <v>69.00089206066012</v>
      </c>
    </row>
    <row r="189" spans="1:14" ht="56.25">
      <c r="A189" s="337" t="s">
        <v>323</v>
      </c>
      <c r="B189" s="338" t="s">
        <v>496</v>
      </c>
      <c r="C189" s="338" t="s">
        <v>315</v>
      </c>
      <c r="D189" s="338" t="s">
        <v>264</v>
      </c>
      <c r="E189" s="338" t="s">
        <v>324</v>
      </c>
      <c r="F189" s="338"/>
      <c r="G189" s="343" t="e">
        <f>G190</f>
        <v>#REF!</v>
      </c>
      <c r="H189" s="343" t="e">
        <f t="shared" si="78"/>
        <v>#REF!</v>
      </c>
      <c r="I189" s="343" t="e">
        <f t="shared" si="78"/>
        <v>#REF!</v>
      </c>
      <c r="J189" s="343" t="e">
        <f t="shared" si="78"/>
        <v>#REF!</v>
      </c>
      <c r="K189" s="343" t="e">
        <f t="shared" si="78"/>
        <v>#REF!</v>
      </c>
      <c r="L189" s="343">
        <f t="shared" si="78"/>
        <v>224.2</v>
      </c>
      <c r="M189" s="343">
        <f t="shared" si="78"/>
        <v>154.7</v>
      </c>
      <c r="N189" s="339">
        <f t="shared" si="58"/>
        <v>69.00089206066012</v>
      </c>
    </row>
    <row r="190" spans="1:14" ht="26.25" customHeight="1">
      <c r="A190" s="337" t="s">
        <v>325</v>
      </c>
      <c r="B190" s="338" t="s">
        <v>496</v>
      </c>
      <c r="C190" s="338" t="s">
        <v>315</v>
      </c>
      <c r="D190" s="338" t="s">
        <v>264</v>
      </c>
      <c r="E190" s="338" t="s">
        <v>326</v>
      </c>
      <c r="F190" s="338"/>
      <c r="G190" s="343" t="e">
        <f>#REF!</f>
        <v>#REF!</v>
      </c>
      <c r="H190" s="343" t="e">
        <f>#REF!</f>
        <v>#REF!</v>
      </c>
      <c r="I190" s="343" t="e">
        <f>#REF!</f>
        <v>#REF!</v>
      </c>
      <c r="J190" s="343" t="e">
        <f>#REF!</f>
        <v>#REF!</v>
      </c>
      <c r="K190" s="343" t="e">
        <f>#REF!</f>
        <v>#REF!</v>
      </c>
      <c r="L190" s="343">
        <f>'Прил.№4 ведомств.'!G679</f>
        <v>224.2</v>
      </c>
      <c r="M190" s="343">
        <f>'Прил.№4 ведомств.'!H679</f>
        <v>154.7</v>
      </c>
      <c r="N190" s="339">
        <f t="shared" si="58"/>
        <v>69.00089206066012</v>
      </c>
    </row>
    <row r="191" spans="1:14" ht="37.5">
      <c r="A191" s="337" t="s">
        <v>335</v>
      </c>
      <c r="B191" s="338" t="s">
        <v>497</v>
      </c>
      <c r="C191" s="338" t="s">
        <v>315</v>
      </c>
      <c r="D191" s="338" t="s">
        <v>264</v>
      </c>
      <c r="E191" s="338"/>
      <c r="F191" s="338"/>
      <c r="G191" s="343" t="e">
        <f>G192</f>
        <v>#REF!</v>
      </c>
      <c r="H191" s="343" t="e">
        <f aca="true" t="shared" si="79" ref="H191:M192">H192</f>
        <v>#REF!</v>
      </c>
      <c r="I191" s="343" t="e">
        <f t="shared" si="79"/>
        <v>#REF!</v>
      </c>
      <c r="J191" s="343" t="e">
        <f t="shared" si="79"/>
        <v>#REF!</v>
      </c>
      <c r="K191" s="343" t="e">
        <f t="shared" si="79"/>
        <v>#REF!</v>
      </c>
      <c r="L191" s="343">
        <f t="shared" si="79"/>
        <v>244.3</v>
      </c>
      <c r="M191" s="343">
        <f t="shared" si="79"/>
        <v>244.2</v>
      </c>
      <c r="N191" s="339">
        <f t="shared" si="58"/>
        <v>99.95906672124435</v>
      </c>
    </row>
    <row r="192" spans="1:14" ht="56.25">
      <c r="A192" s="337" t="s">
        <v>323</v>
      </c>
      <c r="B192" s="338" t="s">
        <v>497</v>
      </c>
      <c r="C192" s="338" t="s">
        <v>315</v>
      </c>
      <c r="D192" s="338" t="s">
        <v>264</v>
      </c>
      <c r="E192" s="338" t="s">
        <v>324</v>
      </c>
      <c r="F192" s="338"/>
      <c r="G192" s="343" t="e">
        <f>G193</f>
        <v>#REF!</v>
      </c>
      <c r="H192" s="343" t="e">
        <f t="shared" si="79"/>
        <v>#REF!</v>
      </c>
      <c r="I192" s="343" t="e">
        <f t="shared" si="79"/>
        <v>#REF!</v>
      </c>
      <c r="J192" s="343" t="e">
        <f t="shared" si="79"/>
        <v>#REF!</v>
      </c>
      <c r="K192" s="343" t="e">
        <f t="shared" si="79"/>
        <v>#REF!</v>
      </c>
      <c r="L192" s="343">
        <f t="shared" si="79"/>
        <v>244.3</v>
      </c>
      <c r="M192" s="343">
        <f t="shared" si="79"/>
        <v>244.2</v>
      </c>
      <c r="N192" s="339">
        <f t="shared" si="58"/>
        <v>99.95906672124435</v>
      </c>
    </row>
    <row r="193" spans="1:14" ht="26.25" customHeight="1">
      <c r="A193" s="337" t="s">
        <v>325</v>
      </c>
      <c r="B193" s="338" t="s">
        <v>497</v>
      </c>
      <c r="C193" s="338" t="s">
        <v>315</v>
      </c>
      <c r="D193" s="338" t="s">
        <v>264</v>
      </c>
      <c r="E193" s="338" t="s">
        <v>326</v>
      </c>
      <c r="F193" s="338"/>
      <c r="G193" s="343" t="e">
        <f>#REF!</f>
        <v>#REF!</v>
      </c>
      <c r="H193" s="343" t="e">
        <f>#REF!</f>
        <v>#REF!</v>
      </c>
      <c r="I193" s="343" t="e">
        <f>#REF!</f>
        <v>#REF!</v>
      </c>
      <c r="J193" s="343" t="e">
        <f>#REF!</f>
        <v>#REF!</v>
      </c>
      <c r="K193" s="343" t="e">
        <f>#REF!</f>
        <v>#REF!</v>
      </c>
      <c r="L193" s="343">
        <f>'Прил.№4 ведомств.'!G682</f>
        <v>244.3</v>
      </c>
      <c r="M193" s="343">
        <f>'Прил.№4 ведомств.'!H682</f>
        <v>244.2</v>
      </c>
      <c r="N193" s="339">
        <f t="shared" si="58"/>
        <v>99.95906672124435</v>
      </c>
    </row>
    <row r="194" spans="1:14" ht="43.5" customHeight="1">
      <c r="A194" s="348" t="s">
        <v>857</v>
      </c>
      <c r="B194" s="338" t="s">
        <v>859</v>
      </c>
      <c r="C194" s="338" t="s">
        <v>315</v>
      </c>
      <c r="D194" s="338" t="s">
        <v>264</v>
      </c>
      <c r="E194" s="338"/>
      <c r="F194" s="338"/>
      <c r="G194" s="343" t="e">
        <f>G195</f>
        <v>#REF!</v>
      </c>
      <c r="H194" s="343" t="e">
        <f aca="true" t="shared" si="80" ref="H194:M195">H195</f>
        <v>#REF!</v>
      </c>
      <c r="I194" s="343" t="e">
        <f t="shared" si="80"/>
        <v>#REF!</v>
      </c>
      <c r="J194" s="343" t="e">
        <f t="shared" si="80"/>
        <v>#REF!</v>
      </c>
      <c r="K194" s="343" t="e">
        <f t="shared" si="80"/>
        <v>#REF!</v>
      </c>
      <c r="L194" s="343">
        <f t="shared" si="80"/>
        <v>2761.6000000000004</v>
      </c>
      <c r="M194" s="343">
        <f t="shared" si="80"/>
        <v>2745</v>
      </c>
      <c r="N194" s="339">
        <f t="shared" si="58"/>
        <v>99.398899188876</v>
      </c>
    </row>
    <row r="195" spans="1:14" ht="44.25" customHeight="1">
      <c r="A195" s="337" t="s">
        <v>323</v>
      </c>
      <c r="B195" s="338" t="s">
        <v>859</v>
      </c>
      <c r="C195" s="338" t="s">
        <v>315</v>
      </c>
      <c r="D195" s="338" t="s">
        <v>264</v>
      </c>
      <c r="E195" s="338" t="s">
        <v>324</v>
      </c>
      <c r="F195" s="338"/>
      <c r="G195" s="343" t="e">
        <f>G196</f>
        <v>#REF!</v>
      </c>
      <c r="H195" s="343" t="e">
        <f t="shared" si="80"/>
        <v>#REF!</v>
      </c>
      <c r="I195" s="343" t="e">
        <f t="shared" si="80"/>
        <v>#REF!</v>
      </c>
      <c r="J195" s="343" t="e">
        <f t="shared" si="80"/>
        <v>#REF!</v>
      </c>
      <c r="K195" s="343" t="e">
        <f t="shared" si="80"/>
        <v>#REF!</v>
      </c>
      <c r="L195" s="343">
        <f t="shared" si="80"/>
        <v>2761.6000000000004</v>
      </c>
      <c r="M195" s="343">
        <f t="shared" si="80"/>
        <v>2745</v>
      </c>
      <c r="N195" s="339">
        <f t="shared" si="58"/>
        <v>99.398899188876</v>
      </c>
    </row>
    <row r="196" spans="1:14" ht="26.25" customHeight="1">
      <c r="A196" s="349" t="s">
        <v>325</v>
      </c>
      <c r="B196" s="338" t="s">
        <v>859</v>
      </c>
      <c r="C196" s="338" t="s">
        <v>315</v>
      </c>
      <c r="D196" s="338" t="s">
        <v>264</v>
      </c>
      <c r="E196" s="338" t="s">
        <v>326</v>
      </c>
      <c r="F196" s="338"/>
      <c r="G196" s="343" t="e">
        <f>#REF!</f>
        <v>#REF!</v>
      </c>
      <c r="H196" s="343" t="e">
        <f>#REF!</f>
        <v>#REF!</v>
      </c>
      <c r="I196" s="343" t="e">
        <f>#REF!</f>
        <v>#REF!</v>
      </c>
      <c r="J196" s="343" t="e">
        <f>#REF!</f>
        <v>#REF!</v>
      </c>
      <c r="K196" s="343" t="e">
        <f>#REF!</f>
        <v>#REF!</v>
      </c>
      <c r="L196" s="343">
        <f>'Прил.№4 ведомств.'!G685</f>
        <v>2761.6000000000004</v>
      </c>
      <c r="M196" s="343">
        <f>'Прил.№4 ведомств.'!H685</f>
        <v>2745</v>
      </c>
      <c r="N196" s="339">
        <f t="shared" si="58"/>
        <v>99.398899188876</v>
      </c>
    </row>
    <row r="197" spans="1:14" ht="37.5">
      <c r="A197" s="337" t="s">
        <v>455</v>
      </c>
      <c r="B197" s="338" t="s">
        <v>483</v>
      </c>
      <c r="C197" s="338" t="s">
        <v>315</v>
      </c>
      <c r="D197" s="338" t="s">
        <v>264</v>
      </c>
      <c r="E197" s="338"/>
      <c r="F197" s="338" t="s">
        <v>713</v>
      </c>
      <c r="G197" s="343" t="e">
        <f aca="true" t="shared" si="81" ref="G197:M197">G150</f>
        <v>#REF!</v>
      </c>
      <c r="H197" s="343" t="e">
        <f t="shared" si="81"/>
        <v>#REF!</v>
      </c>
      <c r="I197" s="343" t="e">
        <f t="shared" si="81"/>
        <v>#REF!</v>
      </c>
      <c r="J197" s="343" t="e">
        <f t="shared" si="81"/>
        <v>#REF!</v>
      </c>
      <c r="K197" s="343" t="e">
        <f t="shared" si="81"/>
        <v>#REF!</v>
      </c>
      <c r="L197" s="343">
        <f t="shared" si="81"/>
        <v>7103.3</v>
      </c>
      <c r="M197" s="343">
        <f t="shared" si="81"/>
        <v>7006.7</v>
      </c>
      <c r="N197" s="339">
        <f t="shared" si="58"/>
        <v>98.64006870046316</v>
      </c>
    </row>
    <row r="198" spans="1:14" ht="37.5" hidden="1">
      <c r="A198" s="337" t="s">
        <v>335</v>
      </c>
      <c r="B198" s="338" t="s">
        <v>667</v>
      </c>
      <c r="C198" s="338" t="s">
        <v>315</v>
      </c>
      <c r="D198" s="338" t="s">
        <v>264</v>
      </c>
      <c r="E198" s="338"/>
      <c r="F198" s="338"/>
      <c r="G198" s="343">
        <f>G199</f>
        <v>0</v>
      </c>
      <c r="H198" s="343">
        <f aca="true" t="shared" si="82" ref="H198:M199">H199</f>
        <v>0</v>
      </c>
      <c r="I198" s="343">
        <f t="shared" si="82"/>
        <v>0</v>
      </c>
      <c r="J198" s="343">
        <f t="shared" si="82"/>
        <v>0</v>
      </c>
      <c r="K198" s="343">
        <f t="shared" si="82"/>
        <v>0</v>
      </c>
      <c r="L198" s="343">
        <f t="shared" si="82"/>
        <v>0</v>
      </c>
      <c r="M198" s="343">
        <f t="shared" si="82"/>
        <v>0</v>
      </c>
      <c r="N198" s="336" t="e">
        <f t="shared" si="58"/>
        <v>#DIV/0!</v>
      </c>
    </row>
    <row r="199" spans="1:14" ht="56.25" hidden="1">
      <c r="A199" s="337" t="s">
        <v>323</v>
      </c>
      <c r="B199" s="338" t="s">
        <v>667</v>
      </c>
      <c r="C199" s="338" t="s">
        <v>315</v>
      </c>
      <c r="D199" s="338" t="s">
        <v>264</v>
      </c>
      <c r="E199" s="338" t="s">
        <v>324</v>
      </c>
      <c r="F199" s="338"/>
      <c r="G199" s="343">
        <f>G200</f>
        <v>0</v>
      </c>
      <c r="H199" s="343">
        <f t="shared" si="82"/>
        <v>0</v>
      </c>
      <c r="I199" s="343">
        <f t="shared" si="82"/>
        <v>0</v>
      </c>
      <c r="J199" s="343">
        <f t="shared" si="82"/>
        <v>0</v>
      </c>
      <c r="K199" s="343">
        <f t="shared" si="82"/>
        <v>0</v>
      </c>
      <c r="L199" s="343">
        <f t="shared" si="82"/>
        <v>0</v>
      </c>
      <c r="M199" s="343">
        <f t="shared" si="82"/>
        <v>0</v>
      </c>
      <c r="N199" s="336" t="e">
        <f t="shared" si="58"/>
        <v>#DIV/0!</v>
      </c>
    </row>
    <row r="200" spans="1:14" ht="18.75" hidden="1">
      <c r="A200" s="337" t="s">
        <v>325</v>
      </c>
      <c r="B200" s="338" t="s">
        <v>667</v>
      </c>
      <c r="C200" s="338" t="s">
        <v>315</v>
      </c>
      <c r="D200" s="338" t="s">
        <v>264</v>
      </c>
      <c r="E200" s="338" t="s">
        <v>326</v>
      </c>
      <c r="F200" s="338"/>
      <c r="G200" s="343"/>
      <c r="H200" s="343"/>
      <c r="I200" s="343"/>
      <c r="J200" s="343"/>
      <c r="K200" s="343"/>
      <c r="L200" s="343"/>
      <c r="M200" s="343"/>
      <c r="N200" s="336" t="e">
        <f t="shared" si="58"/>
        <v>#DIV/0!</v>
      </c>
    </row>
    <row r="201" spans="1:14" ht="37.5" hidden="1">
      <c r="A201" s="337" t="s">
        <v>455</v>
      </c>
      <c r="B201" s="338" t="s">
        <v>667</v>
      </c>
      <c r="C201" s="338" t="s">
        <v>315</v>
      </c>
      <c r="D201" s="338" t="s">
        <v>264</v>
      </c>
      <c r="E201" s="338"/>
      <c r="F201" s="338" t="s">
        <v>713</v>
      </c>
      <c r="G201" s="343">
        <v>0</v>
      </c>
      <c r="H201" s="343">
        <v>0</v>
      </c>
      <c r="I201" s="343">
        <v>0</v>
      </c>
      <c r="J201" s="343">
        <v>0</v>
      </c>
      <c r="K201" s="343">
        <v>0</v>
      </c>
      <c r="L201" s="343">
        <v>0</v>
      </c>
      <c r="M201" s="343">
        <v>0</v>
      </c>
      <c r="N201" s="336" t="e">
        <f t="shared" si="58"/>
        <v>#DIV/0!</v>
      </c>
    </row>
    <row r="202" spans="1:14" ht="56.25" hidden="1">
      <c r="A202" s="337" t="s">
        <v>714</v>
      </c>
      <c r="B202" s="338" t="s">
        <v>668</v>
      </c>
      <c r="C202" s="338" t="s">
        <v>315</v>
      </c>
      <c r="D202" s="338" t="s">
        <v>264</v>
      </c>
      <c r="E202" s="338"/>
      <c r="F202" s="338"/>
      <c r="G202" s="343">
        <f>G203</f>
        <v>0</v>
      </c>
      <c r="H202" s="343">
        <f aca="true" t="shared" si="83" ref="H202:M203">H203</f>
        <v>0</v>
      </c>
      <c r="I202" s="343">
        <f t="shared" si="83"/>
        <v>0</v>
      </c>
      <c r="J202" s="343">
        <f t="shared" si="83"/>
        <v>0</v>
      </c>
      <c r="K202" s="343">
        <f t="shared" si="83"/>
        <v>0</v>
      </c>
      <c r="L202" s="343">
        <f t="shared" si="83"/>
        <v>0</v>
      </c>
      <c r="M202" s="343">
        <f t="shared" si="83"/>
        <v>0</v>
      </c>
      <c r="N202" s="336" t="e">
        <f t="shared" si="58"/>
        <v>#DIV/0!</v>
      </c>
    </row>
    <row r="203" spans="1:14" ht="56.25" hidden="1">
      <c r="A203" s="337" t="s">
        <v>323</v>
      </c>
      <c r="B203" s="338" t="s">
        <v>668</v>
      </c>
      <c r="C203" s="338" t="s">
        <v>315</v>
      </c>
      <c r="D203" s="338" t="s">
        <v>264</v>
      </c>
      <c r="E203" s="338" t="s">
        <v>324</v>
      </c>
      <c r="F203" s="338"/>
      <c r="G203" s="343">
        <f>G204</f>
        <v>0</v>
      </c>
      <c r="H203" s="343">
        <f t="shared" si="83"/>
        <v>0</v>
      </c>
      <c r="I203" s="343">
        <f t="shared" si="83"/>
        <v>0</v>
      </c>
      <c r="J203" s="343">
        <f t="shared" si="83"/>
        <v>0</v>
      </c>
      <c r="K203" s="343">
        <f t="shared" si="83"/>
        <v>0</v>
      </c>
      <c r="L203" s="343">
        <f t="shared" si="83"/>
        <v>0</v>
      </c>
      <c r="M203" s="343">
        <f t="shared" si="83"/>
        <v>0</v>
      </c>
      <c r="N203" s="336" t="e">
        <f aca="true" t="shared" si="84" ref="N203:N266">M203/L203*100</f>
        <v>#DIV/0!</v>
      </c>
    </row>
    <row r="204" spans="1:14" ht="18.75" hidden="1">
      <c r="A204" s="337" t="s">
        <v>325</v>
      </c>
      <c r="B204" s="338" t="s">
        <v>668</v>
      </c>
      <c r="C204" s="338" t="s">
        <v>315</v>
      </c>
      <c r="D204" s="338" t="s">
        <v>264</v>
      </c>
      <c r="E204" s="338" t="s">
        <v>326</v>
      </c>
      <c r="F204" s="338"/>
      <c r="G204" s="343"/>
      <c r="H204" s="343"/>
      <c r="I204" s="343"/>
      <c r="J204" s="343"/>
      <c r="K204" s="343"/>
      <c r="L204" s="343"/>
      <c r="M204" s="343"/>
      <c r="N204" s="336" t="e">
        <f t="shared" si="84"/>
        <v>#DIV/0!</v>
      </c>
    </row>
    <row r="205" spans="1:14" ht="37.5" hidden="1">
      <c r="A205" s="337" t="s">
        <v>455</v>
      </c>
      <c r="B205" s="338" t="s">
        <v>668</v>
      </c>
      <c r="C205" s="338" t="s">
        <v>315</v>
      </c>
      <c r="D205" s="338" t="s">
        <v>264</v>
      </c>
      <c r="E205" s="338"/>
      <c r="F205" s="338" t="s">
        <v>713</v>
      </c>
      <c r="G205" s="343">
        <v>0</v>
      </c>
      <c r="H205" s="343">
        <v>0</v>
      </c>
      <c r="I205" s="343">
        <v>0</v>
      </c>
      <c r="J205" s="343">
        <v>0</v>
      </c>
      <c r="K205" s="343">
        <v>0</v>
      </c>
      <c r="L205" s="343">
        <v>0</v>
      </c>
      <c r="M205" s="343">
        <v>0</v>
      </c>
      <c r="N205" s="336" t="e">
        <f t="shared" si="84"/>
        <v>#DIV/0!</v>
      </c>
    </row>
    <row r="206" spans="1:14" ht="45.75" customHeight="1">
      <c r="A206" s="345" t="s">
        <v>498</v>
      </c>
      <c r="B206" s="335" t="s">
        <v>499</v>
      </c>
      <c r="C206" s="335"/>
      <c r="D206" s="335"/>
      <c r="E206" s="335"/>
      <c r="F206" s="335"/>
      <c r="G206" s="342" t="e">
        <f>G207</f>
        <v>#REF!</v>
      </c>
      <c r="H206" s="342" t="e">
        <f aca="true" t="shared" si="85" ref="H206:M209">H207</f>
        <v>#REF!</v>
      </c>
      <c r="I206" s="342" t="e">
        <f t="shared" si="85"/>
        <v>#REF!</v>
      </c>
      <c r="J206" s="342" t="e">
        <f t="shared" si="85"/>
        <v>#REF!</v>
      </c>
      <c r="K206" s="342" t="e">
        <f t="shared" si="85"/>
        <v>#REF!</v>
      </c>
      <c r="L206" s="342">
        <f t="shared" si="85"/>
        <v>746.2</v>
      </c>
      <c r="M206" s="342">
        <f t="shared" si="85"/>
        <v>746.1</v>
      </c>
      <c r="N206" s="336">
        <f t="shared" si="84"/>
        <v>99.98659876708656</v>
      </c>
    </row>
    <row r="207" spans="1:14" ht="21" customHeight="1">
      <c r="A207" s="337" t="s">
        <v>314</v>
      </c>
      <c r="B207" s="338" t="s">
        <v>499</v>
      </c>
      <c r="C207" s="338" t="s">
        <v>315</v>
      </c>
      <c r="D207" s="338"/>
      <c r="E207" s="338"/>
      <c r="F207" s="338"/>
      <c r="G207" s="343" t="e">
        <f>G208</f>
        <v>#REF!</v>
      </c>
      <c r="H207" s="343" t="e">
        <f t="shared" si="85"/>
        <v>#REF!</v>
      </c>
      <c r="I207" s="343" t="e">
        <f t="shared" si="85"/>
        <v>#REF!</v>
      </c>
      <c r="J207" s="343" t="e">
        <f t="shared" si="85"/>
        <v>#REF!</v>
      </c>
      <c r="K207" s="343" t="e">
        <f t="shared" si="85"/>
        <v>#REF!</v>
      </c>
      <c r="L207" s="343">
        <f t="shared" si="85"/>
        <v>746.2</v>
      </c>
      <c r="M207" s="343">
        <f t="shared" si="85"/>
        <v>746.1</v>
      </c>
      <c r="N207" s="339">
        <f t="shared" si="84"/>
        <v>99.98659876708656</v>
      </c>
    </row>
    <row r="208" spans="1:14" ht="22.5" customHeight="1">
      <c r="A208" s="337" t="s">
        <v>316</v>
      </c>
      <c r="B208" s="338" t="s">
        <v>499</v>
      </c>
      <c r="C208" s="338" t="s">
        <v>315</v>
      </c>
      <c r="D208" s="338" t="s">
        <v>266</v>
      </c>
      <c r="E208" s="338"/>
      <c r="F208" s="338"/>
      <c r="G208" s="343" t="e">
        <f>#REF!</f>
        <v>#REF!</v>
      </c>
      <c r="H208" s="343" t="e">
        <f>#REF!</f>
        <v>#REF!</v>
      </c>
      <c r="I208" s="343" t="e">
        <f>#REF!</f>
        <v>#REF!</v>
      </c>
      <c r="J208" s="343" t="e">
        <f>#REF!</f>
        <v>#REF!</v>
      </c>
      <c r="K208" s="343" t="e">
        <f>#REF!</f>
        <v>#REF!</v>
      </c>
      <c r="L208" s="343">
        <f>L211</f>
        <v>746.2</v>
      </c>
      <c r="M208" s="343">
        <f>M211</f>
        <v>746.1</v>
      </c>
      <c r="N208" s="339">
        <f t="shared" si="84"/>
        <v>99.98659876708656</v>
      </c>
    </row>
    <row r="209" spans="1:14" ht="56.25" hidden="1">
      <c r="A209" s="337" t="s">
        <v>323</v>
      </c>
      <c r="B209" s="344" t="s">
        <v>789</v>
      </c>
      <c r="C209" s="338" t="s">
        <v>315</v>
      </c>
      <c r="D209" s="338" t="s">
        <v>266</v>
      </c>
      <c r="E209" s="338" t="s">
        <v>324</v>
      </c>
      <c r="F209" s="338"/>
      <c r="G209" s="343" t="e">
        <f>G210</f>
        <v>#REF!</v>
      </c>
      <c r="H209" s="343" t="e">
        <f t="shared" si="85"/>
        <v>#REF!</v>
      </c>
      <c r="I209" s="343" t="e">
        <f t="shared" si="85"/>
        <v>#REF!</v>
      </c>
      <c r="J209" s="343" t="e">
        <f t="shared" si="85"/>
        <v>#REF!</v>
      </c>
      <c r="K209" s="343" t="e">
        <f t="shared" si="85"/>
        <v>#REF!</v>
      </c>
      <c r="L209" s="343">
        <f t="shared" si="85"/>
        <v>0</v>
      </c>
      <c r="M209" s="343">
        <f t="shared" si="85"/>
        <v>0</v>
      </c>
      <c r="N209" s="339" t="e">
        <f t="shared" si="84"/>
        <v>#DIV/0!</v>
      </c>
    </row>
    <row r="210" spans="1:14" ht="18.75" hidden="1">
      <c r="A210" s="337" t="s">
        <v>325</v>
      </c>
      <c r="B210" s="344" t="s">
        <v>789</v>
      </c>
      <c r="C210" s="338" t="s">
        <v>315</v>
      </c>
      <c r="D210" s="338" t="s">
        <v>266</v>
      </c>
      <c r="E210" s="338" t="s">
        <v>326</v>
      </c>
      <c r="F210" s="338"/>
      <c r="G210" s="343" t="e">
        <f>#REF!</f>
        <v>#REF!</v>
      </c>
      <c r="H210" s="343" t="e">
        <f>#REF!</f>
        <v>#REF!</v>
      </c>
      <c r="I210" s="343" t="e">
        <f>#REF!</f>
        <v>#REF!</v>
      </c>
      <c r="J210" s="343" t="e">
        <f>#REF!</f>
        <v>#REF!</v>
      </c>
      <c r="K210" s="343" t="e">
        <f>#REF!</f>
        <v>#REF!</v>
      </c>
      <c r="L210" s="343">
        <f>'Прил.№4 ведомств.'!G727</f>
        <v>0</v>
      </c>
      <c r="M210" s="343">
        <f>'Прил.№4 ведомств.'!H727</f>
        <v>0</v>
      </c>
      <c r="N210" s="339" t="e">
        <f t="shared" si="84"/>
        <v>#DIV/0!</v>
      </c>
    </row>
    <row r="211" spans="1:14" ht="56.25">
      <c r="A211" s="341" t="s">
        <v>857</v>
      </c>
      <c r="B211" s="344" t="s">
        <v>858</v>
      </c>
      <c r="C211" s="344" t="s">
        <v>315</v>
      </c>
      <c r="D211" s="344" t="s">
        <v>266</v>
      </c>
      <c r="E211" s="344"/>
      <c r="F211" s="344"/>
      <c r="G211" s="343" t="e">
        <f>G212</f>
        <v>#REF!</v>
      </c>
      <c r="H211" s="343" t="e">
        <f aca="true" t="shared" si="86" ref="H211:M212">H212</f>
        <v>#REF!</v>
      </c>
      <c r="I211" s="343" t="e">
        <f t="shared" si="86"/>
        <v>#REF!</v>
      </c>
      <c r="J211" s="343" t="e">
        <f t="shared" si="86"/>
        <v>#REF!</v>
      </c>
      <c r="K211" s="343" t="e">
        <f t="shared" si="86"/>
        <v>#REF!</v>
      </c>
      <c r="L211" s="343">
        <f t="shared" si="86"/>
        <v>746.2</v>
      </c>
      <c r="M211" s="343">
        <f t="shared" si="86"/>
        <v>746.1</v>
      </c>
      <c r="N211" s="339">
        <f t="shared" si="84"/>
        <v>99.98659876708656</v>
      </c>
    </row>
    <row r="212" spans="1:14" ht="56.25">
      <c r="A212" s="337" t="s">
        <v>323</v>
      </c>
      <c r="B212" s="344" t="s">
        <v>858</v>
      </c>
      <c r="C212" s="344" t="s">
        <v>315</v>
      </c>
      <c r="D212" s="344" t="s">
        <v>266</v>
      </c>
      <c r="E212" s="344" t="s">
        <v>324</v>
      </c>
      <c r="F212" s="344"/>
      <c r="G212" s="343" t="e">
        <f>G213</f>
        <v>#REF!</v>
      </c>
      <c r="H212" s="343" t="e">
        <f t="shared" si="86"/>
        <v>#REF!</v>
      </c>
      <c r="I212" s="343" t="e">
        <f t="shared" si="86"/>
        <v>#REF!</v>
      </c>
      <c r="J212" s="343" t="e">
        <f t="shared" si="86"/>
        <v>#REF!</v>
      </c>
      <c r="K212" s="343" t="e">
        <f t="shared" si="86"/>
        <v>#REF!</v>
      </c>
      <c r="L212" s="343">
        <f t="shared" si="86"/>
        <v>746.2</v>
      </c>
      <c r="M212" s="343">
        <f t="shared" si="86"/>
        <v>746.1</v>
      </c>
      <c r="N212" s="339">
        <f t="shared" si="84"/>
        <v>99.98659876708656</v>
      </c>
    </row>
    <row r="213" spans="1:14" ht="18.75">
      <c r="A213" s="350" t="s">
        <v>325</v>
      </c>
      <c r="B213" s="344" t="s">
        <v>858</v>
      </c>
      <c r="C213" s="344" t="s">
        <v>315</v>
      </c>
      <c r="D213" s="344" t="s">
        <v>266</v>
      </c>
      <c r="E213" s="344" t="s">
        <v>326</v>
      </c>
      <c r="F213" s="344"/>
      <c r="G213" s="343" t="e">
        <f>#REF!</f>
        <v>#REF!</v>
      </c>
      <c r="H213" s="343" t="e">
        <f>#REF!</f>
        <v>#REF!</v>
      </c>
      <c r="I213" s="343" t="e">
        <f>#REF!</f>
        <v>#REF!</v>
      </c>
      <c r="J213" s="343" t="e">
        <f>#REF!</f>
        <v>#REF!</v>
      </c>
      <c r="K213" s="343" t="e">
        <f>#REF!</f>
        <v>#REF!</v>
      </c>
      <c r="L213" s="343">
        <f>'Прил.№4 ведомств.'!G730</f>
        <v>746.2</v>
      </c>
      <c r="M213" s="343">
        <f>'Прил.№4 ведомств.'!H730</f>
        <v>746.1</v>
      </c>
      <c r="N213" s="339">
        <f t="shared" si="84"/>
        <v>99.98659876708656</v>
      </c>
    </row>
    <row r="214" spans="1:14" ht="37.5">
      <c r="A214" s="337" t="s">
        <v>455</v>
      </c>
      <c r="B214" s="344" t="s">
        <v>499</v>
      </c>
      <c r="C214" s="338" t="s">
        <v>315</v>
      </c>
      <c r="D214" s="338" t="s">
        <v>266</v>
      </c>
      <c r="E214" s="338"/>
      <c r="F214" s="338" t="s">
        <v>713</v>
      </c>
      <c r="G214" s="343" t="e">
        <f aca="true" t="shared" si="87" ref="G214:L214">G207</f>
        <v>#REF!</v>
      </c>
      <c r="H214" s="343" t="e">
        <f t="shared" si="87"/>
        <v>#REF!</v>
      </c>
      <c r="I214" s="343" t="e">
        <f t="shared" si="87"/>
        <v>#REF!</v>
      </c>
      <c r="J214" s="343" t="e">
        <f t="shared" si="87"/>
        <v>#REF!</v>
      </c>
      <c r="K214" s="343" t="e">
        <f t="shared" si="87"/>
        <v>#REF!</v>
      </c>
      <c r="L214" s="343">
        <f t="shared" si="87"/>
        <v>746.2</v>
      </c>
      <c r="M214" s="343">
        <f>M207</f>
        <v>746.1</v>
      </c>
      <c r="N214" s="339">
        <f t="shared" si="84"/>
        <v>99.98659876708656</v>
      </c>
    </row>
    <row r="215" spans="1:14" ht="37.5" hidden="1">
      <c r="A215" s="337" t="s">
        <v>715</v>
      </c>
      <c r="B215" s="338" t="s">
        <v>669</v>
      </c>
      <c r="C215" s="338" t="s">
        <v>315</v>
      </c>
      <c r="D215" s="338" t="s">
        <v>264</v>
      </c>
      <c r="E215" s="338"/>
      <c r="F215" s="338"/>
      <c r="G215" s="343">
        <f aca="true" t="shared" si="88" ref="G215:M215">G219</f>
        <v>0</v>
      </c>
      <c r="H215" s="343">
        <f t="shared" si="88"/>
        <v>0</v>
      </c>
      <c r="I215" s="343">
        <f t="shared" si="88"/>
        <v>0</v>
      </c>
      <c r="J215" s="343">
        <f t="shared" si="88"/>
        <v>0</v>
      </c>
      <c r="K215" s="343">
        <f t="shared" si="88"/>
        <v>0</v>
      </c>
      <c r="L215" s="343">
        <f t="shared" si="88"/>
        <v>0</v>
      </c>
      <c r="M215" s="343">
        <f t="shared" si="88"/>
        <v>0</v>
      </c>
      <c r="N215" s="336" t="e">
        <f t="shared" si="84"/>
        <v>#DIV/0!</v>
      </c>
    </row>
    <row r="216" spans="1:14" ht="56.25" hidden="1">
      <c r="A216" s="337" t="s">
        <v>323</v>
      </c>
      <c r="B216" s="338" t="s">
        <v>669</v>
      </c>
      <c r="C216" s="338" t="s">
        <v>520</v>
      </c>
      <c r="D216" s="338" t="s">
        <v>716</v>
      </c>
      <c r="E216" s="338" t="s">
        <v>324</v>
      </c>
      <c r="F216" s="338"/>
      <c r="G216" s="343">
        <f>G217</f>
        <v>0</v>
      </c>
      <c r="H216" s="343">
        <f aca="true" t="shared" si="89" ref="H216:M218">H217</f>
        <v>0</v>
      </c>
      <c r="I216" s="343">
        <f t="shared" si="89"/>
        <v>0</v>
      </c>
      <c r="J216" s="343">
        <f t="shared" si="89"/>
        <v>0</v>
      </c>
      <c r="K216" s="343">
        <f t="shared" si="89"/>
        <v>0</v>
      </c>
      <c r="L216" s="343">
        <f t="shared" si="89"/>
        <v>0</v>
      </c>
      <c r="M216" s="343">
        <f t="shared" si="89"/>
        <v>0</v>
      </c>
      <c r="N216" s="336" t="e">
        <f t="shared" si="84"/>
        <v>#DIV/0!</v>
      </c>
    </row>
    <row r="217" spans="1:14" ht="18.75" hidden="1">
      <c r="A217" s="337" t="s">
        <v>325</v>
      </c>
      <c r="B217" s="338" t="s">
        <v>669</v>
      </c>
      <c r="C217" s="338" t="s">
        <v>520</v>
      </c>
      <c r="D217" s="338" t="s">
        <v>716</v>
      </c>
      <c r="E217" s="338" t="s">
        <v>326</v>
      </c>
      <c r="F217" s="338"/>
      <c r="G217" s="343">
        <f>G218</f>
        <v>0</v>
      </c>
      <c r="H217" s="343">
        <f t="shared" si="89"/>
        <v>0</v>
      </c>
      <c r="I217" s="343">
        <f t="shared" si="89"/>
        <v>0</v>
      </c>
      <c r="J217" s="343">
        <f t="shared" si="89"/>
        <v>0</v>
      </c>
      <c r="K217" s="343">
        <f t="shared" si="89"/>
        <v>0</v>
      </c>
      <c r="L217" s="343">
        <f t="shared" si="89"/>
        <v>0</v>
      </c>
      <c r="M217" s="343">
        <f t="shared" si="89"/>
        <v>0</v>
      </c>
      <c r="N217" s="336" t="e">
        <f t="shared" si="84"/>
        <v>#DIV/0!</v>
      </c>
    </row>
    <row r="218" spans="1:14" ht="37.5" hidden="1">
      <c r="A218" s="337" t="s">
        <v>660</v>
      </c>
      <c r="B218" s="338" t="s">
        <v>669</v>
      </c>
      <c r="C218" s="338" t="s">
        <v>520</v>
      </c>
      <c r="D218" s="338" t="s">
        <v>716</v>
      </c>
      <c r="E218" s="338" t="s">
        <v>661</v>
      </c>
      <c r="F218" s="338"/>
      <c r="G218" s="343">
        <f>G219</f>
        <v>0</v>
      </c>
      <c r="H218" s="343">
        <f t="shared" si="89"/>
        <v>0</v>
      </c>
      <c r="I218" s="343">
        <f t="shared" si="89"/>
        <v>0</v>
      </c>
      <c r="J218" s="343">
        <f t="shared" si="89"/>
        <v>0</v>
      </c>
      <c r="K218" s="343">
        <f t="shared" si="89"/>
        <v>0</v>
      </c>
      <c r="L218" s="343">
        <f t="shared" si="89"/>
        <v>0</v>
      </c>
      <c r="M218" s="343">
        <f t="shared" si="89"/>
        <v>0</v>
      </c>
      <c r="N218" s="336" t="e">
        <f t="shared" si="84"/>
        <v>#DIV/0!</v>
      </c>
    </row>
    <row r="219" spans="1:14" ht="37.5" hidden="1">
      <c r="A219" s="337" t="s">
        <v>455</v>
      </c>
      <c r="B219" s="338" t="s">
        <v>669</v>
      </c>
      <c r="C219" s="338" t="s">
        <v>315</v>
      </c>
      <c r="D219" s="338" t="s">
        <v>264</v>
      </c>
      <c r="E219" s="338"/>
      <c r="F219" s="338" t="s">
        <v>713</v>
      </c>
      <c r="G219" s="343"/>
      <c r="H219" s="343"/>
      <c r="I219" s="343"/>
      <c r="J219" s="343"/>
      <c r="K219" s="343"/>
      <c r="L219" s="343"/>
      <c r="M219" s="343"/>
      <c r="N219" s="336" t="e">
        <f t="shared" si="84"/>
        <v>#DIV/0!</v>
      </c>
    </row>
    <row r="220" spans="1:14" ht="37.5" hidden="1">
      <c r="A220" s="337" t="s">
        <v>717</v>
      </c>
      <c r="B220" s="344" t="s">
        <v>500</v>
      </c>
      <c r="C220" s="338" t="s">
        <v>315</v>
      </c>
      <c r="D220" s="338" t="s">
        <v>264</v>
      </c>
      <c r="E220" s="338"/>
      <c r="F220" s="338"/>
      <c r="G220" s="343">
        <f>G221</f>
        <v>0</v>
      </c>
      <c r="H220" s="343">
        <f aca="true" t="shared" si="90" ref="H220:M221">H221</f>
        <v>0</v>
      </c>
      <c r="I220" s="343">
        <f t="shared" si="90"/>
        <v>0</v>
      </c>
      <c r="J220" s="343">
        <f t="shared" si="90"/>
        <v>0</v>
      </c>
      <c r="K220" s="343">
        <f t="shared" si="90"/>
        <v>0</v>
      </c>
      <c r="L220" s="343">
        <f t="shared" si="90"/>
        <v>0</v>
      </c>
      <c r="M220" s="343">
        <f t="shared" si="90"/>
        <v>0</v>
      </c>
      <c r="N220" s="336" t="e">
        <f t="shared" si="84"/>
        <v>#DIV/0!</v>
      </c>
    </row>
    <row r="221" spans="1:14" ht="37.5" hidden="1">
      <c r="A221" s="337" t="s">
        <v>331</v>
      </c>
      <c r="B221" s="344" t="s">
        <v>500</v>
      </c>
      <c r="C221" s="338" t="s">
        <v>315</v>
      </c>
      <c r="D221" s="338" t="s">
        <v>264</v>
      </c>
      <c r="E221" s="338" t="s">
        <v>324</v>
      </c>
      <c r="F221" s="338"/>
      <c r="G221" s="343">
        <f>G222</f>
        <v>0</v>
      </c>
      <c r="H221" s="343">
        <f t="shared" si="90"/>
        <v>0</v>
      </c>
      <c r="I221" s="343">
        <f t="shared" si="90"/>
        <v>0</v>
      </c>
      <c r="J221" s="343">
        <f t="shared" si="90"/>
        <v>0</v>
      </c>
      <c r="K221" s="343">
        <f t="shared" si="90"/>
        <v>0</v>
      </c>
      <c r="L221" s="343">
        <f t="shared" si="90"/>
        <v>0</v>
      </c>
      <c r="M221" s="343">
        <f t="shared" si="90"/>
        <v>0</v>
      </c>
      <c r="N221" s="336" t="e">
        <f t="shared" si="84"/>
        <v>#DIV/0!</v>
      </c>
    </row>
    <row r="222" spans="1:14" ht="18.75" hidden="1">
      <c r="A222" s="337" t="s">
        <v>325</v>
      </c>
      <c r="B222" s="344" t="s">
        <v>500</v>
      </c>
      <c r="C222" s="338" t="s">
        <v>315</v>
      </c>
      <c r="D222" s="338" t="s">
        <v>264</v>
      </c>
      <c r="E222" s="338" t="s">
        <v>326</v>
      </c>
      <c r="F222" s="338"/>
      <c r="G222" s="343"/>
      <c r="H222" s="343"/>
      <c r="I222" s="343"/>
      <c r="J222" s="343"/>
      <c r="K222" s="343"/>
      <c r="L222" s="343"/>
      <c r="M222" s="343"/>
      <c r="N222" s="336" t="e">
        <f t="shared" si="84"/>
        <v>#DIV/0!</v>
      </c>
    </row>
    <row r="223" spans="1:14" ht="37.5" hidden="1">
      <c r="A223" s="337" t="s">
        <v>660</v>
      </c>
      <c r="B223" s="344" t="s">
        <v>500</v>
      </c>
      <c r="C223" s="338" t="s">
        <v>315</v>
      </c>
      <c r="D223" s="338" t="s">
        <v>264</v>
      </c>
      <c r="E223" s="338" t="s">
        <v>661</v>
      </c>
      <c r="F223" s="338"/>
      <c r="G223" s="343"/>
      <c r="H223" s="343"/>
      <c r="I223" s="343"/>
      <c r="J223" s="343"/>
      <c r="K223" s="343"/>
      <c r="L223" s="343"/>
      <c r="M223" s="343"/>
      <c r="N223" s="336" t="e">
        <f t="shared" si="84"/>
        <v>#DIV/0!</v>
      </c>
    </row>
    <row r="224" spans="1:14" ht="37.5" hidden="1">
      <c r="A224" s="337" t="s">
        <v>455</v>
      </c>
      <c r="B224" s="344" t="s">
        <v>500</v>
      </c>
      <c r="C224" s="338" t="s">
        <v>315</v>
      </c>
      <c r="D224" s="338" t="s">
        <v>264</v>
      </c>
      <c r="E224" s="338"/>
      <c r="F224" s="338" t="s">
        <v>713</v>
      </c>
      <c r="G224" s="339">
        <f aca="true" t="shared" si="91" ref="G224:M224">G220</f>
        <v>0</v>
      </c>
      <c r="H224" s="339">
        <f t="shared" si="91"/>
        <v>0</v>
      </c>
      <c r="I224" s="339">
        <f t="shared" si="91"/>
        <v>0</v>
      </c>
      <c r="J224" s="339">
        <f t="shared" si="91"/>
        <v>0</v>
      </c>
      <c r="K224" s="339">
        <f t="shared" si="91"/>
        <v>0</v>
      </c>
      <c r="L224" s="339">
        <f t="shared" si="91"/>
        <v>0</v>
      </c>
      <c r="M224" s="339">
        <f t="shared" si="91"/>
        <v>0</v>
      </c>
      <c r="N224" s="336" t="e">
        <f t="shared" si="84"/>
        <v>#DIV/0!</v>
      </c>
    </row>
    <row r="225" spans="1:14" ht="56.25" hidden="1">
      <c r="A225" s="337" t="s">
        <v>666</v>
      </c>
      <c r="B225" s="338" t="s">
        <v>501</v>
      </c>
      <c r="C225" s="338" t="s">
        <v>315</v>
      </c>
      <c r="D225" s="338" t="s">
        <v>264</v>
      </c>
      <c r="E225" s="338"/>
      <c r="F225" s="338"/>
      <c r="G225" s="343">
        <f>G226</f>
        <v>0</v>
      </c>
      <c r="H225" s="343">
        <f aca="true" t="shared" si="92" ref="H225:M226">H226</f>
        <v>0</v>
      </c>
      <c r="I225" s="343">
        <f t="shared" si="92"/>
        <v>0</v>
      </c>
      <c r="J225" s="343">
        <f t="shared" si="92"/>
        <v>0</v>
      </c>
      <c r="K225" s="343">
        <f t="shared" si="92"/>
        <v>0</v>
      </c>
      <c r="L225" s="343">
        <f t="shared" si="92"/>
        <v>0</v>
      </c>
      <c r="M225" s="343">
        <f t="shared" si="92"/>
        <v>0</v>
      </c>
      <c r="N225" s="336" t="e">
        <f t="shared" si="84"/>
        <v>#DIV/0!</v>
      </c>
    </row>
    <row r="226" spans="1:14" ht="56.25" hidden="1">
      <c r="A226" s="337" t="s">
        <v>323</v>
      </c>
      <c r="B226" s="338" t="s">
        <v>501</v>
      </c>
      <c r="C226" s="338" t="s">
        <v>315</v>
      </c>
      <c r="D226" s="338" t="s">
        <v>264</v>
      </c>
      <c r="E226" s="338" t="s">
        <v>324</v>
      </c>
      <c r="F226" s="338"/>
      <c r="G226" s="343">
        <f>G227</f>
        <v>0</v>
      </c>
      <c r="H226" s="343">
        <f t="shared" si="92"/>
        <v>0</v>
      </c>
      <c r="I226" s="343">
        <f t="shared" si="92"/>
        <v>0</v>
      </c>
      <c r="J226" s="343">
        <f t="shared" si="92"/>
        <v>0</v>
      </c>
      <c r="K226" s="343">
        <f t="shared" si="92"/>
        <v>0</v>
      </c>
      <c r="L226" s="343">
        <f t="shared" si="92"/>
        <v>0</v>
      </c>
      <c r="M226" s="343">
        <f t="shared" si="92"/>
        <v>0</v>
      </c>
      <c r="N226" s="336" t="e">
        <f t="shared" si="84"/>
        <v>#DIV/0!</v>
      </c>
    </row>
    <row r="227" spans="1:14" ht="18.75" hidden="1">
      <c r="A227" s="337" t="s">
        <v>325</v>
      </c>
      <c r="B227" s="338" t="s">
        <v>501</v>
      </c>
      <c r="C227" s="338" t="s">
        <v>315</v>
      </c>
      <c r="D227" s="338" t="s">
        <v>264</v>
      </c>
      <c r="E227" s="338" t="s">
        <v>326</v>
      </c>
      <c r="F227" s="338" t="s">
        <v>713</v>
      </c>
      <c r="G227" s="343"/>
      <c r="H227" s="343"/>
      <c r="I227" s="343"/>
      <c r="J227" s="343"/>
      <c r="K227" s="343"/>
      <c r="L227" s="343"/>
      <c r="M227" s="343"/>
      <c r="N227" s="336" t="e">
        <f t="shared" si="84"/>
        <v>#DIV/0!</v>
      </c>
    </row>
    <row r="228" spans="1:14" ht="18.75" hidden="1">
      <c r="A228" s="337"/>
      <c r="B228" s="338"/>
      <c r="C228" s="338"/>
      <c r="D228" s="338"/>
      <c r="E228" s="338"/>
      <c r="F228" s="338"/>
      <c r="G228" s="343"/>
      <c r="H228" s="343"/>
      <c r="I228" s="343"/>
      <c r="J228" s="343"/>
      <c r="K228" s="343"/>
      <c r="L228" s="343"/>
      <c r="M228" s="343"/>
      <c r="N228" s="336" t="e">
        <f t="shared" si="84"/>
        <v>#DIV/0!</v>
      </c>
    </row>
    <row r="229" spans="1:14" ht="18.75" hidden="1">
      <c r="A229" s="337"/>
      <c r="B229" s="338"/>
      <c r="C229" s="338"/>
      <c r="D229" s="338"/>
      <c r="E229" s="338"/>
      <c r="F229" s="338"/>
      <c r="G229" s="343"/>
      <c r="H229" s="343"/>
      <c r="I229" s="343"/>
      <c r="J229" s="343"/>
      <c r="K229" s="343"/>
      <c r="L229" s="343"/>
      <c r="M229" s="343"/>
      <c r="N229" s="336" t="e">
        <f t="shared" si="84"/>
        <v>#DIV/0!</v>
      </c>
    </row>
    <row r="230" spans="1:14" ht="56.25">
      <c r="A230" s="345" t="s">
        <v>519</v>
      </c>
      <c r="B230" s="335" t="s">
        <v>521</v>
      </c>
      <c r="C230" s="335"/>
      <c r="D230" s="335"/>
      <c r="E230" s="335"/>
      <c r="F230" s="335"/>
      <c r="G230" s="342" t="e">
        <f>G231</f>
        <v>#REF!</v>
      </c>
      <c r="H230" s="342" t="e">
        <f aca="true" t="shared" si="93" ref="H230:M234">H231</f>
        <v>#REF!</v>
      </c>
      <c r="I230" s="342" t="e">
        <f t="shared" si="93"/>
        <v>#REF!</v>
      </c>
      <c r="J230" s="342" t="e">
        <f t="shared" si="93"/>
        <v>#REF!</v>
      </c>
      <c r="K230" s="342" t="e">
        <f t="shared" si="93"/>
        <v>#REF!</v>
      </c>
      <c r="L230" s="342">
        <f t="shared" si="93"/>
        <v>3584</v>
      </c>
      <c r="M230" s="342">
        <f t="shared" si="93"/>
        <v>3584</v>
      </c>
      <c r="N230" s="336">
        <f t="shared" si="84"/>
        <v>100</v>
      </c>
    </row>
    <row r="231" spans="1:14" ht="18.75">
      <c r="A231" s="337" t="s">
        <v>314</v>
      </c>
      <c r="B231" s="338" t="s">
        <v>521</v>
      </c>
      <c r="C231" s="338" t="s">
        <v>315</v>
      </c>
      <c r="D231" s="338"/>
      <c r="E231" s="338"/>
      <c r="F231" s="338"/>
      <c r="G231" s="343" t="e">
        <f>G232</f>
        <v>#REF!</v>
      </c>
      <c r="H231" s="343" t="e">
        <f t="shared" si="93"/>
        <v>#REF!</v>
      </c>
      <c r="I231" s="343" t="e">
        <f t="shared" si="93"/>
        <v>#REF!</v>
      </c>
      <c r="J231" s="343" t="e">
        <f t="shared" si="93"/>
        <v>#REF!</v>
      </c>
      <c r="K231" s="343" t="e">
        <f t="shared" si="93"/>
        <v>#REF!</v>
      </c>
      <c r="L231" s="343">
        <f t="shared" si="93"/>
        <v>3584</v>
      </c>
      <c r="M231" s="343">
        <f t="shared" si="93"/>
        <v>3584</v>
      </c>
      <c r="N231" s="339">
        <f t="shared" si="84"/>
        <v>100</v>
      </c>
    </row>
    <row r="232" spans="1:14" ht="18.75">
      <c r="A232" s="337" t="s">
        <v>518</v>
      </c>
      <c r="B232" s="338" t="s">
        <v>521</v>
      </c>
      <c r="C232" s="338" t="s">
        <v>315</v>
      </c>
      <c r="D232" s="338" t="s">
        <v>315</v>
      </c>
      <c r="E232" s="338"/>
      <c r="F232" s="338"/>
      <c r="G232" s="343" t="e">
        <f>G233</f>
        <v>#REF!</v>
      </c>
      <c r="H232" s="343" t="e">
        <f t="shared" si="93"/>
        <v>#REF!</v>
      </c>
      <c r="I232" s="343" t="e">
        <f t="shared" si="93"/>
        <v>#REF!</v>
      </c>
      <c r="J232" s="343" t="e">
        <f t="shared" si="93"/>
        <v>#REF!</v>
      </c>
      <c r="K232" s="343" t="e">
        <f t="shared" si="93"/>
        <v>#REF!</v>
      </c>
      <c r="L232" s="343">
        <f t="shared" si="93"/>
        <v>3584</v>
      </c>
      <c r="M232" s="343">
        <f t="shared" si="93"/>
        <v>3584</v>
      </c>
      <c r="N232" s="339">
        <f t="shared" si="84"/>
        <v>100</v>
      </c>
    </row>
    <row r="233" spans="1:14" ht="37.5">
      <c r="A233" s="340" t="s">
        <v>673</v>
      </c>
      <c r="B233" s="344" t="s">
        <v>523</v>
      </c>
      <c r="C233" s="338" t="s">
        <v>315</v>
      </c>
      <c r="D233" s="338" t="s">
        <v>315</v>
      </c>
      <c r="E233" s="338"/>
      <c r="F233" s="338"/>
      <c r="G233" s="343" t="e">
        <f>G234</f>
        <v>#REF!</v>
      </c>
      <c r="H233" s="343" t="e">
        <f t="shared" si="93"/>
        <v>#REF!</v>
      </c>
      <c r="I233" s="343" t="e">
        <f t="shared" si="93"/>
        <v>#REF!</v>
      </c>
      <c r="J233" s="343" t="e">
        <f t="shared" si="93"/>
        <v>#REF!</v>
      </c>
      <c r="K233" s="343" t="e">
        <f t="shared" si="93"/>
        <v>#REF!</v>
      </c>
      <c r="L233" s="343">
        <f t="shared" si="93"/>
        <v>3584</v>
      </c>
      <c r="M233" s="343">
        <f t="shared" si="93"/>
        <v>3584</v>
      </c>
      <c r="N233" s="339">
        <f t="shared" si="84"/>
        <v>100</v>
      </c>
    </row>
    <row r="234" spans="1:14" ht="56.25">
      <c r="A234" s="337" t="s">
        <v>323</v>
      </c>
      <c r="B234" s="344" t="s">
        <v>523</v>
      </c>
      <c r="C234" s="338" t="s">
        <v>315</v>
      </c>
      <c r="D234" s="338" t="s">
        <v>315</v>
      </c>
      <c r="E234" s="338" t="s">
        <v>324</v>
      </c>
      <c r="F234" s="338"/>
      <c r="G234" s="343" t="e">
        <f>G235</f>
        <v>#REF!</v>
      </c>
      <c r="H234" s="343" t="e">
        <f t="shared" si="93"/>
        <v>#REF!</v>
      </c>
      <c r="I234" s="343" t="e">
        <f t="shared" si="93"/>
        <v>#REF!</v>
      </c>
      <c r="J234" s="343" t="e">
        <f t="shared" si="93"/>
        <v>#REF!</v>
      </c>
      <c r="K234" s="343" t="e">
        <f t="shared" si="93"/>
        <v>#REF!</v>
      </c>
      <c r="L234" s="343">
        <f t="shared" si="93"/>
        <v>3584</v>
      </c>
      <c r="M234" s="343">
        <f t="shared" si="93"/>
        <v>3584</v>
      </c>
      <c r="N234" s="339">
        <f t="shared" si="84"/>
        <v>100</v>
      </c>
    </row>
    <row r="235" spans="1:14" ht="18.75">
      <c r="A235" s="337" t="s">
        <v>325</v>
      </c>
      <c r="B235" s="344" t="s">
        <v>523</v>
      </c>
      <c r="C235" s="338" t="s">
        <v>315</v>
      </c>
      <c r="D235" s="338" t="s">
        <v>315</v>
      </c>
      <c r="E235" s="338" t="s">
        <v>326</v>
      </c>
      <c r="F235" s="338"/>
      <c r="G235" s="343" t="e">
        <f>#REF!</f>
        <v>#REF!</v>
      </c>
      <c r="H235" s="343" t="e">
        <f>#REF!</f>
        <v>#REF!</v>
      </c>
      <c r="I235" s="343" t="e">
        <f>#REF!</f>
        <v>#REF!</v>
      </c>
      <c r="J235" s="343" t="e">
        <f>#REF!</f>
        <v>#REF!</v>
      </c>
      <c r="K235" s="343" t="e">
        <f>#REF!</f>
        <v>#REF!</v>
      </c>
      <c r="L235" s="343">
        <f>'Прил.№4 ведомств.'!G747</f>
        <v>3584</v>
      </c>
      <c r="M235" s="343">
        <f>'Прил.№4 ведомств.'!H747</f>
        <v>3584</v>
      </c>
      <c r="N235" s="339">
        <f t="shared" si="84"/>
        <v>100</v>
      </c>
    </row>
    <row r="236" spans="1:14" ht="37.5">
      <c r="A236" s="337" t="s">
        <v>455</v>
      </c>
      <c r="B236" s="344" t="s">
        <v>521</v>
      </c>
      <c r="C236" s="338" t="s">
        <v>315</v>
      </c>
      <c r="D236" s="338" t="s">
        <v>315</v>
      </c>
      <c r="E236" s="338"/>
      <c r="F236" s="338" t="s">
        <v>713</v>
      </c>
      <c r="G236" s="343" t="e">
        <f aca="true" t="shared" si="94" ref="G236:M236">G230</f>
        <v>#REF!</v>
      </c>
      <c r="H236" s="343" t="e">
        <f t="shared" si="94"/>
        <v>#REF!</v>
      </c>
      <c r="I236" s="343" t="e">
        <f t="shared" si="94"/>
        <v>#REF!</v>
      </c>
      <c r="J236" s="343" t="e">
        <f t="shared" si="94"/>
        <v>#REF!</v>
      </c>
      <c r="K236" s="343" t="e">
        <f t="shared" si="94"/>
        <v>#REF!</v>
      </c>
      <c r="L236" s="343">
        <f t="shared" si="94"/>
        <v>3584</v>
      </c>
      <c r="M236" s="343">
        <f t="shared" si="94"/>
        <v>3584</v>
      </c>
      <c r="N236" s="339">
        <f t="shared" si="84"/>
        <v>100</v>
      </c>
    </row>
    <row r="237" spans="1:14" ht="75">
      <c r="A237" s="334" t="s">
        <v>977</v>
      </c>
      <c r="B237" s="351" t="s">
        <v>207</v>
      </c>
      <c r="C237" s="335"/>
      <c r="D237" s="351"/>
      <c r="E237" s="351"/>
      <c r="F237" s="351"/>
      <c r="G237" s="342" t="e">
        <f aca="true" t="shared" si="95" ref="G237:M237">G238+G244</f>
        <v>#REF!</v>
      </c>
      <c r="H237" s="342" t="e">
        <f t="shared" si="95"/>
        <v>#REF!</v>
      </c>
      <c r="I237" s="342" t="e">
        <f t="shared" si="95"/>
        <v>#REF!</v>
      </c>
      <c r="J237" s="342" t="e">
        <f t="shared" si="95"/>
        <v>#REF!</v>
      </c>
      <c r="K237" s="342" t="e">
        <f t="shared" si="95"/>
        <v>#REF!</v>
      </c>
      <c r="L237" s="342">
        <f t="shared" si="95"/>
        <v>350</v>
      </c>
      <c r="M237" s="342">
        <f t="shared" si="95"/>
        <v>349.9</v>
      </c>
      <c r="N237" s="336">
        <f t="shared" si="84"/>
        <v>99.97142857142856</v>
      </c>
    </row>
    <row r="238" spans="1:14" ht="18.75" hidden="1">
      <c r="A238" s="341" t="s">
        <v>168</v>
      </c>
      <c r="B238" s="331" t="s">
        <v>207</v>
      </c>
      <c r="C238" s="338" t="s">
        <v>169</v>
      </c>
      <c r="D238" s="331"/>
      <c r="E238" s="331"/>
      <c r="F238" s="331"/>
      <c r="G238" s="343" t="e">
        <f>G239</f>
        <v>#REF!</v>
      </c>
      <c r="H238" s="343" t="e">
        <f aca="true" t="shared" si="96" ref="H238:M241">H239</f>
        <v>#REF!</v>
      </c>
      <c r="I238" s="343" t="e">
        <f t="shared" si="96"/>
        <v>#REF!</v>
      </c>
      <c r="J238" s="343" t="e">
        <f t="shared" si="96"/>
        <v>#REF!</v>
      </c>
      <c r="K238" s="343" t="e">
        <f t="shared" si="96"/>
        <v>#REF!</v>
      </c>
      <c r="L238" s="343">
        <f t="shared" si="96"/>
        <v>0</v>
      </c>
      <c r="M238" s="343">
        <f t="shared" si="96"/>
        <v>0</v>
      </c>
      <c r="N238" s="336" t="e">
        <f t="shared" si="84"/>
        <v>#DIV/0!</v>
      </c>
    </row>
    <row r="239" spans="1:14" ht="18.75" hidden="1">
      <c r="A239" s="341" t="s">
        <v>190</v>
      </c>
      <c r="B239" s="331" t="s">
        <v>207</v>
      </c>
      <c r="C239" s="338" t="s">
        <v>169</v>
      </c>
      <c r="D239" s="331">
        <v>13</v>
      </c>
      <c r="E239" s="331"/>
      <c r="F239" s="331"/>
      <c r="G239" s="343" t="e">
        <f>G240</f>
        <v>#REF!</v>
      </c>
      <c r="H239" s="343" t="e">
        <f t="shared" si="96"/>
        <v>#REF!</v>
      </c>
      <c r="I239" s="343" t="e">
        <f t="shared" si="96"/>
        <v>#REF!</v>
      </c>
      <c r="J239" s="343" t="e">
        <f t="shared" si="96"/>
        <v>#REF!</v>
      </c>
      <c r="K239" s="343" t="e">
        <f t="shared" si="96"/>
        <v>#REF!</v>
      </c>
      <c r="L239" s="343">
        <f t="shared" si="96"/>
        <v>0</v>
      </c>
      <c r="M239" s="343">
        <f t="shared" si="96"/>
        <v>0</v>
      </c>
      <c r="N239" s="336" t="e">
        <f t="shared" si="84"/>
        <v>#DIV/0!</v>
      </c>
    </row>
    <row r="240" spans="1:14" ht="37.5" hidden="1">
      <c r="A240" s="337" t="s">
        <v>208</v>
      </c>
      <c r="B240" s="331" t="s">
        <v>209</v>
      </c>
      <c r="C240" s="338" t="s">
        <v>169</v>
      </c>
      <c r="D240" s="338" t="s">
        <v>191</v>
      </c>
      <c r="E240" s="338"/>
      <c r="F240" s="338"/>
      <c r="G240" s="343" t="e">
        <f>G241</f>
        <v>#REF!</v>
      </c>
      <c r="H240" s="343" t="e">
        <f t="shared" si="96"/>
        <v>#REF!</v>
      </c>
      <c r="I240" s="343" t="e">
        <f t="shared" si="96"/>
        <v>#REF!</v>
      </c>
      <c r="J240" s="343" t="e">
        <f t="shared" si="96"/>
        <v>#REF!</v>
      </c>
      <c r="K240" s="343" t="e">
        <f t="shared" si="96"/>
        <v>#REF!</v>
      </c>
      <c r="L240" s="343">
        <f t="shared" si="96"/>
        <v>0</v>
      </c>
      <c r="M240" s="343">
        <f t="shared" si="96"/>
        <v>0</v>
      </c>
      <c r="N240" s="336" t="e">
        <f t="shared" si="84"/>
        <v>#DIV/0!</v>
      </c>
    </row>
    <row r="241" spans="1:14" ht="37.5" hidden="1">
      <c r="A241" s="337" t="s">
        <v>182</v>
      </c>
      <c r="B241" s="331" t="s">
        <v>209</v>
      </c>
      <c r="C241" s="338" t="s">
        <v>169</v>
      </c>
      <c r="D241" s="338" t="s">
        <v>191</v>
      </c>
      <c r="E241" s="338" t="s">
        <v>196</v>
      </c>
      <c r="F241" s="338"/>
      <c r="G241" s="343" t="e">
        <f>G242</f>
        <v>#REF!</v>
      </c>
      <c r="H241" s="343" t="e">
        <f t="shared" si="96"/>
        <v>#REF!</v>
      </c>
      <c r="I241" s="343" t="e">
        <f t="shared" si="96"/>
        <v>#REF!</v>
      </c>
      <c r="J241" s="343" t="e">
        <f t="shared" si="96"/>
        <v>#REF!</v>
      </c>
      <c r="K241" s="343" t="e">
        <f t="shared" si="96"/>
        <v>#REF!</v>
      </c>
      <c r="L241" s="343">
        <f t="shared" si="96"/>
        <v>0</v>
      </c>
      <c r="M241" s="343">
        <f t="shared" si="96"/>
        <v>0</v>
      </c>
      <c r="N241" s="336" t="e">
        <f t="shared" si="84"/>
        <v>#DIV/0!</v>
      </c>
    </row>
    <row r="242" spans="1:14" ht="75" hidden="1">
      <c r="A242" s="337" t="s">
        <v>235</v>
      </c>
      <c r="B242" s="331" t="s">
        <v>209</v>
      </c>
      <c r="C242" s="338" t="s">
        <v>169</v>
      </c>
      <c r="D242" s="338" t="s">
        <v>191</v>
      </c>
      <c r="E242" s="338" t="s">
        <v>211</v>
      </c>
      <c r="F242" s="338"/>
      <c r="G242" s="343" t="e">
        <f>#REF!</f>
        <v>#REF!</v>
      </c>
      <c r="H242" s="343" t="e">
        <f>#REF!</f>
        <v>#REF!</v>
      </c>
      <c r="I242" s="343" t="e">
        <f>#REF!</f>
        <v>#REF!</v>
      </c>
      <c r="J242" s="343" t="e">
        <f>#REF!</f>
        <v>#REF!</v>
      </c>
      <c r="K242" s="343" t="e">
        <f>#REF!</f>
        <v>#REF!</v>
      </c>
      <c r="L242" s="343">
        <f>'Прил.№4 ведомств.'!G65</f>
        <v>0</v>
      </c>
      <c r="M242" s="343">
        <f>'Прил.№4 ведомств.'!H65</f>
        <v>0</v>
      </c>
      <c r="N242" s="336" t="e">
        <f t="shared" si="84"/>
        <v>#DIV/0!</v>
      </c>
    </row>
    <row r="243" spans="1:14" ht="37.5" hidden="1">
      <c r="A243" s="337" t="s">
        <v>199</v>
      </c>
      <c r="B243" s="331" t="s">
        <v>207</v>
      </c>
      <c r="C243" s="338" t="s">
        <v>169</v>
      </c>
      <c r="D243" s="338" t="s">
        <v>191</v>
      </c>
      <c r="E243" s="338"/>
      <c r="F243" s="338" t="s">
        <v>718</v>
      </c>
      <c r="G243" s="343" t="e">
        <f>G237</f>
        <v>#REF!</v>
      </c>
      <c r="H243" s="343" t="e">
        <f>H237</f>
        <v>#REF!</v>
      </c>
      <c r="I243" s="343" t="e">
        <f>I237</f>
        <v>#REF!</v>
      </c>
      <c r="J243" s="343" t="e">
        <f>J237</f>
        <v>#REF!</v>
      </c>
      <c r="K243" s="343" t="e">
        <f>K237</f>
        <v>#REF!</v>
      </c>
      <c r="L243" s="343">
        <f>L238</f>
        <v>0</v>
      </c>
      <c r="M243" s="343">
        <f>M238</f>
        <v>0</v>
      </c>
      <c r="N243" s="336" t="e">
        <f t="shared" si="84"/>
        <v>#DIV/0!</v>
      </c>
    </row>
    <row r="244" spans="1:14" ht="18.75">
      <c r="A244" s="341" t="s">
        <v>283</v>
      </c>
      <c r="B244" s="331" t="s">
        <v>207</v>
      </c>
      <c r="C244" s="338" t="s">
        <v>201</v>
      </c>
      <c r="D244" s="338"/>
      <c r="E244" s="338"/>
      <c r="F244" s="338"/>
      <c r="G244" s="343">
        <f>G245</f>
        <v>0</v>
      </c>
      <c r="H244" s="343">
        <f aca="true" t="shared" si="97" ref="H244:M247">H245</f>
        <v>0</v>
      </c>
      <c r="I244" s="343">
        <f t="shared" si="97"/>
        <v>540</v>
      </c>
      <c r="J244" s="343">
        <f t="shared" si="97"/>
        <v>540</v>
      </c>
      <c r="K244" s="343">
        <f t="shared" si="97"/>
        <v>540</v>
      </c>
      <c r="L244" s="343">
        <f t="shared" si="97"/>
        <v>350</v>
      </c>
      <c r="M244" s="343">
        <f t="shared" si="97"/>
        <v>349.9</v>
      </c>
      <c r="N244" s="339">
        <f t="shared" si="84"/>
        <v>99.97142857142856</v>
      </c>
    </row>
    <row r="245" spans="1:14" ht="18.75">
      <c r="A245" s="341" t="s">
        <v>924</v>
      </c>
      <c r="B245" s="331" t="s">
        <v>207</v>
      </c>
      <c r="C245" s="338" t="s">
        <v>201</v>
      </c>
      <c r="D245" s="338" t="s">
        <v>289</v>
      </c>
      <c r="E245" s="338"/>
      <c r="F245" s="338"/>
      <c r="G245" s="343">
        <f>G246</f>
        <v>0</v>
      </c>
      <c r="H245" s="343">
        <f t="shared" si="97"/>
        <v>0</v>
      </c>
      <c r="I245" s="343">
        <f t="shared" si="97"/>
        <v>540</v>
      </c>
      <c r="J245" s="343">
        <f t="shared" si="97"/>
        <v>540</v>
      </c>
      <c r="K245" s="343">
        <f t="shared" si="97"/>
        <v>540</v>
      </c>
      <c r="L245" s="343">
        <f t="shared" si="97"/>
        <v>350</v>
      </c>
      <c r="M245" s="343">
        <f t="shared" si="97"/>
        <v>349.9</v>
      </c>
      <c r="N245" s="339">
        <f t="shared" si="84"/>
        <v>99.97142857142856</v>
      </c>
    </row>
    <row r="246" spans="1:14" ht="37.5">
      <c r="A246" s="337" t="s">
        <v>208</v>
      </c>
      <c r="B246" s="331" t="s">
        <v>209</v>
      </c>
      <c r="C246" s="338" t="s">
        <v>201</v>
      </c>
      <c r="D246" s="338" t="s">
        <v>289</v>
      </c>
      <c r="E246" s="338"/>
      <c r="F246" s="338"/>
      <c r="G246" s="343">
        <f>G247</f>
        <v>0</v>
      </c>
      <c r="H246" s="343">
        <f t="shared" si="97"/>
        <v>0</v>
      </c>
      <c r="I246" s="343">
        <f t="shared" si="97"/>
        <v>540</v>
      </c>
      <c r="J246" s="343">
        <f t="shared" si="97"/>
        <v>540</v>
      </c>
      <c r="K246" s="343">
        <f t="shared" si="97"/>
        <v>540</v>
      </c>
      <c r="L246" s="343">
        <f t="shared" si="97"/>
        <v>350</v>
      </c>
      <c r="M246" s="343">
        <f t="shared" si="97"/>
        <v>349.9</v>
      </c>
      <c r="N246" s="339">
        <f t="shared" si="84"/>
        <v>99.97142857142856</v>
      </c>
    </row>
    <row r="247" spans="1:14" ht="18.75">
      <c r="A247" s="340" t="s">
        <v>186</v>
      </c>
      <c r="B247" s="331" t="s">
        <v>209</v>
      </c>
      <c r="C247" s="338" t="s">
        <v>201</v>
      </c>
      <c r="D247" s="338" t="s">
        <v>289</v>
      </c>
      <c r="E247" s="338" t="s">
        <v>196</v>
      </c>
      <c r="F247" s="338"/>
      <c r="G247" s="343">
        <f>G248</f>
        <v>0</v>
      </c>
      <c r="H247" s="343">
        <f t="shared" si="97"/>
        <v>0</v>
      </c>
      <c r="I247" s="343">
        <f t="shared" si="97"/>
        <v>540</v>
      </c>
      <c r="J247" s="343">
        <f t="shared" si="97"/>
        <v>540</v>
      </c>
      <c r="K247" s="343">
        <f t="shared" si="97"/>
        <v>540</v>
      </c>
      <c r="L247" s="343">
        <f t="shared" si="97"/>
        <v>350</v>
      </c>
      <c r="M247" s="343">
        <f t="shared" si="97"/>
        <v>349.9</v>
      </c>
      <c r="N247" s="339">
        <f t="shared" si="84"/>
        <v>99.97142857142856</v>
      </c>
    </row>
    <row r="248" spans="1:14" ht="75">
      <c r="A248" s="337" t="s">
        <v>235</v>
      </c>
      <c r="B248" s="331" t="s">
        <v>209</v>
      </c>
      <c r="C248" s="338" t="s">
        <v>201</v>
      </c>
      <c r="D248" s="338" t="s">
        <v>289</v>
      </c>
      <c r="E248" s="338" t="s">
        <v>211</v>
      </c>
      <c r="F248" s="338"/>
      <c r="G248" s="343">
        <v>0</v>
      </c>
      <c r="H248" s="343">
        <v>0</v>
      </c>
      <c r="I248" s="343">
        <v>540</v>
      </c>
      <c r="J248" s="343">
        <v>540</v>
      </c>
      <c r="K248" s="343">
        <v>540</v>
      </c>
      <c r="L248" s="343">
        <f>'Прил.№4 ведомств.'!G207</f>
        <v>350</v>
      </c>
      <c r="M248" s="343">
        <f>'Прил.№4 ведомств.'!H207</f>
        <v>349.9</v>
      </c>
      <c r="N248" s="339">
        <f t="shared" si="84"/>
        <v>99.97142857142856</v>
      </c>
    </row>
    <row r="249" spans="1:14" ht="37.5">
      <c r="A249" s="337" t="s">
        <v>199</v>
      </c>
      <c r="B249" s="331" t="s">
        <v>207</v>
      </c>
      <c r="C249" s="338" t="s">
        <v>201</v>
      </c>
      <c r="D249" s="338" t="s">
        <v>289</v>
      </c>
      <c r="E249" s="338"/>
      <c r="F249" s="338" t="s">
        <v>718</v>
      </c>
      <c r="G249" s="343">
        <f aca="true" t="shared" si="98" ref="G249:M249">G244</f>
        <v>0</v>
      </c>
      <c r="H249" s="343">
        <f t="shared" si="98"/>
        <v>0</v>
      </c>
      <c r="I249" s="343">
        <f t="shared" si="98"/>
        <v>540</v>
      </c>
      <c r="J249" s="343">
        <f t="shared" si="98"/>
        <v>540</v>
      </c>
      <c r="K249" s="343">
        <f t="shared" si="98"/>
        <v>540</v>
      </c>
      <c r="L249" s="343">
        <f t="shared" si="98"/>
        <v>350</v>
      </c>
      <c r="M249" s="343">
        <f t="shared" si="98"/>
        <v>349.9</v>
      </c>
      <c r="N249" s="339">
        <f t="shared" si="84"/>
        <v>99.97142857142856</v>
      </c>
    </row>
    <row r="250" spans="1:14" ht="58.5" customHeight="1">
      <c r="A250" s="345" t="s">
        <v>996</v>
      </c>
      <c r="B250" s="351" t="s">
        <v>213</v>
      </c>
      <c r="C250" s="335"/>
      <c r="D250" s="335"/>
      <c r="E250" s="335"/>
      <c r="F250" s="335"/>
      <c r="G250" s="342" t="e">
        <f>G251</f>
        <v>#REF!</v>
      </c>
      <c r="H250" s="342" t="e">
        <f aca="true" t="shared" si="99" ref="H250:M251">H251</f>
        <v>#REF!</v>
      </c>
      <c r="I250" s="342" t="e">
        <f t="shared" si="99"/>
        <v>#REF!</v>
      </c>
      <c r="J250" s="342" t="e">
        <f t="shared" si="99"/>
        <v>#REF!</v>
      </c>
      <c r="K250" s="342" t="e">
        <f t="shared" si="99"/>
        <v>#REF!</v>
      </c>
      <c r="L250" s="342">
        <f t="shared" si="99"/>
        <v>741</v>
      </c>
      <c r="M250" s="342">
        <f t="shared" si="99"/>
        <v>653.0999999999999</v>
      </c>
      <c r="N250" s="336">
        <f t="shared" si="84"/>
        <v>88.13765182186233</v>
      </c>
    </row>
    <row r="251" spans="1:14" ht="18.75">
      <c r="A251" s="341" t="s">
        <v>168</v>
      </c>
      <c r="B251" s="331" t="s">
        <v>213</v>
      </c>
      <c r="C251" s="338" t="s">
        <v>169</v>
      </c>
      <c r="D251" s="331"/>
      <c r="E251" s="331"/>
      <c r="F251" s="338"/>
      <c r="G251" s="343" t="e">
        <f>G252</f>
        <v>#REF!</v>
      </c>
      <c r="H251" s="343" t="e">
        <f t="shared" si="99"/>
        <v>#REF!</v>
      </c>
      <c r="I251" s="343" t="e">
        <f t="shared" si="99"/>
        <v>#REF!</v>
      </c>
      <c r="J251" s="343" t="e">
        <f t="shared" si="99"/>
        <v>#REF!</v>
      </c>
      <c r="K251" s="343" t="e">
        <f t="shared" si="99"/>
        <v>#REF!</v>
      </c>
      <c r="L251" s="343">
        <f t="shared" si="99"/>
        <v>741</v>
      </c>
      <c r="M251" s="343">
        <f t="shared" si="99"/>
        <v>653.0999999999999</v>
      </c>
      <c r="N251" s="339">
        <f t="shared" si="84"/>
        <v>88.13765182186233</v>
      </c>
    </row>
    <row r="252" spans="1:14" ht="18.75">
      <c r="A252" s="341" t="s">
        <v>190</v>
      </c>
      <c r="B252" s="331" t="s">
        <v>213</v>
      </c>
      <c r="C252" s="338" t="s">
        <v>169</v>
      </c>
      <c r="D252" s="331">
        <v>13</v>
      </c>
      <c r="E252" s="331"/>
      <c r="F252" s="338"/>
      <c r="G252" s="343" t="e">
        <f aca="true" t="shared" si="100" ref="G252:M252">G253+G256+G262+G265</f>
        <v>#REF!</v>
      </c>
      <c r="H252" s="343" t="e">
        <f t="shared" si="100"/>
        <v>#REF!</v>
      </c>
      <c r="I252" s="343" t="e">
        <f t="shared" si="100"/>
        <v>#REF!</v>
      </c>
      <c r="J252" s="343" t="e">
        <f t="shared" si="100"/>
        <v>#REF!</v>
      </c>
      <c r="K252" s="343" t="e">
        <f t="shared" si="100"/>
        <v>#REF!</v>
      </c>
      <c r="L252" s="343">
        <f t="shared" si="100"/>
        <v>741</v>
      </c>
      <c r="M252" s="343">
        <f t="shared" si="100"/>
        <v>653.0999999999999</v>
      </c>
      <c r="N252" s="339">
        <f t="shared" si="84"/>
        <v>88.13765182186233</v>
      </c>
    </row>
    <row r="253" spans="1:14" ht="37.5">
      <c r="A253" s="337" t="s">
        <v>214</v>
      </c>
      <c r="B253" s="338" t="s">
        <v>215</v>
      </c>
      <c r="C253" s="338" t="s">
        <v>169</v>
      </c>
      <c r="D253" s="338" t="s">
        <v>191</v>
      </c>
      <c r="E253" s="338"/>
      <c r="F253" s="338"/>
      <c r="G253" s="343" t="e">
        <f>G254</f>
        <v>#REF!</v>
      </c>
      <c r="H253" s="343" t="e">
        <f aca="true" t="shared" si="101" ref="H253:M254">H254</f>
        <v>#REF!</v>
      </c>
      <c r="I253" s="343" t="e">
        <f t="shared" si="101"/>
        <v>#REF!</v>
      </c>
      <c r="J253" s="343" t="e">
        <f t="shared" si="101"/>
        <v>#REF!</v>
      </c>
      <c r="K253" s="343" t="e">
        <f t="shared" si="101"/>
        <v>#REF!</v>
      </c>
      <c r="L253" s="343">
        <f t="shared" si="101"/>
        <v>491</v>
      </c>
      <c r="M253" s="343">
        <f t="shared" si="101"/>
        <v>485.9</v>
      </c>
      <c r="N253" s="339">
        <f t="shared" si="84"/>
        <v>98.9613034623218</v>
      </c>
    </row>
    <row r="254" spans="1:14" ht="37.5">
      <c r="A254" s="337" t="s">
        <v>182</v>
      </c>
      <c r="B254" s="338" t="s">
        <v>215</v>
      </c>
      <c r="C254" s="338" t="s">
        <v>169</v>
      </c>
      <c r="D254" s="338" t="s">
        <v>191</v>
      </c>
      <c r="E254" s="338" t="s">
        <v>183</v>
      </c>
      <c r="F254" s="338"/>
      <c r="G254" s="343" t="e">
        <f>G255</f>
        <v>#REF!</v>
      </c>
      <c r="H254" s="343" t="e">
        <f t="shared" si="101"/>
        <v>#REF!</v>
      </c>
      <c r="I254" s="343" t="e">
        <f t="shared" si="101"/>
        <v>#REF!</v>
      </c>
      <c r="J254" s="343" t="e">
        <f t="shared" si="101"/>
        <v>#REF!</v>
      </c>
      <c r="K254" s="343" t="e">
        <f t="shared" si="101"/>
        <v>#REF!</v>
      </c>
      <c r="L254" s="343">
        <f t="shared" si="101"/>
        <v>491</v>
      </c>
      <c r="M254" s="343">
        <f t="shared" si="101"/>
        <v>485.9</v>
      </c>
      <c r="N254" s="339">
        <f t="shared" si="84"/>
        <v>98.9613034623218</v>
      </c>
    </row>
    <row r="255" spans="1:14" ht="56.25">
      <c r="A255" s="337" t="s">
        <v>184</v>
      </c>
      <c r="B255" s="338" t="s">
        <v>215</v>
      </c>
      <c r="C255" s="338" t="s">
        <v>169</v>
      </c>
      <c r="D255" s="338" t="s">
        <v>191</v>
      </c>
      <c r="E255" s="338" t="s">
        <v>185</v>
      </c>
      <c r="F255" s="338"/>
      <c r="G255" s="343" t="e">
        <f>#REF!</f>
        <v>#REF!</v>
      </c>
      <c r="H255" s="343" t="e">
        <f>#REF!</f>
        <v>#REF!</v>
      </c>
      <c r="I255" s="343" t="e">
        <f>#REF!</f>
        <v>#REF!</v>
      </c>
      <c r="J255" s="343" t="e">
        <f>#REF!</f>
        <v>#REF!</v>
      </c>
      <c r="K255" s="343" t="e">
        <f>#REF!</f>
        <v>#REF!</v>
      </c>
      <c r="L255" s="343">
        <f>'Прил.№4 ведомств.'!G69</f>
        <v>491</v>
      </c>
      <c r="M255" s="343">
        <f>'Прил.№4 ведомств.'!H69</f>
        <v>485.9</v>
      </c>
      <c r="N255" s="339">
        <f t="shared" si="84"/>
        <v>98.9613034623218</v>
      </c>
    </row>
    <row r="256" spans="1:14" ht="75">
      <c r="A256" s="352" t="s">
        <v>216</v>
      </c>
      <c r="B256" s="338" t="s">
        <v>217</v>
      </c>
      <c r="C256" s="338" t="s">
        <v>169</v>
      </c>
      <c r="D256" s="338" t="s">
        <v>191</v>
      </c>
      <c r="E256" s="338"/>
      <c r="F256" s="338"/>
      <c r="G256" s="343" t="e">
        <f aca="true" t="shared" si="102" ref="G256:M256">G257+G259</f>
        <v>#REF!</v>
      </c>
      <c r="H256" s="343" t="e">
        <f t="shared" si="102"/>
        <v>#REF!</v>
      </c>
      <c r="I256" s="343" t="e">
        <f t="shared" si="102"/>
        <v>#REF!</v>
      </c>
      <c r="J256" s="343" t="e">
        <f t="shared" si="102"/>
        <v>#REF!</v>
      </c>
      <c r="K256" s="343" t="e">
        <f t="shared" si="102"/>
        <v>#REF!</v>
      </c>
      <c r="L256" s="343">
        <f t="shared" si="102"/>
        <v>249.5</v>
      </c>
      <c r="M256" s="343">
        <f t="shared" si="102"/>
        <v>166.7</v>
      </c>
      <c r="N256" s="339">
        <f t="shared" si="84"/>
        <v>66.81362725450902</v>
      </c>
    </row>
    <row r="257" spans="1:14" ht="112.5">
      <c r="A257" s="337" t="s">
        <v>178</v>
      </c>
      <c r="B257" s="338" t="s">
        <v>217</v>
      </c>
      <c r="C257" s="338" t="s">
        <v>169</v>
      </c>
      <c r="D257" s="338" t="s">
        <v>191</v>
      </c>
      <c r="E257" s="338" t="s">
        <v>179</v>
      </c>
      <c r="F257" s="338"/>
      <c r="G257" s="343" t="e">
        <f>G258</f>
        <v>#REF!</v>
      </c>
      <c r="H257" s="343" t="e">
        <f aca="true" t="shared" si="103" ref="H257:M257">H258</f>
        <v>#REF!</v>
      </c>
      <c r="I257" s="343" t="e">
        <f t="shared" si="103"/>
        <v>#REF!</v>
      </c>
      <c r="J257" s="343" t="e">
        <f t="shared" si="103"/>
        <v>#REF!</v>
      </c>
      <c r="K257" s="343" t="e">
        <f t="shared" si="103"/>
        <v>#REF!</v>
      </c>
      <c r="L257" s="343">
        <f t="shared" si="103"/>
        <v>159.7</v>
      </c>
      <c r="M257" s="343">
        <f t="shared" si="103"/>
        <v>124.5</v>
      </c>
      <c r="N257" s="339">
        <f t="shared" si="84"/>
        <v>77.95867251095805</v>
      </c>
    </row>
    <row r="258" spans="1:14" ht="37.5">
      <c r="A258" s="337" t="s">
        <v>180</v>
      </c>
      <c r="B258" s="338" t="s">
        <v>217</v>
      </c>
      <c r="C258" s="338" t="s">
        <v>169</v>
      </c>
      <c r="D258" s="338" t="s">
        <v>191</v>
      </c>
      <c r="E258" s="338" t="s">
        <v>181</v>
      </c>
      <c r="F258" s="338"/>
      <c r="G258" s="343" t="e">
        <f>#REF!</f>
        <v>#REF!</v>
      </c>
      <c r="H258" s="343" t="e">
        <f>#REF!</f>
        <v>#REF!</v>
      </c>
      <c r="I258" s="343" t="e">
        <f>#REF!</f>
        <v>#REF!</v>
      </c>
      <c r="J258" s="343" t="e">
        <f>#REF!</f>
        <v>#REF!</v>
      </c>
      <c r="K258" s="343" t="e">
        <f>#REF!</f>
        <v>#REF!</v>
      </c>
      <c r="L258" s="343">
        <f>'Прил.№4 ведомств.'!G72</f>
        <v>159.7</v>
      </c>
      <c r="M258" s="343">
        <f>'Прил.№4 ведомств.'!H72</f>
        <v>124.5</v>
      </c>
      <c r="N258" s="339">
        <f t="shared" si="84"/>
        <v>77.95867251095805</v>
      </c>
    </row>
    <row r="259" spans="1:14" ht="37.5">
      <c r="A259" s="337" t="s">
        <v>182</v>
      </c>
      <c r="B259" s="338" t="s">
        <v>217</v>
      </c>
      <c r="C259" s="338" t="s">
        <v>169</v>
      </c>
      <c r="D259" s="338" t="s">
        <v>191</v>
      </c>
      <c r="E259" s="338" t="s">
        <v>183</v>
      </c>
      <c r="F259" s="338"/>
      <c r="G259" s="343" t="e">
        <f>G260</f>
        <v>#REF!</v>
      </c>
      <c r="H259" s="343" t="e">
        <f aca="true" t="shared" si="104" ref="H259:M259">H260</f>
        <v>#REF!</v>
      </c>
      <c r="I259" s="343" t="e">
        <f t="shared" si="104"/>
        <v>#REF!</v>
      </c>
      <c r="J259" s="343" t="e">
        <f t="shared" si="104"/>
        <v>#REF!</v>
      </c>
      <c r="K259" s="343" t="e">
        <f t="shared" si="104"/>
        <v>#REF!</v>
      </c>
      <c r="L259" s="343">
        <f t="shared" si="104"/>
        <v>89.80000000000001</v>
      </c>
      <c r="M259" s="343">
        <f t="shared" si="104"/>
        <v>42.2</v>
      </c>
      <c r="N259" s="339">
        <f t="shared" si="84"/>
        <v>46.99331848552338</v>
      </c>
    </row>
    <row r="260" spans="1:14" ht="56.25">
      <c r="A260" s="337" t="s">
        <v>184</v>
      </c>
      <c r="B260" s="338" t="s">
        <v>217</v>
      </c>
      <c r="C260" s="338" t="s">
        <v>169</v>
      </c>
      <c r="D260" s="338" t="s">
        <v>191</v>
      </c>
      <c r="E260" s="338" t="s">
        <v>185</v>
      </c>
      <c r="F260" s="338"/>
      <c r="G260" s="343" t="e">
        <f>#REF!</f>
        <v>#REF!</v>
      </c>
      <c r="H260" s="343" t="e">
        <f>#REF!</f>
        <v>#REF!</v>
      </c>
      <c r="I260" s="343" t="e">
        <f>#REF!</f>
        <v>#REF!</v>
      </c>
      <c r="J260" s="343" t="e">
        <f>#REF!</f>
        <v>#REF!</v>
      </c>
      <c r="K260" s="343" t="e">
        <f>#REF!</f>
        <v>#REF!</v>
      </c>
      <c r="L260" s="343">
        <f>'Прил.№4 ведомств.'!G74</f>
        <v>89.80000000000001</v>
      </c>
      <c r="M260" s="343">
        <f>'Прил.№4 ведомств.'!H74</f>
        <v>42.2</v>
      </c>
      <c r="N260" s="339">
        <f t="shared" si="84"/>
        <v>46.99331848552338</v>
      </c>
    </row>
    <row r="261" spans="1:14" ht="37.5">
      <c r="A261" s="337" t="s">
        <v>199</v>
      </c>
      <c r="B261" s="338" t="s">
        <v>213</v>
      </c>
      <c r="C261" s="338" t="s">
        <v>169</v>
      </c>
      <c r="D261" s="338" t="s">
        <v>191</v>
      </c>
      <c r="E261" s="338"/>
      <c r="F261" s="338" t="s">
        <v>718</v>
      </c>
      <c r="G261" s="343"/>
      <c r="H261" s="343"/>
      <c r="I261" s="343"/>
      <c r="J261" s="343"/>
      <c r="K261" s="343"/>
      <c r="L261" s="343">
        <f>L253+L256</f>
        <v>740.5</v>
      </c>
      <c r="M261" s="343">
        <f>M253+M256</f>
        <v>652.5999999999999</v>
      </c>
      <c r="N261" s="339">
        <f t="shared" si="84"/>
        <v>88.12964213369344</v>
      </c>
    </row>
    <row r="262" spans="1:14" ht="75">
      <c r="A262" s="350" t="s">
        <v>773</v>
      </c>
      <c r="B262" s="338" t="s">
        <v>774</v>
      </c>
      <c r="C262" s="338" t="s">
        <v>169</v>
      </c>
      <c r="D262" s="338" t="s">
        <v>191</v>
      </c>
      <c r="E262" s="338"/>
      <c r="F262" s="338"/>
      <c r="G262" s="343" t="e">
        <f>G263</f>
        <v>#REF!</v>
      </c>
      <c r="H262" s="343" t="e">
        <f aca="true" t="shared" si="105" ref="H262:M263">H263</f>
        <v>#REF!</v>
      </c>
      <c r="I262" s="343" t="e">
        <f t="shared" si="105"/>
        <v>#REF!</v>
      </c>
      <c r="J262" s="343" t="e">
        <f t="shared" si="105"/>
        <v>#REF!</v>
      </c>
      <c r="K262" s="343" t="e">
        <f t="shared" si="105"/>
        <v>#REF!</v>
      </c>
      <c r="L262" s="343">
        <f t="shared" si="105"/>
        <v>0.5</v>
      </c>
      <c r="M262" s="343">
        <f t="shared" si="105"/>
        <v>0.5</v>
      </c>
      <c r="N262" s="339">
        <f t="shared" si="84"/>
        <v>100</v>
      </c>
    </row>
    <row r="263" spans="1:14" ht="37.5">
      <c r="A263" s="340" t="s">
        <v>182</v>
      </c>
      <c r="B263" s="338" t="s">
        <v>774</v>
      </c>
      <c r="C263" s="338" t="s">
        <v>169</v>
      </c>
      <c r="D263" s="338" t="s">
        <v>191</v>
      </c>
      <c r="E263" s="338" t="s">
        <v>183</v>
      </c>
      <c r="F263" s="338"/>
      <c r="G263" s="343" t="e">
        <f>G264</f>
        <v>#REF!</v>
      </c>
      <c r="H263" s="343" t="e">
        <f t="shared" si="105"/>
        <v>#REF!</v>
      </c>
      <c r="I263" s="343" t="e">
        <f t="shared" si="105"/>
        <v>#REF!</v>
      </c>
      <c r="J263" s="343" t="e">
        <f t="shared" si="105"/>
        <v>#REF!</v>
      </c>
      <c r="K263" s="343" t="e">
        <f t="shared" si="105"/>
        <v>#REF!</v>
      </c>
      <c r="L263" s="343">
        <f t="shared" si="105"/>
        <v>0.5</v>
      </c>
      <c r="M263" s="343">
        <f t="shared" si="105"/>
        <v>0.5</v>
      </c>
      <c r="N263" s="339">
        <f t="shared" si="84"/>
        <v>100</v>
      </c>
    </row>
    <row r="264" spans="1:14" ht="56.25">
      <c r="A264" s="340" t="s">
        <v>184</v>
      </c>
      <c r="B264" s="338" t="s">
        <v>774</v>
      </c>
      <c r="C264" s="338" t="s">
        <v>169</v>
      </c>
      <c r="D264" s="338" t="s">
        <v>191</v>
      </c>
      <c r="E264" s="338" t="s">
        <v>185</v>
      </c>
      <c r="F264" s="338"/>
      <c r="G264" s="343" t="e">
        <f>#REF!</f>
        <v>#REF!</v>
      </c>
      <c r="H264" s="343" t="e">
        <f>#REF!</f>
        <v>#REF!</v>
      </c>
      <c r="I264" s="343" t="e">
        <f>#REF!</f>
        <v>#REF!</v>
      </c>
      <c r="J264" s="343" t="e">
        <f>#REF!</f>
        <v>#REF!</v>
      </c>
      <c r="K264" s="343" t="e">
        <f>#REF!</f>
        <v>#REF!</v>
      </c>
      <c r="L264" s="343">
        <f>'Прил.№4 ведомств.'!G1123</f>
        <v>0.5</v>
      </c>
      <c r="M264" s="343">
        <f>'Прил.№4 ведомств.'!H1123</f>
        <v>0.5</v>
      </c>
      <c r="N264" s="339">
        <f t="shared" si="84"/>
        <v>100</v>
      </c>
    </row>
    <row r="265" spans="1:14" ht="56.25" hidden="1">
      <c r="A265" s="353" t="s">
        <v>242</v>
      </c>
      <c r="B265" s="338" t="s">
        <v>760</v>
      </c>
      <c r="C265" s="338" t="s">
        <v>169</v>
      </c>
      <c r="D265" s="338" t="s">
        <v>191</v>
      </c>
      <c r="E265" s="338"/>
      <c r="F265" s="338"/>
      <c r="G265" s="343" t="e">
        <f>G266</f>
        <v>#REF!</v>
      </c>
      <c r="H265" s="343" t="e">
        <f aca="true" t="shared" si="106" ref="H265:M266">H266</f>
        <v>#REF!</v>
      </c>
      <c r="I265" s="343" t="e">
        <f t="shared" si="106"/>
        <v>#REF!</v>
      </c>
      <c r="J265" s="343" t="e">
        <f t="shared" si="106"/>
        <v>#REF!</v>
      </c>
      <c r="K265" s="343" t="e">
        <f t="shared" si="106"/>
        <v>#REF!</v>
      </c>
      <c r="L265" s="343">
        <f t="shared" si="106"/>
        <v>0</v>
      </c>
      <c r="M265" s="343">
        <f t="shared" si="106"/>
        <v>0</v>
      </c>
      <c r="N265" s="339" t="e">
        <f t="shared" si="84"/>
        <v>#DIV/0!</v>
      </c>
    </row>
    <row r="266" spans="1:14" ht="37.5" hidden="1">
      <c r="A266" s="340" t="s">
        <v>182</v>
      </c>
      <c r="B266" s="338" t="s">
        <v>760</v>
      </c>
      <c r="C266" s="338" t="s">
        <v>169</v>
      </c>
      <c r="D266" s="338" t="s">
        <v>191</v>
      </c>
      <c r="E266" s="338" t="s">
        <v>183</v>
      </c>
      <c r="F266" s="338"/>
      <c r="G266" s="343" t="e">
        <f>G267</f>
        <v>#REF!</v>
      </c>
      <c r="H266" s="343" t="e">
        <f t="shared" si="106"/>
        <v>#REF!</v>
      </c>
      <c r="I266" s="343" t="e">
        <f t="shared" si="106"/>
        <v>#REF!</v>
      </c>
      <c r="J266" s="343" t="e">
        <f t="shared" si="106"/>
        <v>#REF!</v>
      </c>
      <c r="K266" s="343" t="e">
        <f t="shared" si="106"/>
        <v>#REF!</v>
      </c>
      <c r="L266" s="343">
        <f t="shared" si="106"/>
        <v>0</v>
      </c>
      <c r="M266" s="343">
        <f t="shared" si="106"/>
        <v>0</v>
      </c>
      <c r="N266" s="339" t="e">
        <f t="shared" si="84"/>
        <v>#DIV/0!</v>
      </c>
    </row>
    <row r="267" spans="1:14" ht="56.25" hidden="1">
      <c r="A267" s="340" t="s">
        <v>184</v>
      </c>
      <c r="B267" s="338" t="s">
        <v>760</v>
      </c>
      <c r="C267" s="338" t="s">
        <v>169</v>
      </c>
      <c r="D267" s="338" t="s">
        <v>191</v>
      </c>
      <c r="E267" s="338" t="s">
        <v>185</v>
      </c>
      <c r="F267" s="338"/>
      <c r="G267" s="343" t="e">
        <f>#REF!</f>
        <v>#REF!</v>
      </c>
      <c r="H267" s="343" t="e">
        <f>#REF!</f>
        <v>#REF!</v>
      </c>
      <c r="I267" s="343" t="e">
        <f>#REF!</f>
        <v>#REF!</v>
      </c>
      <c r="J267" s="343" t="e">
        <f>#REF!</f>
        <v>#REF!</v>
      </c>
      <c r="K267" s="343" t="e">
        <f>#REF!</f>
        <v>#REF!</v>
      </c>
      <c r="L267" s="343">
        <f>'Прил.№4 ведомств.'!G77</f>
        <v>0</v>
      </c>
      <c r="M267" s="343">
        <f>'Прил.№4 ведомств.'!H77</f>
        <v>0</v>
      </c>
      <c r="N267" s="339" t="e">
        <f aca="true" t="shared" si="107" ref="N267:N330">M267/L267*100</f>
        <v>#DIV/0!</v>
      </c>
    </row>
    <row r="268" spans="1:14" ht="37.5">
      <c r="A268" s="337" t="s">
        <v>626</v>
      </c>
      <c r="B268" s="338" t="s">
        <v>213</v>
      </c>
      <c r="C268" s="338" t="s">
        <v>169</v>
      </c>
      <c r="D268" s="338" t="s">
        <v>191</v>
      </c>
      <c r="E268" s="338"/>
      <c r="F268" s="338" t="s">
        <v>976</v>
      </c>
      <c r="G268" s="343" t="e">
        <f>G250</f>
        <v>#REF!</v>
      </c>
      <c r="H268" s="343" t="e">
        <f>H250</f>
        <v>#REF!</v>
      </c>
      <c r="I268" s="343" t="e">
        <f>I250</f>
        <v>#REF!</v>
      </c>
      <c r="J268" s="343" t="e">
        <f>J250</f>
        <v>#REF!</v>
      </c>
      <c r="K268" s="343" t="e">
        <f>K250</f>
        <v>#REF!</v>
      </c>
      <c r="L268" s="343">
        <f>L262</f>
        <v>0.5</v>
      </c>
      <c r="M268" s="343">
        <f>M262</f>
        <v>0.5</v>
      </c>
      <c r="N268" s="339">
        <f t="shared" si="107"/>
        <v>100</v>
      </c>
    </row>
    <row r="269" spans="1:14" ht="93.75" hidden="1">
      <c r="A269" s="345" t="s">
        <v>304</v>
      </c>
      <c r="B269" s="351" t="s">
        <v>305</v>
      </c>
      <c r="C269" s="338"/>
      <c r="D269" s="338"/>
      <c r="E269" s="338"/>
      <c r="F269" s="338"/>
      <c r="G269" s="342" t="e">
        <f>G270</f>
        <v>#REF!</v>
      </c>
      <c r="H269" s="342" t="e">
        <f aca="true" t="shared" si="108" ref="H269:M273">H270</f>
        <v>#REF!</v>
      </c>
      <c r="I269" s="342" t="e">
        <f t="shared" si="108"/>
        <v>#REF!</v>
      </c>
      <c r="J269" s="342" t="e">
        <f t="shared" si="108"/>
        <v>#REF!</v>
      </c>
      <c r="K269" s="342" t="e">
        <f t="shared" si="108"/>
        <v>#REF!</v>
      </c>
      <c r="L269" s="342">
        <f t="shared" si="108"/>
        <v>0</v>
      </c>
      <c r="M269" s="342">
        <f t="shared" si="108"/>
        <v>0</v>
      </c>
      <c r="N269" s="336" t="e">
        <f t="shared" si="107"/>
        <v>#DIV/0!</v>
      </c>
    </row>
    <row r="270" spans="1:14" ht="18.75" hidden="1">
      <c r="A270" s="337" t="s">
        <v>294</v>
      </c>
      <c r="B270" s="331" t="s">
        <v>305</v>
      </c>
      <c r="C270" s="338" t="s">
        <v>295</v>
      </c>
      <c r="D270" s="338"/>
      <c r="E270" s="338"/>
      <c r="F270" s="338"/>
      <c r="G270" s="343" t="e">
        <f>G271</f>
        <v>#REF!</v>
      </c>
      <c r="H270" s="343" t="e">
        <f t="shared" si="108"/>
        <v>#REF!</v>
      </c>
      <c r="I270" s="343" t="e">
        <f t="shared" si="108"/>
        <v>#REF!</v>
      </c>
      <c r="J270" s="343" t="e">
        <f t="shared" si="108"/>
        <v>#REF!</v>
      </c>
      <c r="K270" s="343" t="e">
        <f t="shared" si="108"/>
        <v>#REF!</v>
      </c>
      <c r="L270" s="343">
        <f t="shared" si="108"/>
        <v>0</v>
      </c>
      <c r="M270" s="343">
        <f t="shared" si="108"/>
        <v>0</v>
      </c>
      <c r="N270" s="336" t="e">
        <f t="shared" si="107"/>
        <v>#DIV/0!</v>
      </c>
    </row>
    <row r="271" spans="1:14" ht="22.5" customHeight="1" hidden="1">
      <c r="A271" s="337" t="s">
        <v>303</v>
      </c>
      <c r="B271" s="331" t="s">
        <v>305</v>
      </c>
      <c r="C271" s="338" t="s">
        <v>295</v>
      </c>
      <c r="D271" s="338" t="s">
        <v>266</v>
      </c>
      <c r="E271" s="338"/>
      <c r="F271" s="338"/>
      <c r="G271" s="343" t="e">
        <f>G272</f>
        <v>#REF!</v>
      </c>
      <c r="H271" s="343" t="e">
        <f t="shared" si="108"/>
        <v>#REF!</v>
      </c>
      <c r="I271" s="343" t="e">
        <f t="shared" si="108"/>
        <v>#REF!</v>
      </c>
      <c r="J271" s="343" t="e">
        <f t="shared" si="108"/>
        <v>#REF!</v>
      </c>
      <c r="K271" s="343" t="e">
        <f t="shared" si="108"/>
        <v>#REF!</v>
      </c>
      <c r="L271" s="343">
        <f t="shared" si="108"/>
        <v>0</v>
      </c>
      <c r="M271" s="343">
        <f t="shared" si="108"/>
        <v>0</v>
      </c>
      <c r="N271" s="336" t="e">
        <f t="shared" si="107"/>
        <v>#DIV/0!</v>
      </c>
    </row>
    <row r="272" spans="1:14" ht="37.5" hidden="1">
      <c r="A272" s="337" t="s">
        <v>208</v>
      </c>
      <c r="B272" s="331" t="s">
        <v>306</v>
      </c>
      <c r="C272" s="338" t="s">
        <v>295</v>
      </c>
      <c r="D272" s="338" t="s">
        <v>266</v>
      </c>
      <c r="E272" s="338"/>
      <c r="F272" s="338"/>
      <c r="G272" s="343" t="e">
        <f>G273</f>
        <v>#REF!</v>
      </c>
      <c r="H272" s="343" t="e">
        <f t="shared" si="108"/>
        <v>#REF!</v>
      </c>
      <c r="I272" s="343" t="e">
        <f t="shared" si="108"/>
        <v>#REF!</v>
      </c>
      <c r="J272" s="343" t="e">
        <f t="shared" si="108"/>
        <v>#REF!</v>
      </c>
      <c r="K272" s="343" t="e">
        <f t="shared" si="108"/>
        <v>#REF!</v>
      </c>
      <c r="L272" s="343">
        <f t="shared" si="108"/>
        <v>0</v>
      </c>
      <c r="M272" s="343">
        <f t="shared" si="108"/>
        <v>0</v>
      </c>
      <c r="N272" s="336" t="e">
        <f t="shared" si="107"/>
        <v>#DIV/0!</v>
      </c>
    </row>
    <row r="273" spans="1:14" ht="38.25" customHeight="1" hidden="1">
      <c r="A273" s="337" t="s">
        <v>299</v>
      </c>
      <c r="B273" s="331" t="s">
        <v>306</v>
      </c>
      <c r="C273" s="338" t="s">
        <v>295</v>
      </c>
      <c r="D273" s="338" t="s">
        <v>266</v>
      </c>
      <c r="E273" s="338" t="s">
        <v>300</v>
      </c>
      <c r="F273" s="338"/>
      <c r="G273" s="343" t="e">
        <f>G274</f>
        <v>#REF!</v>
      </c>
      <c r="H273" s="343" t="e">
        <f t="shared" si="108"/>
        <v>#REF!</v>
      </c>
      <c r="I273" s="343" t="e">
        <f t="shared" si="108"/>
        <v>#REF!</v>
      </c>
      <c r="J273" s="343" t="e">
        <f t="shared" si="108"/>
        <v>#REF!</v>
      </c>
      <c r="K273" s="343" t="e">
        <f t="shared" si="108"/>
        <v>#REF!</v>
      </c>
      <c r="L273" s="343">
        <f t="shared" si="108"/>
        <v>0</v>
      </c>
      <c r="M273" s="343">
        <f t="shared" si="108"/>
        <v>0</v>
      </c>
      <c r="N273" s="336" t="e">
        <f t="shared" si="107"/>
        <v>#DIV/0!</v>
      </c>
    </row>
    <row r="274" spans="1:14" ht="37.5" hidden="1">
      <c r="A274" s="337" t="s">
        <v>301</v>
      </c>
      <c r="B274" s="331" t="s">
        <v>306</v>
      </c>
      <c r="C274" s="338" t="s">
        <v>295</v>
      </c>
      <c r="D274" s="338" t="s">
        <v>266</v>
      </c>
      <c r="E274" s="338" t="s">
        <v>302</v>
      </c>
      <c r="F274" s="338"/>
      <c r="G274" s="343" t="e">
        <f>#REF!</f>
        <v>#REF!</v>
      </c>
      <c r="H274" s="343" t="e">
        <f>#REF!</f>
        <v>#REF!</v>
      </c>
      <c r="I274" s="343" t="e">
        <f>#REF!</f>
        <v>#REF!</v>
      </c>
      <c r="J274" s="343" t="e">
        <f>#REF!</f>
        <v>#REF!</v>
      </c>
      <c r="K274" s="343" t="e">
        <f>#REF!</f>
        <v>#REF!</v>
      </c>
      <c r="L274" s="343">
        <f>'Прил.№4 ведомств.'!G229</f>
        <v>0</v>
      </c>
      <c r="M274" s="343">
        <f>'Прил.№4 ведомств.'!H229</f>
        <v>0</v>
      </c>
      <c r="N274" s="336" t="e">
        <f t="shared" si="107"/>
        <v>#DIV/0!</v>
      </c>
    </row>
    <row r="275" spans="1:14" ht="37.5" hidden="1">
      <c r="A275" s="341" t="s">
        <v>199</v>
      </c>
      <c r="B275" s="331" t="s">
        <v>305</v>
      </c>
      <c r="C275" s="338" t="s">
        <v>295</v>
      </c>
      <c r="D275" s="338" t="s">
        <v>266</v>
      </c>
      <c r="E275" s="338"/>
      <c r="F275" s="338" t="s">
        <v>718</v>
      </c>
      <c r="G275" s="343" t="e">
        <f aca="true" t="shared" si="109" ref="G275:M275">G269</f>
        <v>#REF!</v>
      </c>
      <c r="H275" s="343" t="e">
        <f t="shared" si="109"/>
        <v>#REF!</v>
      </c>
      <c r="I275" s="343" t="e">
        <f t="shared" si="109"/>
        <v>#REF!</v>
      </c>
      <c r="J275" s="343" t="e">
        <f t="shared" si="109"/>
        <v>#REF!</v>
      </c>
      <c r="K275" s="343" t="e">
        <f t="shared" si="109"/>
        <v>#REF!</v>
      </c>
      <c r="L275" s="343">
        <f t="shared" si="109"/>
        <v>0</v>
      </c>
      <c r="M275" s="343">
        <f t="shared" si="109"/>
        <v>0</v>
      </c>
      <c r="N275" s="336" t="e">
        <f t="shared" si="107"/>
        <v>#DIV/0!</v>
      </c>
    </row>
    <row r="276" spans="1:14" ht="131.25">
      <c r="A276" s="345" t="s">
        <v>652</v>
      </c>
      <c r="B276" s="351" t="s">
        <v>219</v>
      </c>
      <c r="C276" s="335"/>
      <c r="D276" s="335"/>
      <c r="E276" s="335"/>
      <c r="F276" s="335"/>
      <c r="G276" s="342" t="e">
        <f aca="true" t="shared" si="110" ref="G276:M276">G277+G284+G291</f>
        <v>#REF!</v>
      </c>
      <c r="H276" s="342" t="e">
        <f t="shared" si="110"/>
        <v>#REF!</v>
      </c>
      <c r="I276" s="342" t="e">
        <f t="shared" si="110"/>
        <v>#REF!</v>
      </c>
      <c r="J276" s="342" t="e">
        <f t="shared" si="110"/>
        <v>#REF!</v>
      </c>
      <c r="K276" s="342" t="e">
        <f t="shared" si="110"/>
        <v>#REF!</v>
      </c>
      <c r="L276" s="342">
        <f t="shared" si="110"/>
        <v>120</v>
      </c>
      <c r="M276" s="342">
        <f t="shared" si="110"/>
        <v>49.5</v>
      </c>
      <c r="N276" s="336">
        <f t="shared" si="107"/>
        <v>41.25</v>
      </c>
    </row>
    <row r="277" spans="1:14" ht="112.5">
      <c r="A277" s="345" t="s">
        <v>220</v>
      </c>
      <c r="B277" s="351" t="s">
        <v>221</v>
      </c>
      <c r="C277" s="335"/>
      <c r="D277" s="335"/>
      <c r="E277" s="335"/>
      <c r="F277" s="335"/>
      <c r="G277" s="342" t="e">
        <f>G278</f>
        <v>#REF!</v>
      </c>
      <c r="H277" s="342" t="e">
        <f aca="true" t="shared" si="111" ref="H277:M281">H278</f>
        <v>#REF!</v>
      </c>
      <c r="I277" s="342" t="e">
        <f t="shared" si="111"/>
        <v>#REF!</v>
      </c>
      <c r="J277" s="342" t="e">
        <f t="shared" si="111"/>
        <v>#REF!</v>
      </c>
      <c r="K277" s="342" t="e">
        <f t="shared" si="111"/>
        <v>#REF!</v>
      </c>
      <c r="L277" s="342">
        <f t="shared" si="111"/>
        <v>25</v>
      </c>
      <c r="M277" s="342">
        <f t="shared" si="111"/>
        <v>25</v>
      </c>
      <c r="N277" s="336">
        <f t="shared" si="107"/>
        <v>100</v>
      </c>
    </row>
    <row r="278" spans="1:14" ht="18.75">
      <c r="A278" s="341" t="s">
        <v>168</v>
      </c>
      <c r="B278" s="331" t="s">
        <v>221</v>
      </c>
      <c r="C278" s="338" t="s">
        <v>169</v>
      </c>
      <c r="D278" s="338"/>
      <c r="E278" s="338"/>
      <c r="F278" s="338"/>
      <c r="G278" s="343" t="e">
        <f>G279</f>
        <v>#REF!</v>
      </c>
      <c r="H278" s="343" t="e">
        <f t="shared" si="111"/>
        <v>#REF!</v>
      </c>
      <c r="I278" s="343" t="e">
        <f t="shared" si="111"/>
        <v>#REF!</v>
      </c>
      <c r="J278" s="343" t="e">
        <f t="shared" si="111"/>
        <v>#REF!</v>
      </c>
      <c r="K278" s="343" t="e">
        <f t="shared" si="111"/>
        <v>#REF!</v>
      </c>
      <c r="L278" s="343">
        <f t="shared" si="111"/>
        <v>25</v>
      </c>
      <c r="M278" s="343">
        <f t="shared" si="111"/>
        <v>25</v>
      </c>
      <c r="N278" s="339">
        <f t="shared" si="107"/>
        <v>100</v>
      </c>
    </row>
    <row r="279" spans="1:14" ht="33.75" customHeight="1">
      <c r="A279" s="341" t="s">
        <v>190</v>
      </c>
      <c r="B279" s="331" t="s">
        <v>221</v>
      </c>
      <c r="C279" s="338" t="s">
        <v>169</v>
      </c>
      <c r="D279" s="338" t="s">
        <v>191</v>
      </c>
      <c r="E279" s="338"/>
      <c r="F279" s="338"/>
      <c r="G279" s="343" t="e">
        <f>G280</f>
        <v>#REF!</v>
      </c>
      <c r="H279" s="343" t="e">
        <f t="shared" si="111"/>
        <v>#REF!</v>
      </c>
      <c r="I279" s="343" t="e">
        <f t="shared" si="111"/>
        <v>#REF!</v>
      </c>
      <c r="J279" s="343" t="e">
        <f t="shared" si="111"/>
        <v>#REF!</v>
      </c>
      <c r="K279" s="343" t="e">
        <f t="shared" si="111"/>
        <v>#REF!</v>
      </c>
      <c r="L279" s="343">
        <f t="shared" si="111"/>
        <v>25</v>
      </c>
      <c r="M279" s="343">
        <f t="shared" si="111"/>
        <v>25</v>
      </c>
      <c r="N279" s="339">
        <f t="shared" si="107"/>
        <v>100</v>
      </c>
    </row>
    <row r="280" spans="1:14" ht="37.5">
      <c r="A280" s="352" t="s">
        <v>222</v>
      </c>
      <c r="B280" s="331" t="s">
        <v>223</v>
      </c>
      <c r="C280" s="338" t="s">
        <v>169</v>
      </c>
      <c r="D280" s="338" t="s">
        <v>191</v>
      </c>
      <c r="E280" s="338"/>
      <c r="F280" s="338"/>
      <c r="G280" s="343" t="e">
        <f>G281</f>
        <v>#REF!</v>
      </c>
      <c r="H280" s="343" t="e">
        <f t="shared" si="111"/>
        <v>#REF!</v>
      </c>
      <c r="I280" s="343" t="e">
        <f t="shared" si="111"/>
        <v>#REF!</v>
      </c>
      <c r="J280" s="343" t="e">
        <f t="shared" si="111"/>
        <v>#REF!</v>
      </c>
      <c r="K280" s="343" t="e">
        <f t="shared" si="111"/>
        <v>#REF!</v>
      </c>
      <c r="L280" s="343">
        <f t="shared" si="111"/>
        <v>25</v>
      </c>
      <c r="M280" s="343">
        <f t="shared" si="111"/>
        <v>25</v>
      </c>
      <c r="N280" s="339">
        <f t="shared" si="107"/>
        <v>100</v>
      </c>
    </row>
    <row r="281" spans="1:14" ht="37.5">
      <c r="A281" s="337" t="s">
        <v>182</v>
      </c>
      <c r="B281" s="331" t="s">
        <v>223</v>
      </c>
      <c r="C281" s="338" t="s">
        <v>169</v>
      </c>
      <c r="D281" s="338" t="s">
        <v>191</v>
      </c>
      <c r="E281" s="338" t="s">
        <v>183</v>
      </c>
      <c r="F281" s="338"/>
      <c r="G281" s="343" t="e">
        <f>G282</f>
        <v>#REF!</v>
      </c>
      <c r="H281" s="343" t="e">
        <f t="shared" si="111"/>
        <v>#REF!</v>
      </c>
      <c r="I281" s="343" t="e">
        <f t="shared" si="111"/>
        <v>#REF!</v>
      </c>
      <c r="J281" s="343" t="e">
        <f t="shared" si="111"/>
        <v>#REF!</v>
      </c>
      <c r="K281" s="343" t="e">
        <f t="shared" si="111"/>
        <v>#REF!</v>
      </c>
      <c r="L281" s="343">
        <f t="shared" si="111"/>
        <v>25</v>
      </c>
      <c r="M281" s="343">
        <f t="shared" si="111"/>
        <v>25</v>
      </c>
      <c r="N281" s="339">
        <f t="shared" si="107"/>
        <v>100</v>
      </c>
    </row>
    <row r="282" spans="1:14" ht="56.25">
      <c r="A282" s="337" t="s">
        <v>184</v>
      </c>
      <c r="B282" s="331" t="s">
        <v>223</v>
      </c>
      <c r="C282" s="338" t="s">
        <v>169</v>
      </c>
      <c r="D282" s="338" t="s">
        <v>191</v>
      </c>
      <c r="E282" s="338" t="s">
        <v>185</v>
      </c>
      <c r="F282" s="338"/>
      <c r="G282" s="343" t="e">
        <f>#REF!</f>
        <v>#REF!</v>
      </c>
      <c r="H282" s="343" t="e">
        <f>#REF!</f>
        <v>#REF!</v>
      </c>
      <c r="I282" s="343" t="e">
        <f>#REF!</f>
        <v>#REF!</v>
      </c>
      <c r="J282" s="343" t="e">
        <f>#REF!</f>
        <v>#REF!</v>
      </c>
      <c r="K282" s="343" t="e">
        <f>#REF!</f>
        <v>#REF!</v>
      </c>
      <c r="L282" s="343">
        <f>'Прил.№4 ведомств.'!G250</f>
        <v>25</v>
      </c>
      <c r="M282" s="343">
        <f>'Прил.№4 ведомств.'!H250</f>
        <v>25</v>
      </c>
      <c r="N282" s="339">
        <f t="shared" si="107"/>
        <v>100</v>
      </c>
    </row>
    <row r="283" spans="1:14" ht="56.25">
      <c r="A283" s="341" t="s">
        <v>312</v>
      </c>
      <c r="B283" s="331" t="s">
        <v>221</v>
      </c>
      <c r="C283" s="338" t="s">
        <v>169</v>
      </c>
      <c r="D283" s="338" t="s">
        <v>191</v>
      </c>
      <c r="E283" s="338"/>
      <c r="F283" s="338" t="s">
        <v>704</v>
      </c>
      <c r="G283" s="339" t="e">
        <f>G277</f>
        <v>#REF!</v>
      </c>
      <c r="H283" s="339" t="e">
        <f>H277</f>
        <v>#REF!</v>
      </c>
      <c r="I283" s="339" t="e">
        <f>I277</f>
        <v>#REF!</v>
      </c>
      <c r="J283" s="339" t="e">
        <f>J277</f>
        <v>#REF!</v>
      </c>
      <c r="K283" s="339" t="e">
        <f>K277</f>
        <v>#REF!</v>
      </c>
      <c r="L283" s="339">
        <f>'Прил.№4 ведомств.'!G250</f>
        <v>25</v>
      </c>
      <c r="M283" s="339">
        <f>'Прил.№4 ведомств.'!H250</f>
        <v>25</v>
      </c>
      <c r="N283" s="339">
        <f t="shared" si="107"/>
        <v>100</v>
      </c>
    </row>
    <row r="284" spans="1:14" ht="93.75">
      <c r="A284" s="345" t="s">
        <v>224</v>
      </c>
      <c r="B284" s="351" t="s">
        <v>225</v>
      </c>
      <c r="C284" s="335"/>
      <c r="D284" s="335"/>
      <c r="E284" s="335"/>
      <c r="F284" s="335"/>
      <c r="G284" s="342" t="e">
        <f>G285</f>
        <v>#REF!</v>
      </c>
      <c r="H284" s="342" t="e">
        <f aca="true" t="shared" si="112" ref="H284:M288">H285</f>
        <v>#REF!</v>
      </c>
      <c r="I284" s="342" t="e">
        <f t="shared" si="112"/>
        <v>#REF!</v>
      </c>
      <c r="J284" s="342" t="e">
        <f t="shared" si="112"/>
        <v>#REF!</v>
      </c>
      <c r="K284" s="342" t="e">
        <f t="shared" si="112"/>
        <v>#REF!</v>
      </c>
      <c r="L284" s="342">
        <f t="shared" si="112"/>
        <v>70</v>
      </c>
      <c r="M284" s="342">
        <f t="shared" si="112"/>
        <v>14.5</v>
      </c>
      <c r="N284" s="336">
        <f t="shared" si="107"/>
        <v>20.714285714285715</v>
      </c>
    </row>
    <row r="285" spans="1:14" ht="18.75">
      <c r="A285" s="341" t="s">
        <v>168</v>
      </c>
      <c r="B285" s="331" t="s">
        <v>225</v>
      </c>
      <c r="C285" s="338" t="s">
        <v>169</v>
      </c>
      <c r="D285" s="338"/>
      <c r="E285" s="338"/>
      <c r="F285" s="338"/>
      <c r="G285" s="339" t="e">
        <f>G286</f>
        <v>#REF!</v>
      </c>
      <c r="H285" s="339" t="e">
        <f t="shared" si="112"/>
        <v>#REF!</v>
      </c>
      <c r="I285" s="339" t="e">
        <f t="shared" si="112"/>
        <v>#REF!</v>
      </c>
      <c r="J285" s="339" t="e">
        <f t="shared" si="112"/>
        <v>#REF!</v>
      </c>
      <c r="K285" s="339" t="e">
        <f t="shared" si="112"/>
        <v>#REF!</v>
      </c>
      <c r="L285" s="339">
        <f t="shared" si="112"/>
        <v>70</v>
      </c>
      <c r="M285" s="339">
        <f t="shared" si="112"/>
        <v>14.5</v>
      </c>
      <c r="N285" s="339">
        <f t="shared" si="107"/>
        <v>20.714285714285715</v>
      </c>
    </row>
    <row r="286" spans="1:14" ht="18.75">
      <c r="A286" s="341" t="s">
        <v>190</v>
      </c>
      <c r="B286" s="331" t="s">
        <v>225</v>
      </c>
      <c r="C286" s="338" t="s">
        <v>169</v>
      </c>
      <c r="D286" s="338" t="s">
        <v>191</v>
      </c>
      <c r="E286" s="338"/>
      <c r="F286" s="338"/>
      <c r="G286" s="339" t="e">
        <f>G287</f>
        <v>#REF!</v>
      </c>
      <c r="H286" s="339" t="e">
        <f t="shared" si="112"/>
        <v>#REF!</v>
      </c>
      <c r="I286" s="339" t="e">
        <f t="shared" si="112"/>
        <v>#REF!</v>
      </c>
      <c r="J286" s="339" t="e">
        <f t="shared" si="112"/>
        <v>#REF!</v>
      </c>
      <c r="K286" s="339" t="e">
        <f t="shared" si="112"/>
        <v>#REF!</v>
      </c>
      <c r="L286" s="339">
        <f t="shared" si="112"/>
        <v>70</v>
      </c>
      <c r="M286" s="339">
        <f t="shared" si="112"/>
        <v>14.5</v>
      </c>
      <c r="N286" s="339">
        <f t="shared" si="107"/>
        <v>20.714285714285715</v>
      </c>
    </row>
    <row r="287" spans="1:14" ht="37.5">
      <c r="A287" s="341" t="s">
        <v>226</v>
      </c>
      <c r="B287" s="331" t="s">
        <v>227</v>
      </c>
      <c r="C287" s="346" t="s">
        <v>169</v>
      </c>
      <c r="D287" s="346" t="s">
        <v>191</v>
      </c>
      <c r="E287" s="346"/>
      <c r="F287" s="354"/>
      <c r="G287" s="354" t="e">
        <f>G288</f>
        <v>#REF!</v>
      </c>
      <c r="H287" s="354" t="e">
        <f t="shared" si="112"/>
        <v>#REF!</v>
      </c>
      <c r="I287" s="354" t="e">
        <f t="shared" si="112"/>
        <v>#REF!</v>
      </c>
      <c r="J287" s="354" t="e">
        <f t="shared" si="112"/>
        <v>#REF!</v>
      </c>
      <c r="K287" s="354" t="e">
        <f t="shared" si="112"/>
        <v>#REF!</v>
      </c>
      <c r="L287" s="354">
        <f t="shared" si="112"/>
        <v>70</v>
      </c>
      <c r="M287" s="354">
        <f t="shared" si="112"/>
        <v>14.5</v>
      </c>
      <c r="N287" s="339">
        <f t="shared" si="107"/>
        <v>20.714285714285715</v>
      </c>
    </row>
    <row r="288" spans="1:14" ht="37.5">
      <c r="A288" s="340" t="s">
        <v>182</v>
      </c>
      <c r="B288" s="331" t="s">
        <v>227</v>
      </c>
      <c r="C288" s="346" t="s">
        <v>169</v>
      </c>
      <c r="D288" s="346" t="s">
        <v>191</v>
      </c>
      <c r="E288" s="346" t="s">
        <v>183</v>
      </c>
      <c r="F288" s="354"/>
      <c r="G288" s="354" t="e">
        <f>G289</f>
        <v>#REF!</v>
      </c>
      <c r="H288" s="354" t="e">
        <f t="shared" si="112"/>
        <v>#REF!</v>
      </c>
      <c r="I288" s="354" t="e">
        <f t="shared" si="112"/>
        <v>#REF!</v>
      </c>
      <c r="J288" s="354" t="e">
        <f t="shared" si="112"/>
        <v>#REF!</v>
      </c>
      <c r="K288" s="354" t="e">
        <f t="shared" si="112"/>
        <v>#REF!</v>
      </c>
      <c r="L288" s="354">
        <f t="shared" si="112"/>
        <v>70</v>
      </c>
      <c r="M288" s="354">
        <f t="shared" si="112"/>
        <v>14.5</v>
      </c>
      <c r="N288" s="339">
        <f t="shared" si="107"/>
        <v>20.714285714285715</v>
      </c>
    </row>
    <row r="289" spans="1:14" ht="56.25">
      <c r="A289" s="340" t="s">
        <v>184</v>
      </c>
      <c r="B289" s="331" t="s">
        <v>227</v>
      </c>
      <c r="C289" s="346" t="s">
        <v>169</v>
      </c>
      <c r="D289" s="346" t="s">
        <v>191</v>
      </c>
      <c r="E289" s="346" t="s">
        <v>185</v>
      </c>
      <c r="F289" s="354"/>
      <c r="G289" s="354" t="e">
        <f>#REF!</f>
        <v>#REF!</v>
      </c>
      <c r="H289" s="354" t="e">
        <f>#REF!</f>
        <v>#REF!</v>
      </c>
      <c r="I289" s="354" t="e">
        <f>#REF!</f>
        <v>#REF!</v>
      </c>
      <c r="J289" s="354" t="e">
        <f>#REF!</f>
        <v>#REF!</v>
      </c>
      <c r="K289" s="354" t="e">
        <f>#REF!</f>
        <v>#REF!</v>
      </c>
      <c r="L289" s="354">
        <f>'Прил.№4 ведомств.'!G86</f>
        <v>70</v>
      </c>
      <c r="M289" s="354">
        <f>'Прил.№4 ведомств.'!H86</f>
        <v>14.5</v>
      </c>
      <c r="N289" s="339">
        <f t="shared" si="107"/>
        <v>20.714285714285715</v>
      </c>
    </row>
    <row r="290" spans="1:14" ht="37.5">
      <c r="A290" s="337" t="s">
        <v>199</v>
      </c>
      <c r="B290" s="331" t="s">
        <v>225</v>
      </c>
      <c r="C290" s="338" t="s">
        <v>169</v>
      </c>
      <c r="D290" s="338" t="s">
        <v>191</v>
      </c>
      <c r="E290" s="338"/>
      <c r="F290" s="338" t="s">
        <v>718</v>
      </c>
      <c r="G290" s="339" t="e">
        <f aca="true" t="shared" si="113" ref="G290:M290">G284</f>
        <v>#REF!</v>
      </c>
      <c r="H290" s="339" t="e">
        <f t="shared" si="113"/>
        <v>#REF!</v>
      </c>
      <c r="I290" s="339" t="e">
        <f t="shared" si="113"/>
        <v>#REF!</v>
      </c>
      <c r="J290" s="339" t="e">
        <f t="shared" si="113"/>
        <v>#REF!</v>
      </c>
      <c r="K290" s="339" t="e">
        <f t="shared" si="113"/>
        <v>#REF!</v>
      </c>
      <c r="L290" s="339">
        <f t="shared" si="113"/>
        <v>70</v>
      </c>
      <c r="M290" s="339">
        <f t="shared" si="113"/>
        <v>14.5</v>
      </c>
      <c r="N290" s="339">
        <f t="shared" si="107"/>
        <v>20.714285714285715</v>
      </c>
    </row>
    <row r="291" spans="1:14" ht="56.25">
      <c r="A291" s="355" t="s">
        <v>228</v>
      </c>
      <c r="B291" s="351" t="s">
        <v>229</v>
      </c>
      <c r="C291" s="335"/>
      <c r="D291" s="335"/>
      <c r="E291" s="335"/>
      <c r="F291" s="335"/>
      <c r="G291" s="342" t="e">
        <f>G292</f>
        <v>#REF!</v>
      </c>
      <c r="H291" s="342" t="e">
        <f aca="true" t="shared" si="114" ref="H291:M295">H292</f>
        <v>#REF!</v>
      </c>
      <c r="I291" s="342" t="e">
        <f t="shared" si="114"/>
        <v>#REF!</v>
      </c>
      <c r="J291" s="342" t="e">
        <f t="shared" si="114"/>
        <v>#REF!</v>
      </c>
      <c r="K291" s="342" t="e">
        <f t="shared" si="114"/>
        <v>#REF!</v>
      </c>
      <c r="L291" s="342">
        <f t="shared" si="114"/>
        <v>25</v>
      </c>
      <c r="M291" s="342">
        <f t="shared" si="114"/>
        <v>10</v>
      </c>
      <c r="N291" s="336">
        <f t="shared" si="107"/>
        <v>40</v>
      </c>
    </row>
    <row r="292" spans="1:14" ht="18.75">
      <c r="A292" s="341" t="s">
        <v>168</v>
      </c>
      <c r="B292" s="331" t="s">
        <v>229</v>
      </c>
      <c r="C292" s="338" t="s">
        <v>169</v>
      </c>
      <c r="D292" s="338"/>
      <c r="E292" s="338"/>
      <c r="F292" s="338"/>
      <c r="G292" s="343" t="e">
        <f>G293</f>
        <v>#REF!</v>
      </c>
      <c r="H292" s="343" t="e">
        <f t="shared" si="114"/>
        <v>#REF!</v>
      </c>
      <c r="I292" s="343" t="e">
        <f t="shared" si="114"/>
        <v>#REF!</v>
      </c>
      <c r="J292" s="343" t="e">
        <f t="shared" si="114"/>
        <v>#REF!</v>
      </c>
      <c r="K292" s="343" t="e">
        <f t="shared" si="114"/>
        <v>#REF!</v>
      </c>
      <c r="L292" s="343">
        <f t="shared" si="114"/>
        <v>25</v>
      </c>
      <c r="M292" s="343">
        <f t="shared" si="114"/>
        <v>10</v>
      </c>
      <c r="N292" s="339">
        <f t="shared" si="107"/>
        <v>40</v>
      </c>
    </row>
    <row r="293" spans="1:14" ht="18.75">
      <c r="A293" s="341" t="s">
        <v>190</v>
      </c>
      <c r="B293" s="331" t="s">
        <v>229</v>
      </c>
      <c r="C293" s="338" t="s">
        <v>169</v>
      </c>
      <c r="D293" s="338" t="s">
        <v>191</v>
      </c>
      <c r="E293" s="338"/>
      <c r="F293" s="338"/>
      <c r="G293" s="343" t="e">
        <f>G294</f>
        <v>#REF!</v>
      </c>
      <c r="H293" s="343" t="e">
        <f t="shared" si="114"/>
        <v>#REF!</v>
      </c>
      <c r="I293" s="343" t="e">
        <f t="shared" si="114"/>
        <v>#REF!</v>
      </c>
      <c r="J293" s="343" t="e">
        <f t="shared" si="114"/>
        <v>#REF!</v>
      </c>
      <c r="K293" s="343" t="e">
        <f t="shared" si="114"/>
        <v>#REF!</v>
      </c>
      <c r="L293" s="343">
        <f t="shared" si="114"/>
        <v>25</v>
      </c>
      <c r="M293" s="343">
        <f t="shared" si="114"/>
        <v>10</v>
      </c>
      <c r="N293" s="339">
        <f t="shared" si="107"/>
        <v>40</v>
      </c>
    </row>
    <row r="294" spans="1:14" ht="32.25" customHeight="1">
      <c r="A294" s="341" t="s">
        <v>230</v>
      </c>
      <c r="B294" s="331" t="s">
        <v>231</v>
      </c>
      <c r="C294" s="338" t="s">
        <v>169</v>
      </c>
      <c r="D294" s="338" t="s">
        <v>191</v>
      </c>
      <c r="E294" s="338"/>
      <c r="F294" s="338"/>
      <c r="G294" s="343" t="e">
        <f>G295</f>
        <v>#REF!</v>
      </c>
      <c r="H294" s="343" t="e">
        <f t="shared" si="114"/>
        <v>#REF!</v>
      </c>
      <c r="I294" s="343" t="e">
        <f t="shared" si="114"/>
        <v>#REF!</v>
      </c>
      <c r="J294" s="343" t="e">
        <f t="shared" si="114"/>
        <v>#REF!</v>
      </c>
      <c r="K294" s="343" t="e">
        <f t="shared" si="114"/>
        <v>#REF!</v>
      </c>
      <c r="L294" s="343">
        <f>L295+L297</f>
        <v>25</v>
      </c>
      <c r="M294" s="343">
        <f>M295+M297</f>
        <v>10</v>
      </c>
      <c r="N294" s="339">
        <f t="shared" si="107"/>
        <v>40</v>
      </c>
    </row>
    <row r="295" spans="1:14" ht="37.5">
      <c r="A295" s="337" t="s">
        <v>182</v>
      </c>
      <c r="B295" s="331" t="s">
        <v>231</v>
      </c>
      <c r="C295" s="338" t="s">
        <v>169</v>
      </c>
      <c r="D295" s="338" t="s">
        <v>191</v>
      </c>
      <c r="E295" s="338" t="s">
        <v>183</v>
      </c>
      <c r="F295" s="338"/>
      <c r="G295" s="343" t="e">
        <f>G296</f>
        <v>#REF!</v>
      </c>
      <c r="H295" s="343" t="e">
        <f t="shared" si="114"/>
        <v>#REF!</v>
      </c>
      <c r="I295" s="343" t="e">
        <f t="shared" si="114"/>
        <v>#REF!</v>
      </c>
      <c r="J295" s="343" t="e">
        <f t="shared" si="114"/>
        <v>#REF!</v>
      </c>
      <c r="K295" s="343" t="e">
        <f t="shared" si="114"/>
        <v>#REF!</v>
      </c>
      <c r="L295" s="343">
        <f t="shared" si="114"/>
        <v>15</v>
      </c>
      <c r="M295" s="343">
        <f t="shared" si="114"/>
        <v>0</v>
      </c>
      <c r="N295" s="339">
        <f t="shared" si="107"/>
        <v>0</v>
      </c>
    </row>
    <row r="296" spans="1:14" ht="56.25">
      <c r="A296" s="337" t="s">
        <v>184</v>
      </c>
      <c r="B296" s="331" t="s">
        <v>231</v>
      </c>
      <c r="C296" s="338" t="s">
        <v>169</v>
      </c>
      <c r="D296" s="338" t="s">
        <v>191</v>
      </c>
      <c r="E296" s="338" t="s">
        <v>185</v>
      </c>
      <c r="F296" s="338"/>
      <c r="G296" s="343" t="e">
        <f>#REF!</f>
        <v>#REF!</v>
      </c>
      <c r="H296" s="343" t="e">
        <f>#REF!</f>
        <v>#REF!</v>
      </c>
      <c r="I296" s="343" t="e">
        <f>#REF!</f>
        <v>#REF!</v>
      </c>
      <c r="J296" s="343" t="e">
        <f>#REF!</f>
        <v>#REF!</v>
      </c>
      <c r="K296" s="343" t="e">
        <f>#REF!</f>
        <v>#REF!</v>
      </c>
      <c r="L296" s="343">
        <f>'Прил.№4 ведомств.'!G90</f>
        <v>15</v>
      </c>
      <c r="M296" s="343">
        <f>'Прил.№4 ведомств.'!H90</f>
        <v>0</v>
      </c>
      <c r="N296" s="339">
        <f t="shared" si="107"/>
        <v>0</v>
      </c>
    </row>
    <row r="297" spans="1:14" ht="37.5">
      <c r="A297" s="340" t="s">
        <v>299</v>
      </c>
      <c r="B297" s="331" t="s">
        <v>231</v>
      </c>
      <c r="C297" s="338" t="s">
        <v>169</v>
      </c>
      <c r="D297" s="338" t="s">
        <v>191</v>
      </c>
      <c r="E297" s="338" t="s">
        <v>300</v>
      </c>
      <c r="F297" s="338"/>
      <c r="G297" s="343"/>
      <c r="H297" s="343"/>
      <c r="I297" s="343"/>
      <c r="J297" s="343"/>
      <c r="K297" s="343"/>
      <c r="L297" s="343">
        <f>L298</f>
        <v>10</v>
      </c>
      <c r="M297" s="343">
        <f>M298</f>
        <v>10</v>
      </c>
      <c r="N297" s="339">
        <f t="shared" si="107"/>
        <v>100</v>
      </c>
    </row>
    <row r="298" spans="1:14" ht="18.75">
      <c r="A298" s="340" t="s">
        <v>1036</v>
      </c>
      <c r="B298" s="331" t="s">
        <v>231</v>
      </c>
      <c r="C298" s="338" t="s">
        <v>169</v>
      </c>
      <c r="D298" s="338" t="s">
        <v>191</v>
      </c>
      <c r="E298" s="338" t="s">
        <v>1035</v>
      </c>
      <c r="F298" s="338"/>
      <c r="G298" s="343"/>
      <c r="H298" s="343"/>
      <c r="I298" s="343"/>
      <c r="J298" s="343"/>
      <c r="K298" s="343"/>
      <c r="L298" s="343">
        <f>'Прил.№4 ведомств.'!G92</f>
        <v>10</v>
      </c>
      <c r="M298" s="343">
        <f>'Прил.№4 ведомств.'!H92</f>
        <v>10</v>
      </c>
      <c r="N298" s="339">
        <f t="shared" si="107"/>
        <v>100</v>
      </c>
    </row>
    <row r="299" spans="1:14" ht="37.5">
      <c r="A299" s="337" t="s">
        <v>199</v>
      </c>
      <c r="B299" s="331" t="s">
        <v>229</v>
      </c>
      <c r="C299" s="338" t="s">
        <v>169</v>
      </c>
      <c r="D299" s="338" t="s">
        <v>191</v>
      </c>
      <c r="E299" s="338"/>
      <c r="F299" s="338" t="s">
        <v>718</v>
      </c>
      <c r="G299" s="343" t="e">
        <f aca="true" t="shared" si="115" ref="G299:M299">G291</f>
        <v>#REF!</v>
      </c>
      <c r="H299" s="343" t="e">
        <f t="shared" si="115"/>
        <v>#REF!</v>
      </c>
      <c r="I299" s="343" t="e">
        <f t="shared" si="115"/>
        <v>#REF!</v>
      </c>
      <c r="J299" s="343" t="e">
        <f t="shared" si="115"/>
        <v>#REF!</v>
      </c>
      <c r="K299" s="343" t="e">
        <f t="shared" si="115"/>
        <v>#REF!</v>
      </c>
      <c r="L299" s="343">
        <f t="shared" si="115"/>
        <v>25</v>
      </c>
      <c r="M299" s="343">
        <f t="shared" si="115"/>
        <v>10</v>
      </c>
      <c r="N299" s="339">
        <f t="shared" si="107"/>
        <v>40</v>
      </c>
    </row>
    <row r="300" spans="1:14" ht="54.75" customHeight="1">
      <c r="A300" s="345" t="s">
        <v>533</v>
      </c>
      <c r="B300" s="356" t="s">
        <v>534</v>
      </c>
      <c r="C300" s="357"/>
      <c r="D300" s="357"/>
      <c r="E300" s="357"/>
      <c r="F300" s="357"/>
      <c r="G300" s="336" t="e">
        <f aca="true" t="shared" si="116" ref="G300:L300">G302+G329+G353</f>
        <v>#REF!</v>
      </c>
      <c r="H300" s="336" t="e">
        <f t="shared" si="116"/>
        <v>#REF!</v>
      </c>
      <c r="I300" s="336" t="e">
        <f t="shared" si="116"/>
        <v>#REF!</v>
      </c>
      <c r="J300" s="336" t="e">
        <f t="shared" si="116"/>
        <v>#REF!</v>
      </c>
      <c r="K300" s="336" t="e">
        <f t="shared" si="116"/>
        <v>#REF!</v>
      </c>
      <c r="L300" s="336">
        <f t="shared" si="116"/>
        <v>51547.2</v>
      </c>
      <c r="M300" s="336">
        <f>M302+M329+M353</f>
        <v>51308.899999999994</v>
      </c>
      <c r="N300" s="336">
        <f t="shared" si="107"/>
        <v>99.53770524878169</v>
      </c>
    </row>
    <row r="301" spans="1:14" ht="93.75">
      <c r="A301" s="345" t="s">
        <v>719</v>
      </c>
      <c r="B301" s="356" t="s">
        <v>536</v>
      </c>
      <c r="C301" s="358"/>
      <c r="D301" s="358"/>
      <c r="E301" s="358"/>
      <c r="F301" s="358"/>
      <c r="G301" s="342" t="e">
        <f>G302</f>
        <v>#REF!</v>
      </c>
      <c r="H301" s="342" t="e">
        <f aca="true" t="shared" si="117" ref="H301:M302">H302</f>
        <v>#REF!</v>
      </c>
      <c r="I301" s="342" t="e">
        <f t="shared" si="117"/>
        <v>#REF!</v>
      </c>
      <c r="J301" s="342" t="e">
        <f t="shared" si="117"/>
        <v>#REF!</v>
      </c>
      <c r="K301" s="342" t="e">
        <f t="shared" si="117"/>
        <v>#REF!</v>
      </c>
      <c r="L301" s="342">
        <f t="shared" si="117"/>
        <v>11772.2</v>
      </c>
      <c r="M301" s="342">
        <f t="shared" si="117"/>
        <v>11672.6</v>
      </c>
      <c r="N301" s="336">
        <f t="shared" si="107"/>
        <v>99.15393894089465</v>
      </c>
    </row>
    <row r="302" spans="1:14" ht="18.75">
      <c r="A302" s="337" t="s">
        <v>314</v>
      </c>
      <c r="B302" s="338" t="s">
        <v>536</v>
      </c>
      <c r="C302" s="338" t="s">
        <v>315</v>
      </c>
      <c r="D302" s="357"/>
      <c r="E302" s="357"/>
      <c r="F302" s="357"/>
      <c r="G302" s="343" t="e">
        <f>G303</f>
        <v>#REF!</v>
      </c>
      <c r="H302" s="343" t="e">
        <f t="shared" si="117"/>
        <v>#REF!</v>
      </c>
      <c r="I302" s="343" t="e">
        <f t="shared" si="117"/>
        <v>#REF!</v>
      </c>
      <c r="J302" s="343" t="e">
        <f t="shared" si="117"/>
        <v>#REF!</v>
      </c>
      <c r="K302" s="343" t="e">
        <f t="shared" si="117"/>
        <v>#REF!</v>
      </c>
      <c r="L302" s="343">
        <f t="shared" si="117"/>
        <v>11772.2</v>
      </c>
      <c r="M302" s="343">
        <f t="shared" si="117"/>
        <v>11672.6</v>
      </c>
      <c r="N302" s="339">
        <f t="shared" si="107"/>
        <v>99.15393894089465</v>
      </c>
    </row>
    <row r="303" spans="1:14" ht="18.75">
      <c r="A303" s="337" t="s">
        <v>316</v>
      </c>
      <c r="B303" s="338" t="s">
        <v>536</v>
      </c>
      <c r="C303" s="338" t="s">
        <v>315</v>
      </c>
      <c r="D303" s="338" t="s">
        <v>266</v>
      </c>
      <c r="E303" s="357"/>
      <c r="F303" s="357"/>
      <c r="G303" s="343" t="e">
        <f aca="true" t="shared" si="118" ref="G303:M303">G304+G319+G322+G325</f>
        <v>#REF!</v>
      </c>
      <c r="H303" s="343" t="e">
        <f t="shared" si="118"/>
        <v>#REF!</v>
      </c>
      <c r="I303" s="343" t="e">
        <f t="shared" si="118"/>
        <v>#REF!</v>
      </c>
      <c r="J303" s="343" t="e">
        <f t="shared" si="118"/>
        <v>#REF!</v>
      </c>
      <c r="K303" s="343" t="e">
        <f t="shared" si="118"/>
        <v>#REF!</v>
      </c>
      <c r="L303" s="343">
        <f t="shared" si="118"/>
        <v>11772.2</v>
      </c>
      <c r="M303" s="343">
        <f t="shared" si="118"/>
        <v>11672.6</v>
      </c>
      <c r="N303" s="339">
        <f t="shared" si="107"/>
        <v>99.15393894089465</v>
      </c>
    </row>
    <row r="304" spans="1:14" ht="56.25">
      <c r="A304" s="337" t="s">
        <v>321</v>
      </c>
      <c r="B304" s="338" t="s">
        <v>537</v>
      </c>
      <c r="C304" s="338" t="s">
        <v>315</v>
      </c>
      <c r="D304" s="338" t="s">
        <v>266</v>
      </c>
      <c r="E304" s="357"/>
      <c r="F304" s="357"/>
      <c r="G304" s="343" t="e">
        <f>G305</f>
        <v>#REF!</v>
      </c>
      <c r="H304" s="343" t="e">
        <f aca="true" t="shared" si="119" ref="H304:M305">H305</f>
        <v>#REF!</v>
      </c>
      <c r="I304" s="343" t="e">
        <f t="shared" si="119"/>
        <v>#REF!</v>
      </c>
      <c r="J304" s="343" t="e">
        <f t="shared" si="119"/>
        <v>#REF!</v>
      </c>
      <c r="K304" s="343" t="e">
        <f t="shared" si="119"/>
        <v>#REF!</v>
      </c>
      <c r="L304" s="343">
        <f t="shared" si="119"/>
        <v>11421.1</v>
      </c>
      <c r="M304" s="343">
        <f t="shared" si="119"/>
        <v>11421.1</v>
      </c>
      <c r="N304" s="339">
        <f t="shared" si="107"/>
        <v>100</v>
      </c>
    </row>
    <row r="305" spans="1:14" ht="56.25">
      <c r="A305" s="337" t="s">
        <v>323</v>
      </c>
      <c r="B305" s="338" t="s">
        <v>537</v>
      </c>
      <c r="C305" s="338" t="s">
        <v>315</v>
      </c>
      <c r="D305" s="338" t="s">
        <v>266</v>
      </c>
      <c r="E305" s="338" t="s">
        <v>324</v>
      </c>
      <c r="F305" s="357"/>
      <c r="G305" s="343" t="e">
        <f>G306</f>
        <v>#REF!</v>
      </c>
      <c r="H305" s="343" t="e">
        <f t="shared" si="119"/>
        <v>#REF!</v>
      </c>
      <c r="I305" s="343" t="e">
        <f t="shared" si="119"/>
        <v>#REF!</v>
      </c>
      <c r="J305" s="343" t="e">
        <f t="shared" si="119"/>
        <v>#REF!</v>
      </c>
      <c r="K305" s="343" t="e">
        <f t="shared" si="119"/>
        <v>#REF!</v>
      </c>
      <c r="L305" s="343">
        <f t="shared" si="119"/>
        <v>11421.1</v>
      </c>
      <c r="M305" s="343">
        <f t="shared" si="119"/>
        <v>11421.1</v>
      </c>
      <c r="N305" s="339">
        <f t="shared" si="107"/>
        <v>100</v>
      </c>
    </row>
    <row r="306" spans="1:14" ht="18.75">
      <c r="A306" s="337" t="s">
        <v>325</v>
      </c>
      <c r="B306" s="338" t="s">
        <v>537</v>
      </c>
      <c r="C306" s="338" t="s">
        <v>315</v>
      </c>
      <c r="D306" s="338" t="s">
        <v>266</v>
      </c>
      <c r="E306" s="338" t="s">
        <v>326</v>
      </c>
      <c r="F306" s="357"/>
      <c r="G306" s="343" t="e">
        <f>#REF!</f>
        <v>#REF!</v>
      </c>
      <c r="H306" s="343" t="e">
        <f>#REF!</f>
        <v>#REF!</v>
      </c>
      <c r="I306" s="343" t="e">
        <f>#REF!</f>
        <v>#REF!</v>
      </c>
      <c r="J306" s="343" t="e">
        <f>#REF!</f>
        <v>#REF!</v>
      </c>
      <c r="K306" s="343" t="e">
        <f>#REF!</f>
        <v>#REF!</v>
      </c>
      <c r="L306" s="343">
        <f>'Прил.№4 ведомств.'!G795</f>
        <v>11421.1</v>
      </c>
      <c r="M306" s="343">
        <f>'Прил.№4 ведомств.'!H795</f>
        <v>11421.1</v>
      </c>
      <c r="N306" s="339">
        <f t="shared" si="107"/>
        <v>100</v>
      </c>
    </row>
    <row r="307" spans="1:14" ht="78.75" customHeight="1" hidden="1">
      <c r="A307" s="337" t="s">
        <v>657</v>
      </c>
      <c r="B307" s="338" t="s">
        <v>720</v>
      </c>
      <c r="C307" s="338" t="s">
        <v>315</v>
      </c>
      <c r="D307" s="338" t="s">
        <v>266</v>
      </c>
      <c r="E307" s="338"/>
      <c r="F307" s="357"/>
      <c r="G307" s="343">
        <f>G308</f>
        <v>0</v>
      </c>
      <c r="H307" s="343">
        <f aca="true" t="shared" si="120" ref="H307:M309">H308</f>
        <v>0</v>
      </c>
      <c r="I307" s="343">
        <f t="shared" si="120"/>
        <v>0</v>
      </c>
      <c r="J307" s="343">
        <f t="shared" si="120"/>
        <v>0</v>
      </c>
      <c r="K307" s="343">
        <f t="shared" si="120"/>
        <v>0</v>
      </c>
      <c r="L307" s="343">
        <f t="shared" si="120"/>
        <v>0</v>
      </c>
      <c r="M307" s="343">
        <f t="shared" si="120"/>
        <v>0</v>
      </c>
      <c r="N307" s="339" t="e">
        <f t="shared" si="107"/>
        <v>#DIV/0!</v>
      </c>
    </row>
    <row r="308" spans="1:14" ht="56.25" hidden="1">
      <c r="A308" s="337" t="s">
        <v>323</v>
      </c>
      <c r="B308" s="338" t="s">
        <v>720</v>
      </c>
      <c r="C308" s="338" t="s">
        <v>315</v>
      </c>
      <c r="D308" s="338" t="s">
        <v>266</v>
      </c>
      <c r="E308" s="338" t="s">
        <v>324</v>
      </c>
      <c r="F308" s="357"/>
      <c r="G308" s="343">
        <f>G309</f>
        <v>0</v>
      </c>
      <c r="H308" s="343">
        <f t="shared" si="120"/>
        <v>0</v>
      </c>
      <c r="I308" s="343">
        <f t="shared" si="120"/>
        <v>0</v>
      </c>
      <c r="J308" s="343">
        <f t="shared" si="120"/>
        <v>0</v>
      </c>
      <c r="K308" s="343">
        <f t="shared" si="120"/>
        <v>0</v>
      </c>
      <c r="L308" s="343">
        <f t="shared" si="120"/>
        <v>0</v>
      </c>
      <c r="M308" s="343">
        <f t="shared" si="120"/>
        <v>0</v>
      </c>
      <c r="N308" s="339" t="e">
        <f t="shared" si="107"/>
        <v>#DIV/0!</v>
      </c>
    </row>
    <row r="309" spans="1:14" ht="18.75" hidden="1">
      <c r="A309" s="337" t="s">
        <v>325</v>
      </c>
      <c r="B309" s="338" t="s">
        <v>720</v>
      </c>
      <c r="C309" s="338" t="s">
        <v>315</v>
      </c>
      <c r="D309" s="338" t="s">
        <v>266</v>
      </c>
      <c r="E309" s="338" t="s">
        <v>326</v>
      </c>
      <c r="F309" s="357"/>
      <c r="G309" s="343">
        <f>G310</f>
        <v>0</v>
      </c>
      <c r="H309" s="343">
        <f t="shared" si="120"/>
        <v>0</v>
      </c>
      <c r="I309" s="343">
        <f t="shared" si="120"/>
        <v>0</v>
      </c>
      <c r="J309" s="343">
        <f t="shared" si="120"/>
        <v>0</v>
      </c>
      <c r="K309" s="343">
        <f t="shared" si="120"/>
        <v>0</v>
      </c>
      <c r="L309" s="343">
        <f t="shared" si="120"/>
        <v>0</v>
      </c>
      <c r="M309" s="343">
        <f t="shared" si="120"/>
        <v>0</v>
      </c>
      <c r="N309" s="339" t="e">
        <f t="shared" si="107"/>
        <v>#DIV/0!</v>
      </c>
    </row>
    <row r="310" spans="1:14" ht="37.5" hidden="1">
      <c r="A310" s="359" t="s">
        <v>532</v>
      </c>
      <c r="B310" s="338" t="s">
        <v>720</v>
      </c>
      <c r="C310" s="338" t="s">
        <v>315</v>
      </c>
      <c r="D310" s="338" t="s">
        <v>266</v>
      </c>
      <c r="E310" s="338"/>
      <c r="F310" s="360">
        <v>907</v>
      </c>
      <c r="G310" s="343">
        <f>1500-1500</f>
        <v>0</v>
      </c>
      <c r="H310" s="343">
        <f aca="true" t="shared" si="121" ref="H310:M310">1500-1500</f>
        <v>0</v>
      </c>
      <c r="I310" s="343">
        <f t="shared" si="121"/>
        <v>0</v>
      </c>
      <c r="J310" s="343">
        <f t="shared" si="121"/>
        <v>0</v>
      </c>
      <c r="K310" s="343">
        <f t="shared" si="121"/>
        <v>0</v>
      </c>
      <c r="L310" s="343">
        <f t="shared" si="121"/>
        <v>0</v>
      </c>
      <c r="M310" s="343">
        <f t="shared" si="121"/>
        <v>0</v>
      </c>
      <c r="N310" s="339" t="e">
        <f t="shared" si="107"/>
        <v>#DIV/0!</v>
      </c>
    </row>
    <row r="311" spans="1:14" ht="56.25" hidden="1">
      <c r="A311" s="337" t="s">
        <v>329</v>
      </c>
      <c r="B311" s="338" t="s">
        <v>721</v>
      </c>
      <c r="C311" s="338" t="s">
        <v>315</v>
      </c>
      <c r="D311" s="338" t="s">
        <v>266</v>
      </c>
      <c r="E311" s="338"/>
      <c r="F311" s="357"/>
      <c r="G311" s="343">
        <f>G312</f>
        <v>0</v>
      </c>
      <c r="H311" s="343">
        <f aca="true" t="shared" si="122" ref="H311:M312">H312</f>
        <v>0</v>
      </c>
      <c r="I311" s="343">
        <f t="shared" si="122"/>
        <v>0</v>
      </c>
      <c r="J311" s="343">
        <f t="shared" si="122"/>
        <v>0</v>
      </c>
      <c r="K311" s="343">
        <f t="shared" si="122"/>
        <v>0</v>
      </c>
      <c r="L311" s="343">
        <f t="shared" si="122"/>
        <v>0</v>
      </c>
      <c r="M311" s="343">
        <f t="shared" si="122"/>
        <v>0</v>
      </c>
      <c r="N311" s="339" t="e">
        <f t="shared" si="107"/>
        <v>#DIV/0!</v>
      </c>
    </row>
    <row r="312" spans="1:14" ht="56.25" hidden="1">
      <c r="A312" s="337" t="s">
        <v>323</v>
      </c>
      <c r="B312" s="338" t="s">
        <v>721</v>
      </c>
      <c r="C312" s="338" t="s">
        <v>315</v>
      </c>
      <c r="D312" s="338" t="s">
        <v>266</v>
      </c>
      <c r="E312" s="338" t="s">
        <v>324</v>
      </c>
      <c r="F312" s="357"/>
      <c r="G312" s="343">
        <f>G313</f>
        <v>0</v>
      </c>
      <c r="H312" s="343">
        <f t="shared" si="122"/>
        <v>0</v>
      </c>
      <c r="I312" s="343">
        <f t="shared" si="122"/>
        <v>0</v>
      </c>
      <c r="J312" s="343">
        <f t="shared" si="122"/>
        <v>0</v>
      </c>
      <c r="K312" s="343">
        <f t="shared" si="122"/>
        <v>0</v>
      </c>
      <c r="L312" s="343">
        <f t="shared" si="122"/>
        <v>0</v>
      </c>
      <c r="M312" s="343">
        <f t="shared" si="122"/>
        <v>0</v>
      </c>
      <c r="N312" s="339" t="e">
        <f t="shared" si="107"/>
        <v>#DIV/0!</v>
      </c>
    </row>
    <row r="313" spans="1:14" ht="18.75" hidden="1">
      <c r="A313" s="337" t="s">
        <v>325</v>
      </c>
      <c r="B313" s="338" t="s">
        <v>721</v>
      </c>
      <c r="C313" s="338" t="s">
        <v>315</v>
      </c>
      <c r="D313" s="338" t="s">
        <v>266</v>
      </c>
      <c r="E313" s="338" t="s">
        <v>326</v>
      </c>
      <c r="F313" s="357"/>
      <c r="G313" s="343"/>
      <c r="H313" s="343"/>
      <c r="I313" s="343"/>
      <c r="J313" s="343"/>
      <c r="K313" s="343"/>
      <c r="L313" s="343"/>
      <c r="M313" s="343"/>
      <c r="N313" s="339" t="e">
        <f t="shared" si="107"/>
        <v>#DIV/0!</v>
      </c>
    </row>
    <row r="314" spans="1:14" ht="37.5" hidden="1">
      <c r="A314" s="359" t="s">
        <v>532</v>
      </c>
      <c r="B314" s="338" t="s">
        <v>721</v>
      </c>
      <c r="C314" s="338" t="s">
        <v>315</v>
      </c>
      <c r="D314" s="338" t="s">
        <v>266</v>
      </c>
      <c r="E314" s="338"/>
      <c r="F314" s="360">
        <v>907</v>
      </c>
      <c r="G314" s="343">
        <v>0</v>
      </c>
      <c r="H314" s="343">
        <v>0</v>
      </c>
      <c r="I314" s="343">
        <v>0</v>
      </c>
      <c r="J314" s="343">
        <v>0</v>
      </c>
      <c r="K314" s="343">
        <v>0</v>
      </c>
      <c r="L314" s="343">
        <v>0</v>
      </c>
      <c r="M314" s="343">
        <v>0</v>
      </c>
      <c r="N314" s="339" t="e">
        <f t="shared" si="107"/>
        <v>#DIV/0!</v>
      </c>
    </row>
    <row r="315" spans="1:14" ht="37.5" hidden="1">
      <c r="A315" s="337" t="s">
        <v>331</v>
      </c>
      <c r="B315" s="338" t="s">
        <v>722</v>
      </c>
      <c r="C315" s="338" t="s">
        <v>315</v>
      </c>
      <c r="D315" s="338" t="s">
        <v>266</v>
      </c>
      <c r="E315" s="338"/>
      <c r="F315" s="357"/>
      <c r="G315" s="343">
        <f>G316</f>
        <v>0</v>
      </c>
      <c r="H315" s="343">
        <f aca="true" t="shared" si="123" ref="H315:M316">H316</f>
        <v>0</v>
      </c>
      <c r="I315" s="343">
        <f t="shared" si="123"/>
        <v>0</v>
      </c>
      <c r="J315" s="343">
        <f t="shared" si="123"/>
        <v>0</v>
      </c>
      <c r="K315" s="343">
        <f t="shared" si="123"/>
        <v>0</v>
      </c>
      <c r="L315" s="343">
        <f t="shared" si="123"/>
        <v>0</v>
      </c>
      <c r="M315" s="343">
        <f t="shared" si="123"/>
        <v>0</v>
      </c>
      <c r="N315" s="339" t="e">
        <f t="shared" si="107"/>
        <v>#DIV/0!</v>
      </c>
    </row>
    <row r="316" spans="1:14" ht="56.25" hidden="1">
      <c r="A316" s="337" t="s">
        <v>323</v>
      </c>
      <c r="B316" s="338" t="s">
        <v>722</v>
      </c>
      <c r="C316" s="338" t="s">
        <v>315</v>
      </c>
      <c r="D316" s="338" t="s">
        <v>266</v>
      </c>
      <c r="E316" s="338" t="s">
        <v>324</v>
      </c>
      <c r="F316" s="357"/>
      <c r="G316" s="343">
        <f>G317</f>
        <v>0</v>
      </c>
      <c r="H316" s="343">
        <f t="shared" si="123"/>
        <v>0</v>
      </c>
      <c r="I316" s="343">
        <f t="shared" si="123"/>
        <v>0</v>
      </c>
      <c r="J316" s="343">
        <f t="shared" si="123"/>
        <v>0</v>
      </c>
      <c r="K316" s="343">
        <f t="shared" si="123"/>
        <v>0</v>
      </c>
      <c r="L316" s="343">
        <f t="shared" si="123"/>
        <v>0</v>
      </c>
      <c r="M316" s="343">
        <f t="shared" si="123"/>
        <v>0</v>
      </c>
      <c r="N316" s="339" t="e">
        <f t="shared" si="107"/>
        <v>#DIV/0!</v>
      </c>
    </row>
    <row r="317" spans="1:14" ht="18.75" hidden="1">
      <c r="A317" s="337" t="s">
        <v>325</v>
      </c>
      <c r="B317" s="338" t="s">
        <v>722</v>
      </c>
      <c r="C317" s="338" t="s">
        <v>315</v>
      </c>
      <c r="D317" s="338" t="s">
        <v>266</v>
      </c>
      <c r="E317" s="338" t="s">
        <v>326</v>
      </c>
      <c r="F317" s="357"/>
      <c r="G317" s="343"/>
      <c r="H317" s="343"/>
      <c r="I317" s="343"/>
      <c r="J317" s="343"/>
      <c r="K317" s="343"/>
      <c r="L317" s="343"/>
      <c r="M317" s="343"/>
      <c r="N317" s="339" t="e">
        <f t="shared" si="107"/>
        <v>#DIV/0!</v>
      </c>
    </row>
    <row r="318" spans="1:14" ht="37.5" hidden="1">
      <c r="A318" s="359" t="s">
        <v>532</v>
      </c>
      <c r="B318" s="338" t="s">
        <v>722</v>
      </c>
      <c r="C318" s="338" t="s">
        <v>315</v>
      </c>
      <c r="D318" s="338" t="s">
        <v>266</v>
      </c>
      <c r="E318" s="338"/>
      <c r="F318" s="360">
        <v>907</v>
      </c>
      <c r="G318" s="343">
        <v>0</v>
      </c>
      <c r="H318" s="343">
        <v>0</v>
      </c>
      <c r="I318" s="343">
        <v>0</v>
      </c>
      <c r="J318" s="343">
        <v>0</v>
      </c>
      <c r="K318" s="343">
        <v>0</v>
      </c>
      <c r="L318" s="343">
        <v>0</v>
      </c>
      <c r="M318" s="343">
        <v>0</v>
      </c>
      <c r="N318" s="339" t="e">
        <f t="shared" si="107"/>
        <v>#DIV/0!</v>
      </c>
    </row>
    <row r="319" spans="1:14" ht="56.25">
      <c r="A319" s="337" t="s">
        <v>333</v>
      </c>
      <c r="B319" s="338" t="s">
        <v>540</v>
      </c>
      <c r="C319" s="338" t="s">
        <v>315</v>
      </c>
      <c r="D319" s="338" t="s">
        <v>266</v>
      </c>
      <c r="E319" s="338"/>
      <c r="F319" s="357"/>
      <c r="G319" s="343" t="e">
        <f>G320</f>
        <v>#REF!</v>
      </c>
      <c r="H319" s="343" t="e">
        <f aca="true" t="shared" si="124" ref="H319:M320">H320</f>
        <v>#REF!</v>
      </c>
      <c r="I319" s="343" t="e">
        <f t="shared" si="124"/>
        <v>#REF!</v>
      </c>
      <c r="J319" s="343" t="e">
        <f t="shared" si="124"/>
        <v>#REF!</v>
      </c>
      <c r="K319" s="343" t="e">
        <f t="shared" si="124"/>
        <v>#REF!</v>
      </c>
      <c r="L319" s="343">
        <f t="shared" si="124"/>
        <v>36</v>
      </c>
      <c r="M319" s="343">
        <f t="shared" si="124"/>
        <v>36</v>
      </c>
      <c r="N319" s="339">
        <f t="shared" si="107"/>
        <v>100</v>
      </c>
    </row>
    <row r="320" spans="1:14" ht="56.25">
      <c r="A320" s="337" t="s">
        <v>323</v>
      </c>
      <c r="B320" s="338" t="s">
        <v>540</v>
      </c>
      <c r="C320" s="338" t="s">
        <v>315</v>
      </c>
      <c r="D320" s="338" t="s">
        <v>266</v>
      </c>
      <c r="E320" s="338" t="s">
        <v>324</v>
      </c>
      <c r="F320" s="357"/>
      <c r="G320" s="343" t="e">
        <f>G321</f>
        <v>#REF!</v>
      </c>
      <c r="H320" s="343" t="e">
        <f t="shared" si="124"/>
        <v>#REF!</v>
      </c>
      <c r="I320" s="343" t="e">
        <f t="shared" si="124"/>
        <v>#REF!</v>
      </c>
      <c r="J320" s="343" t="e">
        <f t="shared" si="124"/>
        <v>#REF!</v>
      </c>
      <c r="K320" s="343" t="e">
        <f t="shared" si="124"/>
        <v>#REF!</v>
      </c>
      <c r="L320" s="343">
        <f t="shared" si="124"/>
        <v>36</v>
      </c>
      <c r="M320" s="343">
        <f t="shared" si="124"/>
        <v>36</v>
      </c>
      <c r="N320" s="339">
        <f t="shared" si="107"/>
        <v>100</v>
      </c>
    </row>
    <row r="321" spans="1:14" ht="18.75">
      <c r="A321" s="337" t="s">
        <v>325</v>
      </c>
      <c r="B321" s="338" t="s">
        <v>540</v>
      </c>
      <c r="C321" s="338" t="s">
        <v>315</v>
      </c>
      <c r="D321" s="338" t="s">
        <v>266</v>
      </c>
      <c r="E321" s="338" t="s">
        <v>326</v>
      </c>
      <c r="F321" s="357"/>
      <c r="G321" s="343" t="e">
        <f>#REF!</f>
        <v>#REF!</v>
      </c>
      <c r="H321" s="343" t="e">
        <f>#REF!</f>
        <v>#REF!</v>
      </c>
      <c r="I321" s="343" t="e">
        <f>#REF!</f>
        <v>#REF!</v>
      </c>
      <c r="J321" s="343" t="e">
        <f>#REF!</f>
        <v>#REF!</v>
      </c>
      <c r="K321" s="343" t="e">
        <f>#REF!</f>
        <v>#REF!</v>
      </c>
      <c r="L321" s="343">
        <f>'Прил.№4 ведомств.'!G804</f>
        <v>36</v>
      </c>
      <c r="M321" s="343">
        <f>'Прил.№4 ведомств.'!H804</f>
        <v>36</v>
      </c>
      <c r="N321" s="339">
        <f t="shared" si="107"/>
        <v>100</v>
      </c>
    </row>
    <row r="322" spans="1:14" ht="37.5" hidden="1">
      <c r="A322" s="340" t="s">
        <v>335</v>
      </c>
      <c r="B322" s="344" t="s">
        <v>541</v>
      </c>
      <c r="C322" s="338" t="s">
        <v>315</v>
      </c>
      <c r="D322" s="338" t="s">
        <v>266</v>
      </c>
      <c r="E322" s="338"/>
      <c r="F322" s="357"/>
      <c r="G322" s="343" t="e">
        <f>G323</f>
        <v>#REF!</v>
      </c>
      <c r="H322" s="343" t="e">
        <f aca="true" t="shared" si="125" ref="H322:M323">H323</f>
        <v>#REF!</v>
      </c>
      <c r="I322" s="343" t="e">
        <f t="shared" si="125"/>
        <v>#REF!</v>
      </c>
      <c r="J322" s="343" t="e">
        <f t="shared" si="125"/>
        <v>#REF!</v>
      </c>
      <c r="K322" s="343" t="e">
        <f t="shared" si="125"/>
        <v>#REF!</v>
      </c>
      <c r="L322" s="343">
        <f t="shared" si="125"/>
        <v>0</v>
      </c>
      <c r="M322" s="343">
        <f t="shared" si="125"/>
        <v>0</v>
      </c>
      <c r="N322" s="339" t="e">
        <f t="shared" si="107"/>
        <v>#DIV/0!</v>
      </c>
    </row>
    <row r="323" spans="1:14" ht="56.25" hidden="1">
      <c r="A323" s="340" t="s">
        <v>323</v>
      </c>
      <c r="B323" s="344" t="s">
        <v>541</v>
      </c>
      <c r="C323" s="338" t="s">
        <v>315</v>
      </c>
      <c r="D323" s="338" t="s">
        <v>266</v>
      </c>
      <c r="E323" s="338" t="s">
        <v>324</v>
      </c>
      <c r="F323" s="357"/>
      <c r="G323" s="343" t="e">
        <f>G324</f>
        <v>#REF!</v>
      </c>
      <c r="H323" s="343" t="e">
        <f t="shared" si="125"/>
        <v>#REF!</v>
      </c>
      <c r="I323" s="343" t="e">
        <f t="shared" si="125"/>
        <v>#REF!</v>
      </c>
      <c r="J323" s="343" t="e">
        <f t="shared" si="125"/>
        <v>#REF!</v>
      </c>
      <c r="K323" s="343" t="e">
        <f t="shared" si="125"/>
        <v>#REF!</v>
      </c>
      <c r="L323" s="343">
        <f t="shared" si="125"/>
        <v>0</v>
      </c>
      <c r="M323" s="343">
        <f t="shared" si="125"/>
        <v>0</v>
      </c>
      <c r="N323" s="339" t="e">
        <f t="shared" si="107"/>
        <v>#DIV/0!</v>
      </c>
    </row>
    <row r="324" spans="1:14" ht="18.75" hidden="1">
      <c r="A324" s="340" t="s">
        <v>325</v>
      </c>
      <c r="B324" s="344" t="s">
        <v>541</v>
      </c>
      <c r="C324" s="338" t="s">
        <v>315</v>
      </c>
      <c r="D324" s="338" t="s">
        <v>266</v>
      </c>
      <c r="E324" s="338" t="s">
        <v>326</v>
      </c>
      <c r="F324" s="357"/>
      <c r="G324" s="343" t="e">
        <f>#REF!</f>
        <v>#REF!</v>
      </c>
      <c r="H324" s="343" t="e">
        <f>#REF!</f>
        <v>#REF!</v>
      </c>
      <c r="I324" s="343" t="e">
        <f>#REF!</f>
        <v>#REF!</v>
      </c>
      <c r="J324" s="343" t="e">
        <f>#REF!</f>
        <v>#REF!</v>
      </c>
      <c r="K324" s="343" t="e">
        <f>#REF!</f>
        <v>#REF!</v>
      </c>
      <c r="L324" s="343">
        <f>'Прил.№4 ведомств.'!G807</f>
        <v>0</v>
      </c>
      <c r="M324" s="343">
        <f>'Прил.№4 ведомств.'!H807</f>
        <v>0</v>
      </c>
      <c r="N324" s="339" t="e">
        <f t="shared" si="107"/>
        <v>#DIV/0!</v>
      </c>
    </row>
    <row r="325" spans="1:14" ht="56.25">
      <c r="A325" s="341" t="s">
        <v>857</v>
      </c>
      <c r="B325" s="344" t="s">
        <v>864</v>
      </c>
      <c r="C325" s="338" t="s">
        <v>315</v>
      </c>
      <c r="D325" s="338" t="s">
        <v>266</v>
      </c>
      <c r="E325" s="338"/>
      <c r="F325" s="357"/>
      <c r="G325" s="343" t="e">
        <f>G326</f>
        <v>#REF!</v>
      </c>
      <c r="H325" s="343" t="e">
        <f aca="true" t="shared" si="126" ref="H325:M326">H326</f>
        <v>#REF!</v>
      </c>
      <c r="I325" s="343" t="e">
        <f t="shared" si="126"/>
        <v>#REF!</v>
      </c>
      <c r="J325" s="343" t="e">
        <f t="shared" si="126"/>
        <v>#REF!</v>
      </c>
      <c r="K325" s="343" t="e">
        <f t="shared" si="126"/>
        <v>#REF!</v>
      </c>
      <c r="L325" s="343">
        <f t="shared" si="126"/>
        <v>315.1</v>
      </c>
      <c r="M325" s="343">
        <f t="shared" si="126"/>
        <v>215.5</v>
      </c>
      <c r="N325" s="339">
        <f t="shared" si="107"/>
        <v>68.3909869882577</v>
      </c>
    </row>
    <row r="326" spans="1:14" ht="56.25">
      <c r="A326" s="350" t="s">
        <v>323</v>
      </c>
      <c r="B326" s="344" t="s">
        <v>864</v>
      </c>
      <c r="C326" s="338" t="s">
        <v>315</v>
      </c>
      <c r="D326" s="338" t="s">
        <v>266</v>
      </c>
      <c r="E326" s="338" t="s">
        <v>324</v>
      </c>
      <c r="F326" s="357"/>
      <c r="G326" s="343" t="e">
        <f>G327</f>
        <v>#REF!</v>
      </c>
      <c r="H326" s="343" t="e">
        <f t="shared" si="126"/>
        <v>#REF!</v>
      </c>
      <c r="I326" s="343" t="e">
        <f t="shared" si="126"/>
        <v>#REF!</v>
      </c>
      <c r="J326" s="343" t="e">
        <f t="shared" si="126"/>
        <v>#REF!</v>
      </c>
      <c r="K326" s="343" t="e">
        <f t="shared" si="126"/>
        <v>#REF!</v>
      </c>
      <c r="L326" s="343">
        <f t="shared" si="126"/>
        <v>315.1</v>
      </c>
      <c r="M326" s="343">
        <f t="shared" si="126"/>
        <v>215.5</v>
      </c>
      <c r="N326" s="339">
        <f t="shared" si="107"/>
        <v>68.3909869882577</v>
      </c>
    </row>
    <row r="327" spans="1:14" ht="18.75">
      <c r="A327" s="350" t="s">
        <v>325</v>
      </c>
      <c r="B327" s="344" t="s">
        <v>864</v>
      </c>
      <c r="C327" s="338" t="s">
        <v>315</v>
      </c>
      <c r="D327" s="338" t="s">
        <v>266</v>
      </c>
      <c r="E327" s="338" t="s">
        <v>326</v>
      </c>
      <c r="F327" s="357"/>
      <c r="G327" s="343" t="e">
        <f>#REF!</f>
        <v>#REF!</v>
      </c>
      <c r="H327" s="343" t="e">
        <f>#REF!</f>
        <v>#REF!</v>
      </c>
      <c r="I327" s="343" t="e">
        <f>#REF!</f>
        <v>#REF!</v>
      </c>
      <c r="J327" s="343" t="e">
        <f>#REF!</f>
        <v>#REF!</v>
      </c>
      <c r="K327" s="343" t="e">
        <f>#REF!</f>
        <v>#REF!</v>
      </c>
      <c r="L327" s="343">
        <f>'Прил.№4 ведомств.'!G810</f>
        <v>315.1</v>
      </c>
      <c r="M327" s="343">
        <f>'Прил.№4 ведомств.'!H810</f>
        <v>215.5</v>
      </c>
      <c r="N327" s="339">
        <f t="shared" si="107"/>
        <v>68.3909869882577</v>
      </c>
    </row>
    <row r="328" spans="1:14" ht="58.5" customHeight="1">
      <c r="A328" s="361" t="s">
        <v>532</v>
      </c>
      <c r="B328" s="338" t="s">
        <v>536</v>
      </c>
      <c r="C328" s="338" t="s">
        <v>315</v>
      </c>
      <c r="D328" s="338" t="s">
        <v>266</v>
      </c>
      <c r="E328" s="338"/>
      <c r="F328" s="360">
        <v>907</v>
      </c>
      <c r="G328" s="343" t="e">
        <f aca="true" t="shared" si="127" ref="G328:M328">G301</f>
        <v>#REF!</v>
      </c>
      <c r="H328" s="343" t="e">
        <f t="shared" si="127"/>
        <v>#REF!</v>
      </c>
      <c r="I328" s="343" t="e">
        <f t="shared" si="127"/>
        <v>#REF!</v>
      </c>
      <c r="J328" s="343" t="e">
        <f t="shared" si="127"/>
        <v>#REF!</v>
      </c>
      <c r="K328" s="343" t="e">
        <f t="shared" si="127"/>
        <v>#REF!</v>
      </c>
      <c r="L328" s="343">
        <f t="shared" si="127"/>
        <v>11772.2</v>
      </c>
      <c r="M328" s="343">
        <f t="shared" si="127"/>
        <v>11672.6</v>
      </c>
      <c r="N328" s="339">
        <f t="shared" si="107"/>
        <v>99.15393894089465</v>
      </c>
    </row>
    <row r="329" spans="1:14" ht="75">
      <c r="A329" s="334" t="s">
        <v>545</v>
      </c>
      <c r="B329" s="335" t="s">
        <v>546</v>
      </c>
      <c r="C329" s="335"/>
      <c r="D329" s="335"/>
      <c r="E329" s="335"/>
      <c r="F329" s="356"/>
      <c r="G329" s="342" t="e">
        <f>G330</f>
        <v>#REF!</v>
      </c>
      <c r="H329" s="342" t="e">
        <f aca="true" t="shared" si="128" ref="H329:M330">H330</f>
        <v>#REF!</v>
      </c>
      <c r="I329" s="342" t="e">
        <f t="shared" si="128"/>
        <v>#REF!</v>
      </c>
      <c r="J329" s="342" t="e">
        <f t="shared" si="128"/>
        <v>#REF!</v>
      </c>
      <c r="K329" s="342" t="e">
        <f t="shared" si="128"/>
        <v>#REF!</v>
      </c>
      <c r="L329" s="342">
        <f t="shared" si="128"/>
        <v>36975</v>
      </c>
      <c r="M329" s="342">
        <f t="shared" si="128"/>
        <v>36860.6</v>
      </c>
      <c r="N329" s="336">
        <f t="shared" si="107"/>
        <v>99.69060175794455</v>
      </c>
    </row>
    <row r="330" spans="1:14" ht="18.75">
      <c r="A330" s="337" t="s">
        <v>542</v>
      </c>
      <c r="B330" s="338" t="s">
        <v>546</v>
      </c>
      <c r="C330" s="360">
        <v>11</v>
      </c>
      <c r="D330" s="357"/>
      <c r="E330" s="357"/>
      <c r="F330" s="357"/>
      <c r="G330" s="343" t="e">
        <f>G331</f>
        <v>#REF!</v>
      </c>
      <c r="H330" s="343" t="e">
        <f t="shared" si="128"/>
        <v>#REF!</v>
      </c>
      <c r="I330" s="343" t="e">
        <f t="shared" si="128"/>
        <v>#REF!</v>
      </c>
      <c r="J330" s="343" t="e">
        <f t="shared" si="128"/>
        <v>#REF!</v>
      </c>
      <c r="K330" s="343" t="e">
        <f t="shared" si="128"/>
        <v>#REF!</v>
      </c>
      <c r="L330" s="343">
        <f t="shared" si="128"/>
        <v>36975</v>
      </c>
      <c r="M330" s="343">
        <f t="shared" si="128"/>
        <v>36860.6</v>
      </c>
      <c r="N330" s="339">
        <f t="shared" si="107"/>
        <v>99.69060175794455</v>
      </c>
    </row>
    <row r="331" spans="1:14" ht="20.25" customHeight="1">
      <c r="A331" s="337" t="s">
        <v>544</v>
      </c>
      <c r="B331" s="338" t="s">
        <v>546</v>
      </c>
      <c r="C331" s="338" t="s">
        <v>543</v>
      </c>
      <c r="D331" s="338" t="s">
        <v>169</v>
      </c>
      <c r="E331" s="362"/>
      <c r="F331" s="331"/>
      <c r="G331" s="343" t="e">
        <f aca="true" t="shared" si="129" ref="G331:M331">G332+G336+G340+G343+G346+G349</f>
        <v>#REF!</v>
      </c>
      <c r="H331" s="343" t="e">
        <f t="shared" si="129"/>
        <v>#REF!</v>
      </c>
      <c r="I331" s="343" t="e">
        <f t="shared" si="129"/>
        <v>#REF!</v>
      </c>
      <c r="J331" s="343" t="e">
        <f t="shared" si="129"/>
        <v>#REF!</v>
      </c>
      <c r="K331" s="343" t="e">
        <f t="shared" si="129"/>
        <v>#REF!</v>
      </c>
      <c r="L331" s="343">
        <f t="shared" si="129"/>
        <v>36975</v>
      </c>
      <c r="M331" s="343">
        <f t="shared" si="129"/>
        <v>36860.6</v>
      </c>
      <c r="N331" s="339">
        <f aca="true" t="shared" si="130" ref="N331:N394">M331/L331*100</f>
        <v>99.69060175794455</v>
      </c>
    </row>
    <row r="332" spans="1:14" ht="56.25">
      <c r="A332" s="337" t="s">
        <v>547</v>
      </c>
      <c r="B332" s="338" t="s">
        <v>548</v>
      </c>
      <c r="C332" s="338" t="s">
        <v>543</v>
      </c>
      <c r="D332" s="338" t="s">
        <v>169</v>
      </c>
      <c r="E332" s="362"/>
      <c r="F332" s="331"/>
      <c r="G332" s="343" t="e">
        <f>G333</f>
        <v>#REF!</v>
      </c>
      <c r="H332" s="343" t="e">
        <f aca="true" t="shared" si="131" ref="H332:M333">H333</f>
        <v>#REF!</v>
      </c>
      <c r="I332" s="343" t="e">
        <f t="shared" si="131"/>
        <v>#REF!</v>
      </c>
      <c r="J332" s="343" t="e">
        <f t="shared" si="131"/>
        <v>#REF!</v>
      </c>
      <c r="K332" s="343" t="e">
        <f t="shared" si="131"/>
        <v>#REF!</v>
      </c>
      <c r="L332" s="343">
        <f t="shared" si="131"/>
        <v>35934.9</v>
      </c>
      <c r="M332" s="343">
        <f t="shared" si="131"/>
        <v>35934.9</v>
      </c>
      <c r="N332" s="339">
        <f t="shared" si="130"/>
        <v>100</v>
      </c>
    </row>
    <row r="333" spans="1:14" ht="56.25">
      <c r="A333" s="337" t="s">
        <v>323</v>
      </c>
      <c r="B333" s="338" t="s">
        <v>548</v>
      </c>
      <c r="C333" s="338" t="s">
        <v>543</v>
      </c>
      <c r="D333" s="338" t="s">
        <v>169</v>
      </c>
      <c r="E333" s="338" t="s">
        <v>324</v>
      </c>
      <c r="F333" s="331"/>
      <c r="G333" s="343" t="e">
        <f>G334</f>
        <v>#REF!</v>
      </c>
      <c r="H333" s="343" t="e">
        <f t="shared" si="131"/>
        <v>#REF!</v>
      </c>
      <c r="I333" s="343" t="e">
        <f t="shared" si="131"/>
        <v>#REF!</v>
      </c>
      <c r="J333" s="343" t="e">
        <f t="shared" si="131"/>
        <v>#REF!</v>
      </c>
      <c r="K333" s="343" t="e">
        <f t="shared" si="131"/>
        <v>#REF!</v>
      </c>
      <c r="L333" s="343">
        <f t="shared" si="131"/>
        <v>35934.9</v>
      </c>
      <c r="M333" s="343">
        <f t="shared" si="131"/>
        <v>35934.9</v>
      </c>
      <c r="N333" s="339">
        <f t="shared" si="130"/>
        <v>100</v>
      </c>
    </row>
    <row r="334" spans="1:14" ht="18.75">
      <c r="A334" s="337" t="s">
        <v>325</v>
      </c>
      <c r="B334" s="338" t="s">
        <v>548</v>
      </c>
      <c r="C334" s="338" t="s">
        <v>543</v>
      </c>
      <c r="D334" s="338" t="s">
        <v>169</v>
      </c>
      <c r="E334" s="338" t="s">
        <v>326</v>
      </c>
      <c r="F334" s="331"/>
      <c r="G334" s="343" t="e">
        <f>#REF!</f>
        <v>#REF!</v>
      </c>
      <c r="H334" s="343" t="e">
        <f>#REF!</f>
        <v>#REF!</v>
      </c>
      <c r="I334" s="343" t="e">
        <f>#REF!</f>
        <v>#REF!</v>
      </c>
      <c r="J334" s="343" t="e">
        <f>#REF!</f>
        <v>#REF!</v>
      </c>
      <c r="K334" s="343" t="e">
        <f>#REF!</f>
        <v>#REF!</v>
      </c>
      <c r="L334" s="343">
        <f>'Прил.№4 ведомств.'!G828</f>
        <v>35934.9</v>
      </c>
      <c r="M334" s="343">
        <f>'Прил.№4 ведомств.'!H828</f>
        <v>35934.9</v>
      </c>
      <c r="N334" s="339">
        <f t="shared" si="130"/>
        <v>100</v>
      </c>
    </row>
    <row r="335" spans="1:14" ht="37.5" hidden="1">
      <c r="A335" s="359" t="s">
        <v>532</v>
      </c>
      <c r="B335" s="338" t="s">
        <v>546</v>
      </c>
      <c r="C335" s="338" t="s">
        <v>543</v>
      </c>
      <c r="D335" s="338" t="s">
        <v>169</v>
      </c>
      <c r="E335" s="338"/>
      <c r="F335" s="331">
        <v>907</v>
      </c>
      <c r="G335" s="343" t="e">
        <f aca="true" t="shared" si="132" ref="G335:M335">G329</f>
        <v>#REF!</v>
      </c>
      <c r="H335" s="343" t="e">
        <f t="shared" si="132"/>
        <v>#REF!</v>
      </c>
      <c r="I335" s="343" t="e">
        <f t="shared" si="132"/>
        <v>#REF!</v>
      </c>
      <c r="J335" s="343" t="e">
        <f t="shared" si="132"/>
        <v>#REF!</v>
      </c>
      <c r="K335" s="343" t="e">
        <f t="shared" si="132"/>
        <v>#REF!</v>
      </c>
      <c r="L335" s="343">
        <f t="shared" si="132"/>
        <v>36975</v>
      </c>
      <c r="M335" s="343">
        <f t="shared" si="132"/>
        <v>36860.6</v>
      </c>
      <c r="N335" s="339">
        <f t="shared" si="130"/>
        <v>99.69060175794455</v>
      </c>
    </row>
    <row r="336" spans="1:14" ht="56.25" hidden="1">
      <c r="A336" s="337" t="s">
        <v>657</v>
      </c>
      <c r="B336" s="338" t="s">
        <v>723</v>
      </c>
      <c r="C336" s="338" t="s">
        <v>543</v>
      </c>
      <c r="D336" s="338" t="s">
        <v>169</v>
      </c>
      <c r="E336" s="338"/>
      <c r="F336" s="331"/>
      <c r="G336" s="343">
        <f>G337</f>
        <v>0</v>
      </c>
      <c r="H336" s="343">
        <f aca="true" t="shared" si="133" ref="H336:M338">H337</f>
        <v>0</v>
      </c>
      <c r="I336" s="343">
        <f t="shared" si="133"/>
        <v>0</v>
      </c>
      <c r="J336" s="343">
        <f t="shared" si="133"/>
        <v>0</v>
      </c>
      <c r="K336" s="343">
        <f t="shared" si="133"/>
        <v>0</v>
      </c>
      <c r="L336" s="343">
        <f t="shared" si="133"/>
        <v>0</v>
      </c>
      <c r="M336" s="343">
        <f t="shared" si="133"/>
        <v>0</v>
      </c>
      <c r="N336" s="339" t="e">
        <f t="shared" si="130"/>
        <v>#DIV/0!</v>
      </c>
    </row>
    <row r="337" spans="1:14" ht="56.25" hidden="1">
      <c r="A337" s="337" t="s">
        <v>323</v>
      </c>
      <c r="B337" s="338" t="s">
        <v>723</v>
      </c>
      <c r="C337" s="338" t="s">
        <v>543</v>
      </c>
      <c r="D337" s="338" t="s">
        <v>169</v>
      </c>
      <c r="E337" s="338" t="s">
        <v>324</v>
      </c>
      <c r="F337" s="331"/>
      <c r="G337" s="343">
        <f>G338</f>
        <v>0</v>
      </c>
      <c r="H337" s="343">
        <f t="shared" si="133"/>
        <v>0</v>
      </c>
      <c r="I337" s="343">
        <f t="shared" si="133"/>
        <v>0</v>
      </c>
      <c r="J337" s="343">
        <f t="shared" si="133"/>
        <v>0</v>
      </c>
      <c r="K337" s="343">
        <f t="shared" si="133"/>
        <v>0</v>
      </c>
      <c r="L337" s="343">
        <f t="shared" si="133"/>
        <v>0</v>
      </c>
      <c r="M337" s="343">
        <f t="shared" si="133"/>
        <v>0</v>
      </c>
      <c r="N337" s="339" t="e">
        <f t="shared" si="130"/>
        <v>#DIV/0!</v>
      </c>
    </row>
    <row r="338" spans="1:14" ht="18.75" hidden="1">
      <c r="A338" s="337" t="s">
        <v>325</v>
      </c>
      <c r="B338" s="338" t="s">
        <v>723</v>
      </c>
      <c r="C338" s="338" t="s">
        <v>543</v>
      </c>
      <c r="D338" s="338" t="s">
        <v>169</v>
      </c>
      <c r="E338" s="338" t="s">
        <v>326</v>
      </c>
      <c r="F338" s="331"/>
      <c r="G338" s="343">
        <f>G339</f>
        <v>0</v>
      </c>
      <c r="H338" s="343">
        <f t="shared" si="133"/>
        <v>0</v>
      </c>
      <c r="I338" s="343">
        <f t="shared" si="133"/>
        <v>0</v>
      </c>
      <c r="J338" s="343">
        <f t="shared" si="133"/>
        <v>0</v>
      </c>
      <c r="K338" s="343">
        <f t="shared" si="133"/>
        <v>0</v>
      </c>
      <c r="L338" s="343">
        <f t="shared" si="133"/>
        <v>0</v>
      </c>
      <c r="M338" s="343">
        <f t="shared" si="133"/>
        <v>0</v>
      </c>
      <c r="N338" s="339" t="e">
        <f t="shared" si="130"/>
        <v>#DIV/0!</v>
      </c>
    </row>
    <row r="339" spans="1:14" ht="37.5" hidden="1">
      <c r="A339" s="361" t="s">
        <v>532</v>
      </c>
      <c r="B339" s="338" t="s">
        <v>723</v>
      </c>
      <c r="C339" s="338" t="s">
        <v>543</v>
      </c>
      <c r="D339" s="338" t="s">
        <v>169</v>
      </c>
      <c r="E339" s="338"/>
      <c r="F339" s="331">
        <v>907</v>
      </c>
      <c r="G339" s="343">
        <f>1500-1500</f>
        <v>0</v>
      </c>
      <c r="H339" s="343">
        <f aca="true" t="shared" si="134" ref="H339:M339">1500-1500</f>
        <v>0</v>
      </c>
      <c r="I339" s="343">
        <f t="shared" si="134"/>
        <v>0</v>
      </c>
      <c r="J339" s="343">
        <f t="shared" si="134"/>
        <v>0</v>
      </c>
      <c r="K339" s="343">
        <f t="shared" si="134"/>
        <v>0</v>
      </c>
      <c r="L339" s="343">
        <f t="shared" si="134"/>
        <v>0</v>
      </c>
      <c r="M339" s="343">
        <f t="shared" si="134"/>
        <v>0</v>
      </c>
      <c r="N339" s="339" t="e">
        <f t="shared" si="130"/>
        <v>#DIV/0!</v>
      </c>
    </row>
    <row r="340" spans="1:14" ht="56.25">
      <c r="A340" s="337" t="s">
        <v>329</v>
      </c>
      <c r="B340" s="338" t="s">
        <v>549</v>
      </c>
      <c r="C340" s="338" t="s">
        <v>543</v>
      </c>
      <c r="D340" s="338" t="s">
        <v>169</v>
      </c>
      <c r="E340" s="338"/>
      <c r="F340" s="331"/>
      <c r="G340" s="343" t="e">
        <f>G341</f>
        <v>#REF!</v>
      </c>
      <c r="H340" s="343" t="e">
        <f aca="true" t="shared" si="135" ref="H340:M341">H341</f>
        <v>#REF!</v>
      </c>
      <c r="I340" s="343" t="e">
        <f t="shared" si="135"/>
        <v>#REF!</v>
      </c>
      <c r="J340" s="343" t="e">
        <f t="shared" si="135"/>
        <v>#REF!</v>
      </c>
      <c r="K340" s="343" t="e">
        <f t="shared" si="135"/>
        <v>#REF!</v>
      </c>
      <c r="L340" s="343">
        <f t="shared" si="135"/>
        <v>398.7</v>
      </c>
      <c r="M340" s="343">
        <f t="shared" si="135"/>
        <v>398.7</v>
      </c>
      <c r="N340" s="339">
        <f t="shared" si="130"/>
        <v>100</v>
      </c>
    </row>
    <row r="341" spans="1:14" ht="56.25">
      <c r="A341" s="337" t="s">
        <v>323</v>
      </c>
      <c r="B341" s="338" t="s">
        <v>549</v>
      </c>
      <c r="C341" s="338" t="s">
        <v>543</v>
      </c>
      <c r="D341" s="338" t="s">
        <v>169</v>
      </c>
      <c r="E341" s="338" t="s">
        <v>324</v>
      </c>
      <c r="F341" s="331"/>
      <c r="G341" s="343" t="e">
        <f>G342</f>
        <v>#REF!</v>
      </c>
      <c r="H341" s="343" t="e">
        <f t="shared" si="135"/>
        <v>#REF!</v>
      </c>
      <c r="I341" s="343" t="e">
        <f t="shared" si="135"/>
        <v>#REF!</v>
      </c>
      <c r="J341" s="343" t="e">
        <f t="shared" si="135"/>
        <v>#REF!</v>
      </c>
      <c r="K341" s="343" t="e">
        <f t="shared" si="135"/>
        <v>#REF!</v>
      </c>
      <c r="L341" s="343">
        <f t="shared" si="135"/>
        <v>398.7</v>
      </c>
      <c r="M341" s="343">
        <f t="shared" si="135"/>
        <v>398.7</v>
      </c>
      <c r="N341" s="339">
        <f t="shared" si="130"/>
        <v>100</v>
      </c>
    </row>
    <row r="342" spans="1:14" ht="18.75">
      <c r="A342" s="337" t="s">
        <v>325</v>
      </c>
      <c r="B342" s="338" t="s">
        <v>549</v>
      </c>
      <c r="C342" s="338" t="s">
        <v>543</v>
      </c>
      <c r="D342" s="338" t="s">
        <v>169</v>
      </c>
      <c r="E342" s="338" t="s">
        <v>326</v>
      </c>
      <c r="F342" s="331"/>
      <c r="G342" s="343" t="e">
        <f>#REF!</f>
        <v>#REF!</v>
      </c>
      <c r="H342" s="343" t="e">
        <f>#REF!</f>
        <v>#REF!</v>
      </c>
      <c r="I342" s="343" t="e">
        <f>#REF!</f>
        <v>#REF!</v>
      </c>
      <c r="J342" s="343" t="e">
        <f>#REF!</f>
        <v>#REF!</v>
      </c>
      <c r="K342" s="343" t="e">
        <f>#REF!</f>
        <v>#REF!</v>
      </c>
      <c r="L342" s="343">
        <f>'Прил.№4 ведомств.'!G831</f>
        <v>398.7</v>
      </c>
      <c r="M342" s="343">
        <f>'Прил.№4 ведомств.'!H831</f>
        <v>398.7</v>
      </c>
      <c r="N342" s="339">
        <f t="shared" si="130"/>
        <v>100</v>
      </c>
    </row>
    <row r="343" spans="1:14" ht="37.5" hidden="1">
      <c r="A343" s="337" t="s">
        <v>331</v>
      </c>
      <c r="B343" s="338" t="s">
        <v>550</v>
      </c>
      <c r="C343" s="338" t="s">
        <v>543</v>
      </c>
      <c r="D343" s="338" t="s">
        <v>169</v>
      </c>
      <c r="E343" s="338"/>
      <c r="F343" s="331"/>
      <c r="G343" s="343" t="e">
        <f>G344</f>
        <v>#REF!</v>
      </c>
      <c r="H343" s="343" t="e">
        <f aca="true" t="shared" si="136" ref="H343:M344">H344</f>
        <v>#REF!</v>
      </c>
      <c r="I343" s="343" t="e">
        <f t="shared" si="136"/>
        <v>#REF!</v>
      </c>
      <c r="J343" s="343" t="e">
        <f t="shared" si="136"/>
        <v>#REF!</v>
      </c>
      <c r="K343" s="343" t="e">
        <f t="shared" si="136"/>
        <v>#REF!</v>
      </c>
      <c r="L343" s="343">
        <f t="shared" si="136"/>
        <v>0</v>
      </c>
      <c r="M343" s="343">
        <f t="shared" si="136"/>
        <v>0</v>
      </c>
      <c r="N343" s="339" t="e">
        <f t="shared" si="130"/>
        <v>#DIV/0!</v>
      </c>
    </row>
    <row r="344" spans="1:14" ht="56.25" hidden="1">
      <c r="A344" s="337" t="s">
        <v>323</v>
      </c>
      <c r="B344" s="338" t="s">
        <v>550</v>
      </c>
      <c r="C344" s="338" t="s">
        <v>543</v>
      </c>
      <c r="D344" s="338" t="s">
        <v>169</v>
      </c>
      <c r="E344" s="338" t="s">
        <v>324</v>
      </c>
      <c r="F344" s="331"/>
      <c r="G344" s="343" t="e">
        <f>G345</f>
        <v>#REF!</v>
      </c>
      <c r="H344" s="343" t="e">
        <f t="shared" si="136"/>
        <v>#REF!</v>
      </c>
      <c r="I344" s="343" t="e">
        <f t="shared" si="136"/>
        <v>#REF!</v>
      </c>
      <c r="J344" s="343" t="e">
        <f t="shared" si="136"/>
        <v>#REF!</v>
      </c>
      <c r="K344" s="343" t="e">
        <f t="shared" si="136"/>
        <v>#REF!</v>
      </c>
      <c r="L344" s="343">
        <f t="shared" si="136"/>
        <v>0</v>
      </c>
      <c r="M344" s="343">
        <f t="shared" si="136"/>
        <v>0</v>
      </c>
      <c r="N344" s="339" t="e">
        <f t="shared" si="130"/>
        <v>#DIV/0!</v>
      </c>
    </row>
    <row r="345" spans="1:14" ht="18.75" hidden="1">
      <c r="A345" s="337" t="s">
        <v>325</v>
      </c>
      <c r="B345" s="338" t="s">
        <v>550</v>
      </c>
      <c r="C345" s="338" t="s">
        <v>543</v>
      </c>
      <c r="D345" s="338" t="s">
        <v>169</v>
      </c>
      <c r="E345" s="338" t="s">
        <v>326</v>
      </c>
      <c r="F345" s="331"/>
      <c r="G345" s="343" t="e">
        <f>#REF!</f>
        <v>#REF!</v>
      </c>
      <c r="H345" s="343" t="e">
        <f>#REF!</f>
        <v>#REF!</v>
      </c>
      <c r="I345" s="343" t="e">
        <f>#REF!</f>
        <v>#REF!</v>
      </c>
      <c r="J345" s="343" t="e">
        <f>#REF!</f>
        <v>#REF!</v>
      </c>
      <c r="K345" s="343" t="e">
        <f>#REF!</f>
        <v>#REF!</v>
      </c>
      <c r="L345" s="343">
        <f>'Прил.№4 ведомств.'!G834</f>
        <v>0</v>
      </c>
      <c r="M345" s="343">
        <f>'Прил.№4 ведомств.'!H834</f>
        <v>0</v>
      </c>
      <c r="N345" s="339" t="e">
        <f t="shared" si="130"/>
        <v>#DIV/0!</v>
      </c>
    </row>
    <row r="346" spans="1:14" ht="37.5">
      <c r="A346" s="337" t="s">
        <v>335</v>
      </c>
      <c r="B346" s="338" t="s">
        <v>551</v>
      </c>
      <c r="C346" s="338" t="s">
        <v>543</v>
      </c>
      <c r="D346" s="338" t="s">
        <v>169</v>
      </c>
      <c r="E346" s="338"/>
      <c r="F346" s="331"/>
      <c r="G346" s="343" t="e">
        <f>G347</f>
        <v>#REF!</v>
      </c>
      <c r="H346" s="343" t="e">
        <f aca="true" t="shared" si="137" ref="H346:M347">H347</f>
        <v>#REF!</v>
      </c>
      <c r="I346" s="343" t="e">
        <f t="shared" si="137"/>
        <v>#REF!</v>
      </c>
      <c r="J346" s="343" t="e">
        <f t="shared" si="137"/>
        <v>#REF!</v>
      </c>
      <c r="K346" s="343" t="e">
        <f t="shared" si="137"/>
        <v>#REF!</v>
      </c>
      <c r="L346" s="343">
        <f t="shared" si="137"/>
        <v>100</v>
      </c>
      <c r="M346" s="343">
        <f t="shared" si="137"/>
        <v>0</v>
      </c>
      <c r="N346" s="339">
        <f t="shared" si="130"/>
        <v>0</v>
      </c>
    </row>
    <row r="347" spans="1:14" ht="56.25">
      <c r="A347" s="337" t="s">
        <v>323</v>
      </c>
      <c r="B347" s="338" t="s">
        <v>551</v>
      </c>
      <c r="C347" s="338" t="s">
        <v>543</v>
      </c>
      <c r="D347" s="338" t="s">
        <v>169</v>
      </c>
      <c r="E347" s="338" t="s">
        <v>324</v>
      </c>
      <c r="F347" s="331"/>
      <c r="G347" s="343" t="e">
        <f>G348</f>
        <v>#REF!</v>
      </c>
      <c r="H347" s="343" t="e">
        <f t="shared" si="137"/>
        <v>#REF!</v>
      </c>
      <c r="I347" s="343" t="e">
        <f t="shared" si="137"/>
        <v>#REF!</v>
      </c>
      <c r="J347" s="343" t="e">
        <f t="shared" si="137"/>
        <v>#REF!</v>
      </c>
      <c r="K347" s="343" t="e">
        <f t="shared" si="137"/>
        <v>#REF!</v>
      </c>
      <c r="L347" s="343">
        <f t="shared" si="137"/>
        <v>100</v>
      </c>
      <c r="M347" s="343">
        <f t="shared" si="137"/>
        <v>0</v>
      </c>
      <c r="N347" s="339">
        <f t="shared" si="130"/>
        <v>0</v>
      </c>
    </row>
    <row r="348" spans="1:14" ht="18.75">
      <c r="A348" s="337" t="s">
        <v>325</v>
      </c>
      <c r="B348" s="338" t="s">
        <v>551</v>
      </c>
      <c r="C348" s="338" t="s">
        <v>543</v>
      </c>
      <c r="D348" s="338" t="s">
        <v>169</v>
      </c>
      <c r="E348" s="338" t="s">
        <v>326</v>
      </c>
      <c r="F348" s="331"/>
      <c r="G348" s="343" t="e">
        <f>#REF!</f>
        <v>#REF!</v>
      </c>
      <c r="H348" s="343" t="e">
        <f>#REF!</f>
        <v>#REF!</v>
      </c>
      <c r="I348" s="343" t="e">
        <f>#REF!</f>
        <v>#REF!</v>
      </c>
      <c r="J348" s="343" t="e">
        <f>#REF!</f>
        <v>#REF!</v>
      </c>
      <c r="K348" s="343" t="e">
        <f>#REF!</f>
        <v>#REF!</v>
      </c>
      <c r="L348" s="343">
        <f>'Прил.№4 ведомств.'!G837</f>
        <v>100</v>
      </c>
      <c r="M348" s="343">
        <f>'Прил.№4 ведомств.'!H837</f>
        <v>0</v>
      </c>
      <c r="N348" s="339">
        <f t="shared" si="130"/>
        <v>0</v>
      </c>
    </row>
    <row r="349" spans="1:14" ht="56.25">
      <c r="A349" s="341" t="s">
        <v>857</v>
      </c>
      <c r="B349" s="338" t="s">
        <v>865</v>
      </c>
      <c r="C349" s="338" t="s">
        <v>543</v>
      </c>
      <c r="D349" s="338" t="s">
        <v>169</v>
      </c>
      <c r="E349" s="338"/>
      <c r="F349" s="331"/>
      <c r="G349" s="343" t="e">
        <f>G350</f>
        <v>#REF!</v>
      </c>
      <c r="H349" s="343" t="e">
        <f aca="true" t="shared" si="138" ref="H349:M350">H350</f>
        <v>#REF!</v>
      </c>
      <c r="I349" s="343" t="e">
        <f t="shared" si="138"/>
        <v>#REF!</v>
      </c>
      <c r="J349" s="343" t="e">
        <f t="shared" si="138"/>
        <v>#REF!</v>
      </c>
      <c r="K349" s="343" t="e">
        <f t="shared" si="138"/>
        <v>#REF!</v>
      </c>
      <c r="L349" s="343">
        <f t="shared" si="138"/>
        <v>541.4000000000001</v>
      </c>
      <c r="M349" s="343">
        <f t="shared" si="138"/>
        <v>527</v>
      </c>
      <c r="N349" s="339">
        <f t="shared" si="130"/>
        <v>97.34022903583302</v>
      </c>
    </row>
    <row r="350" spans="1:14" ht="56.25">
      <c r="A350" s="350" t="s">
        <v>323</v>
      </c>
      <c r="B350" s="338" t="s">
        <v>865</v>
      </c>
      <c r="C350" s="338" t="s">
        <v>543</v>
      </c>
      <c r="D350" s="338" t="s">
        <v>169</v>
      </c>
      <c r="E350" s="338" t="s">
        <v>324</v>
      </c>
      <c r="F350" s="331"/>
      <c r="G350" s="343" t="e">
        <f>G351</f>
        <v>#REF!</v>
      </c>
      <c r="H350" s="343" t="e">
        <f t="shared" si="138"/>
        <v>#REF!</v>
      </c>
      <c r="I350" s="343" t="e">
        <f t="shared" si="138"/>
        <v>#REF!</v>
      </c>
      <c r="J350" s="343" t="e">
        <f t="shared" si="138"/>
        <v>#REF!</v>
      </c>
      <c r="K350" s="343" t="e">
        <f t="shared" si="138"/>
        <v>#REF!</v>
      </c>
      <c r="L350" s="343">
        <f t="shared" si="138"/>
        <v>541.4000000000001</v>
      </c>
      <c r="M350" s="343">
        <f t="shared" si="138"/>
        <v>527</v>
      </c>
      <c r="N350" s="339">
        <f t="shared" si="130"/>
        <v>97.34022903583302</v>
      </c>
    </row>
    <row r="351" spans="1:14" ht="18.75">
      <c r="A351" s="350" t="s">
        <v>325</v>
      </c>
      <c r="B351" s="338" t="s">
        <v>865</v>
      </c>
      <c r="C351" s="338" t="s">
        <v>543</v>
      </c>
      <c r="D351" s="338" t="s">
        <v>169</v>
      </c>
      <c r="E351" s="338" t="s">
        <v>326</v>
      </c>
      <c r="F351" s="331"/>
      <c r="G351" s="343" t="e">
        <f>#REF!</f>
        <v>#REF!</v>
      </c>
      <c r="H351" s="343" t="e">
        <f>#REF!</f>
        <v>#REF!</v>
      </c>
      <c r="I351" s="343" t="e">
        <f>#REF!</f>
        <v>#REF!</v>
      </c>
      <c r="J351" s="343" t="e">
        <f>#REF!</f>
        <v>#REF!</v>
      </c>
      <c r="K351" s="343" t="e">
        <f>#REF!</f>
        <v>#REF!</v>
      </c>
      <c r="L351" s="343">
        <f>'Прил.№4 ведомств.'!G840</f>
        <v>541.4000000000001</v>
      </c>
      <c r="M351" s="343">
        <f>'Прил.№4 ведомств.'!H840</f>
        <v>527</v>
      </c>
      <c r="N351" s="339">
        <f t="shared" si="130"/>
        <v>97.34022903583302</v>
      </c>
    </row>
    <row r="352" spans="1:14" ht="37.5">
      <c r="A352" s="361" t="s">
        <v>532</v>
      </c>
      <c r="B352" s="338" t="s">
        <v>546</v>
      </c>
      <c r="C352" s="338" t="s">
        <v>543</v>
      </c>
      <c r="D352" s="338" t="s">
        <v>169</v>
      </c>
      <c r="E352" s="338"/>
      <c r="F352" s="331">
        <v>907</v>
      </c>
      <c r="G352" s="343" t="e">
        <f aca="true" t="shared" si="139" ref="G352:M352">G329</f>
        <v>#REF!</v>
      </c>
      <c r="H352" s="343" t="e">
        <f t="shared" si="139"/>
        <v>#REF!</v>
      </c>
      <c r="I352" s="343" t="e">
        <f t="shared" si="139"/>
        <v>#REF!</v>
      </c>
      <c r="J352" s="343" t="e">
        <f t="shared" si="139"/>
        <v>#REF!</v>
      </c>
      <c r="K352" s="343" t="e">
        <f t="shared" si="139"/>
        <v>#REF!</v>
      </c>
      <c r="L352" s="343">
        <f t="shared" si="139"/>
        <v>36975</v>
      </c>
      <c r="M352" s="343">
        <f t="shared" si="139"/>
        <v>36860.6</v>
      </c>
      <c r="N352" s="339">
        <f t="shared" si="130"/>
        <v>99.69060175794455</v>
      </c>
    </row>
    <row r="353" spans="1:14" ht="56.25">
      <c r="A353" s="334" t="s">
        <v>553</v>
      </c>
      <c r="B353" s="335" t="s">
        <v>554</v>
      </c>
      <c r="C353" s="335"/>
      <c r="D353" s="335"/>
      <c r="E353" s="335"/>
      <c r="F353" s="351"/>
      <c r="G353" s="336" t="e">
        <f>G354</f>
        <v>#REF!</v>
      </c>
      <c r="H353" s="336" t="e">
        <f aca="true" t="shared" si="140" ref="H353:M355">H354</f>
        <v>#REF!</v>
      </c>
      <c r="I353" s="336" t="e">
        <f t="shared" si="140"/>
        <v>#REF!</v>
      </c>
      <c r="J353" s="336" t="e">
        <f t="shared" si="140"/>
        <v>#REF!</v>
      </c>
      <c r="K353" s="336" t="e">
        <f t="shared" si="140"/>
        <v>#REF!</v>
      </c>
      <c r="L353" s="336">
        <f t="shared" si="140"/>
        <v>2800</v>
      </c>
      <c r="M353" s="336">
        <f t="shared" si="140"/>
        <v>2775.7</v>
      </c>
      <c r="N353" s="336">
        <f t="shared" si="130"/>
        <v>99.13214285714285</v>
      </c>
    </row>
    <row r="354" spans="1:14" ht="18.75">
      <c r="A354" s="337" t="s">
        <v>542</v>
      </c>
      <c r="B354" s="338" t="s">
        <v>554</v>
      </c>
      <c r="C354" s="360">
        <v>11</v>
      </c>
      <c r="D354" s="338"/>
      <c r="E354" s="338"/>
      <c r="F354" s="331"/>
      <c r="G354" s="339" t="e">
        <f>G355</f>
        <v>#REF!</v>
      </c>
      <c r="H354" s="339" t="e">
        <f t="shared" si="140"/>
        <v>#REF!</v>
      </c>
      <c r="I354" s="339" t="e">
        <f t="shared" si="140"/>
        <v>#REF!</v>
      </c>
      <c r="J354" s="339" t="e">
        <f t="shared" si="140"/>
        <v>#REF!</v>
      </c>
      <c r="K354" s="339" t="e">
        <f t="shared" si="140"/>
        <v>#REF!</v>
      </c>
      <c r="L354" s="339">
        <f t="shared" si="140"/>
        <v>2800</v>
      </c>
      <c r="M354" s="339">
        <f t="shared" si="140"/>
        <v>2775.7</v>
      </c>
      <c r="N354" s="339">
        <f t="shared" si="130"/>
        <v>99.13214285714285</v>
      </c>
    </row>
    <row r="355" spans="1:14" ht="37.5">
      <c r="A355" s="340" t="s">
        <v>552</v>
      </c>
      <c r="B355" s="338" t="s">
        <v>554</v>
      </c>
      <c r="C355" s="338" t="s">
        <v>543</v>
      </c>
      <c r="D355" s="338" t="s">
        <v>285</v>
      </c>
      <c r="E355" s="338"/>
      <c r="F355" s="331"/>
      <c r="G355" s="339" t="e">
        <f>G356</f>
        <v>#REF!</v>
      </c>
      <c r="H355" s="339" t="e">
        <f t="shared" si="140"/>
        <v>#REF!</v>
      </c>
      <c r="I355" s="339" t="e">
        <f t="shared" si="140"/>
        <v>#REF!</v>
      </c>
      <c r="J355" s="339" t="e">
        <f t="shared" si="140"/>
        <v>#REF!</v>
      </c>
      <c r="K355" s="339" t="e">
        <f t="shared" si="140"/>
        <v>#REF!</v>
      </c>
      <c r="L355" s="339">
        <f t="shared" si="140"/>
        <v>2800</v>
      </c>
      <c r="M355" s="339">
        <f t="shared" si="140"/>
        <v>2775.7</v>
      </c>
      <c r="N355" s="339">
        <f t="shared" si="130"/>
        <v>99.13214285714285</v>
      </c>
    </row>
    <row r="356" spans="1:14" ht="37.5">
      <c r="A356" s="337" t="s">
        <v>208</v>
      </c>
      <c r="B356" s="338" t="s">
        <v>555</v>
      </c>
      <c r="C356" s="338" t="s">
        <v>543</v>
      </c>
      <c r="D356" s="338" t="s">
        <v>285</v>
      </c>
      <c r="E356" s="338"/>
      <c r="F356" s="331"/>
      <c r="G356" s="339" t="e">
        <f aca="true" t="shared" si="141" ref="G356:M356">G359+G357</f>
        <v>#REF!</v>
      </c>
      <c r="H356" s="339" t="e">
        <f t="shared" si="141"/>
        <v>#REF!</v>
      </c>
      <c r="I356" s="339" t="e">
        <f t="shared" si="141"/>
        <v>#REF!</v>
      </c>
      <c r="J356" s="339" t="e">
        <f t="shared" si="141"/>
        <v>#REF!</v>
      </c>
      <c r="K356" s="339" t="e">
        <f t="shared" si="141"/>
        <v>#REF!</v>
      </c>
      <c r="L356" s="339">
        <f t="shared" si="141"/>
        <v>2800</v>
      </c>
      <c r="M356" s="339">
        <f t="shared" si="141"/>
        <v>2775.7</v>
      </c>
      <c r="N356" s="339">
        <f t="shared" si="130"/>
        <v>99.13214285714285</v>
      </c>
    </row>
    <row r="357" spans="1:14" ht="112.5">
      <c r="A357" s="340" t="s">
        <v>178</v>
      </c>
      <c r="B357" s="338" t="s">
        <v>555</v>
      </c>
      <c r="C357" s="338" t="s">
        <v>543</v>
      </c>
      <c r="D357" s="338" t="s">
        <v>285</v>
      </c>
      <c r="E357" s="338" t="s">
        <v>179</v>
      </c>
      <c r="F357" s="331"/>
      <c r="G357" s="339" t="e">
        <f>G358</f>
        <v>#REF!</v>
      </c>
      <c r="H357" s="339" t="e">
        <f aca="true" t="shared" si="142" ref="H357:M357">H358</f>
        <v>#REF!</v>
      </c>
      <c r="I357" s="339" t="e">
        <f t="shared" si="142"/>
        <v>#REF!</v>
      </c>
      <c r="J357" s="339" t="e">
        <f t="shared" si="142"/>
        <v>#REF!</v>
      </c>
      <c r="K357" s="339" t="e">
        <f t="shared" si="142"/>
        <v>#REF!</v>
      </c>
      <c r="L357" s="339">
        <f t="shared" si="142"/>
        <v>1862</v>
      </c>
      <c r="M357" s="339">
        <f t="shared" si="142"/>
        <v>1858.8</v>
      </c>
      <c r="N357" s="339">
        <f t="shared" si="130"/>
        <v>99.828141783029</v>
      </c>
    </row>
    <row r="358" spans="1:14" ht="37.5" customHeight="1">
      <c r="A358" s="340" t="s">
        <v>180</v>
      </c>
      <c r="B358" s="338" t="s">
        <v>555</v>
      </c>
      <c r="C358" s="338" t="s">
        <v>543</v>
      </c>
      <c r="D358" s="338" t="s">
        <v>285</v>
      </c>
      <c r="E358" s="338" t="s">
        <v>181</v>
      </c>
      <c r="F358" s="331"/>
      <c r="G358" s="339" t="e">
        <f>#REF!</f>
        <v>#REF!</v>
      </c>
      <c r="H358" s="339" t="e">
        <f>#REF!</f>
        <v>#REF!</v>
      </c>
      <c r="I358" s="339" t="e">
        <f>#REF!</f>
        <v>#REF!</v>
      </c>
      <c r="J358" s="339" t="e">
        <f>#REF!</f>
        <v>#REF!</v>
      </c>
      <c r="K358" s="339" t="e">
        <f>#REF!</f>
        <v>#REF!</v>
      </c>
      <c r="L358" s="339">
        <f>'Прил.№4 ведомств.'!G855</f>
        <v>1862</v>
      </c>
      <c r="M358" s="339">
        <f>'Прил.№4 ведомств.'!H855</f>
        <v>1858.8</v>
      </c>
      <c r="N358" s="339">
        <f t="shared" si="130"/>
        <v>99.828141783029</v>
      </c>
    </row>
    <row r="359" spans="1:14" ht="37.5">
      <c r="A359" s="337" t="s">
        <v>182</v>
      </c>
      <c r="B359" s="338" t="s">
        <v>555</v>
      </c>
      <c r="C359" s="338" t="s">
        <v>543</v>
      </c>
      <c r="D359" s="338" t="s">
        <v>285</v>
      </c>
      <c r="E359" s="338" t="s">
        <v>183</v>
      </c>
      <c r="F359" s="331"/>
      <c r="G359" s="339" t="e">
        <f>G360</f>
        <v>#REF!</v>
      </c>
      <c r="H359" s="339" t="e">
        <f aca="true" t="shared" si="143" ref="H359:M359">H360</f>
        <v>#REF!</v>
      </c>
      <c r="I359" s="339" t="e">
        <f t="shared" si="143"/>
        <v>#REF!</v>
      </c>
      <c r="J359" s="339" t="e">
        <f t="shared" si="143"/>
        <v>#REF!</v>
      </c>
      <c r="K359" s="339" t="e">
        <f t="shared" si="143"/>
        <v>#REF!</v>
      </c>
      <c r="L359" s="339">
        <f t="shared" si="143"/>
        <v>938</v>
      </c>
      <c r="M359" s="339">
        <f t="shared" si="143"/>
        <v>916.9</v>
      </c>
      <c r="N359" s="339">
        <f t="shared" si="130"/>
        <v>97.75053304904051</v>
      </c>
    </row>
    <row r="360" spans="1:14" ht="56.25">
      <c r="A360" s="337" t="s">
        <v>184</v>
      </c>
      <c r="B360" s="338" t="s">
        <v>555</v>
      </c>
      <c r="C360" s="338" t="s">
        <v>543</v>
      </c>
      <c r="D360" s="338" t="s">
        <v>285</v>
      </c>
      <c r="E360" s="338" t="s">
        <v>185</v>
      </c>
      <c r="F360" s="331"/>
      <c r="G360" s="339" t="e">
        <f>#REF!</f>
        <v>#REF!</v>
      </c>
      <c r="H360" s="339" t="e">
        <f>#REF!</f>
        <v>#REF!</v>
      </c>
      <c r="I360" s="339" t="e">
        <f>#REF!</f>
        <v>#REF!</v>
      </c>
      <c r="J360" s="339" t="e">
        <f>#REF!</f>
        <v>#REF!</v>
      </c>
      <c r="K360" s="339" t="e">
        <f>#REF!</f>
        <v>#REF!</v>
      </c>
      <c r="L360" s="339">
        <f>'Прил.№4 ведомств.'!G857</f>
        <v>938</v>
      </c>
      <c r="M360" s="339">
        <f>'Прил.№4 ведомств.'!H857</f>
        <v>916.9</v>
      </c>
      <c r="N360" s="339">
        <f t="shared" si="130"/>
        <v>97.75053304904051</v>
      </c>
    </row>
    <row r="361" spans="1:14" ht="37.5">
      <c r="A361" s="361" t="s">
        <v>532</v>
      </c>
      <c r="B361" s="338" t="s">
        <v>554</v>
      </c>
      <c r="C361" s="338" t="s">
        <v>543</v>
      </c>
      <c r="D361" s="338" t="s">
        <v>285</v>
      </c>
      <c r="E361" s="338"/>
      <c r="F361" s="331">
        <v>907</v>
      </c>
      <c r="G361" s="343" t="e">
        <f aca="true" t="shared" si="144" ref="G361:M361">G353</f>
        <v>#REF!</v>
      </c>
      <c r="H361" s="343" t="e">
        <f t="shared" si="144"/>
        <v>#REF!</v>
      </c>
      <c r="I361" s="343" t="e">
        <f t="shared" si="144"/>
        <v>#REF!</v>
      </c>
      <c r="J361" s="343" t="e">
        <f t="shared" si="144"/>
        <v>#REF!</v>
      </c>
      <c r="K361" s="343" t="e">
        <f t="shared" si="144"/>
        <v>#REF!</v>
      </c>
      <c r="L361" s="343">
        <f t="shared" si="144"/>
        <v>2800</v>
      </c>
      <c r="M361" s="343">
        <f t="shared" si="144"/>
        <v>2775.7</v>
      </c>
      <c r="N361" s="339">
        <f t="shared" si="130"/>
        <v>99.13214285714285</v>
      </c>
    </row>
    <row r="362" spans="1:14" ht="56.25">
      <c r="A362" s="345" t="s">
        <v>317</v>
      </c>
      <c r="B362" s="335" t="s">
        <v>318</v>
      </c>
      <c r="C362" s="363"/>
      <c r="D362" s="363"/>
      <c r="E362" s="363"/>
      <c r="F362" s="356"/>
      <c r="G362" s="342" t="e">
        <f aca="true" t="shared" si="145" ref="G362:L362">G363+G394+G419</f>
        <v>#REF!</v>
      </c>
      <c r="H362" s="342" t="e">
        <f t="shared" si="145"/>
        <v>#REF!</v>
      </c>
      <c r="I362" s="342" t="e">
        <f t="shared" si="145"/>
        <v>#REF!</v>
      </c>
      <c r="J362" s="342" t="e">
        <f t="shared" si="145"/>
        <v>#REF!</v>
      </c>
      <c r="K362" s="342" t="e">
        <f t="shared" si="145"/>
        <v>#REF!</v>
      </c>
      <c r="L362" s="342">
        <f t="shared" si="145"/>
        <v>57140.100000000006</v>
      </c>
      <c r="M362" s="342">
        <f>M363+M394+M419</f>
        <v>56719.100000000006</v>
      </c>
      <c r="N362" s="336">
        <f t="shared" si="130"/>
        <v>99.26321445009721</v>
      </c>
    </row>
    <row r="363" spans="1:18" ht="75">
      <c r="A363" s="345" t="s">
        <v>319</v>
      </c>
      <c r="B363" s="335" t="s">
        <v>320</v>
      </c>
      <c r="C363" s="363"/>
      <c r="D363" s="363"/>
      <c r="E363" s="363"/>
      <c r="F363" s="356"/>
      <c r="G363" s="342" t="e">
        <f>G364</f>
        <v>#REF!</v>
      </c>
      <c r="H363" s="342" t="e">
        <f aca="true" t="shared" si="146" ref="H363:M364">H364</f>
        <v>#REF!</v>
      </c>
      <c r="I363" s="342" t="e">
        <f t="shared" si="146"/>
        <v>#REF!</v>
      </c>
      <c r="J363" s="342" t="e">
        <f t="shared" si="146"/>
        <v>#REF!</v>
      </c>
      <c r="K363" s="342" t="e">
        <f t="shared" si="146"/>
        <v>#REF!</v>
      </c>
      <c r="L363" s="342">
        <f t="shared" si="146"/>
        <v>14160.2</v>
      </c>
      <c r="M363" s="342">
        <f t="shared" si="146"/>
        <v>14120.300000000001</v>
      </c>
      <c r="N363" s="336">
        <f t="shared" si="130"/>
        <v>99.71822431886555</v>
      </c>
      <c r="O363" s="23"/>
      <c r="P363" s="23"/>
      <c r="Q363" s="23"/>
      <c r="R363" s="23"/>
    </row>
    <row r="364" spans="1:14" ht="18.75">
      <c r="A364" s="337" t="s">
        <v>314</v>
      </c>
      <c r="B364" s="338" t="s">
        <v>320</v>
      </c>
      <c r="C364" s="338" t="s">
        <v>315</v>
      </c>
      <c r="D364" s="363"/>
      <c r="E364" s="363"/>
      <c r="F364" s="356"/>
      <c r="G364" s="343" t="e">
        <f>G365</f>
        <v>#REF!</v>
      </c>
      <c r="H364" s="343" t="e">
        <f t="shared" si="146"/>
        <v>#REF!</v>
      </c>
      <c r="I364" s="343" t="e">
        <f t="shared" si="146"/>
        <v>#REF!</v>
      </c>
      <c r="J364" s="343" t="e">
        <f t="shared" si="146"/>
        <v>#REF!</v>
      </c>
      <c r="K364" s="343" t="e">
        <f t="shared" si="146"/>
        <v>#REF!</v>
      </c>
      <c r="L364" s="343">
        <f t="shared" si="146"/>
        <v>14160.2</v>
      </c>
      <c r="M364" s="343">
        <f t="shared" si="146"/>
        <v>14120.300000000001</v>
      </c>
      <c r="N364" s="339">
        <f t="shared" si="130"/>
        <v>99.71822431886555</v>
      </c>
    </row>
    <row r="365" spans="1:14" ht="18.75">
      <c r="A365" s="337" t="s">
        <v>477</v>
      </c>
      <c r="B365" s="338" t="s">
        <v>320</v>
      </c>
      <c r="C365" s="338" t="s">
        <v>315</v>
      </c>
      <c r="D365" s="338" t="s">
        <v>266</v>
      </c>
      <c r="E365" s="363"/>
      <c r="F365" s="356"/>
      <c r="G365" s="343" t="e">
        <f>G366+G381+G384+G387+G390</f>
        <v>#REF!</v>
      </c>
      <c r="H365" s="343" t="e">
        <f>H366+H381+H384+H387+H390</f>
        <v>#REF!</v>
      </c>
      <c r="I365" s="343" t="e">
        <f>I366+I381+I384+I387+I390</f>
        <v>#REF!</v>
      </c>
      <c r="J365" s="343" t="e">
        <f>J366+J381+J384+J387+J390</f>
        <v>#REF!</v>
      </c>
      <c r="K365" s="343" t="e">
        <f>K366+K381+K384+K387+K390</f>
        <v>#REF!</v>
      </c>
      <c r="L365" s="343">
        <f>L366+L381+L384+L387+L390+L373+L369</f>
        <v>14160.2</v>
      </c>
      <c r="M365" s="343">
        <f>M366+M381+M384+M387+M390+M373+M369</f>
        <v>14120.300000000001</v>
      </c>
      <c r="N365" s="339">
        <f t="shared" si="130"/>
        <v>99.71822431886555</v>
      </c>
    </row>
    <row r="366" spans="1:14" ht="56.25">
      <c r="A366" s="337" t="s">
        <v>321</v>
      </c>
      <c r="B366" s="338" t="s">
        <v>322</v>
      </c>
      <c r="C366" s="338" t="s">
        <v>315</v>
      </c>
      <c r="D366" s="338" t="s">
        <v>266</v>
      </c>
      <c r="E366" s="363"/>
      <c r="F366" s="356"/>
      <c r="G366" s="343" t="e">
        <f>G367</f>
        <v>#REF!</v>
      </c>
      <c r="H366" s="343" t="e">
        <f aca="true" t="shared" si="147" ref="H366:M367">H367</f>
        <v>#REF!</v>
      </c>
      <c r="I366" s="343" t="e">
        <f t="shared" si="147"/>
        <v>#REF!</v>
      </c>
      <c r="J366" s="343" t="e">
        <f t="shared" si="147"/>
        <v>#REF!</v>
      </c>
      <c r="K366" s="343" t="e">
        <f t="shared" si="147"/>
        <v>#REF!</v>
      </c>
      <c r="L366" s="343">
        <f t="shared" si="147"/>
        <v>13608.66</v>
      </c>
      <c r="M366" s="343">
        <f t="shared" si="147"/>
        <v>13608.7</v>
      </c>
      <c r="N366" s="339">
        <f t="shared" si="130"/>
        <v>100.00029393048251</v>
      </c>
    </row>
    <row r="367" spans="1:14" ht="56.25">
      <c r="A367" s="337" t="s">
        <v>323</v>
      </c>
      <c r="B367" s="338" t="s">
        <v>322</v>
      </c>
      <c r="C367" s="338" t="s">
        <v>315</v>
      </c>
      <c r="D367" s="338" t="s">
        <v>266</v>
      </c>
      <c r="E367" s="338" t="s">
        <v>324</v>
      </c>
      <c r="F367" s="356"/>
      <c r="G367" s="343" t="e">
        <f>G368</f>
        <v>#REF!</v>
      </c>
      <c r="H367" s="343" t="e">
        <f t="shared" si="147"/>
        <v>#REF!</v>
      </c>
      <c r="I367" s="343" t="e">
        <f t="shared" si="147"/>
        <v>#REF!</v>
      </c>
      <c r="J367" s="343" t="e">
        <f t="shared" si="147"/>
        <v>#REF!</v>
      </c>
      <c r="K367" s="343" t="e">
        <f t="shared" si="147"/>
        <v>#REF!</v>
      </c>
      <c r="L367" s="343">
        <f t="shared" si="147"/>
        <v>13608.66</v>
      </c>
      <c r="M367" s="343">
        <f t="shared" si="147"/>
        <v>13608.7</v>
      </c>
      <c r="N367" s="339">
        <f t="shared" si="130"/>
        <v>100.00029393048251</v>
      </c>
    </row>
    <row r="368" spans="1:14" ht="18.75">
      <c r="A368" s="337" t="s">
        <v>325</v>
      </c>
      <c r="B368" s="338" t="s">
        <v>322</v>
      </c>
      <c r="C368" s="338" t="s">
        <v>315</v>
      </c>
      <c r="D368" s="338" t="s">
        <v>266</v>
      </c>
      <c r="E368" s="338" t="s">
        <v>326</v>
      </c>
      <c r="F368" s="356"/>
      <c r="G368" s="339" t="e">
        <f>#REF!</f>
        <v>#REF!</v>
      </c>
      <c r="H368" s="339" t="e">
        <f>#REF!</f>
        <v>#REF!</v>
      </c>
      <c r="I368" s="339" t="e">
        <f>#REF!</f>
        <v>#REF!</v>
      </c>
      <c r="J368" s="339" t="e">
        <f>#REF!</f>
        <v>#REF!</v>
      </c>
      <c r="K368" s="339" t="e">
        <f>#REF!</f>
        <v>#REF!</v>
      </c>
      <c r="L368" s="339">
        <f>'Прил.№4 ведомств.'!G289</f>
        <v>13608.66</v>
      </c>
      <c r="M368" s="339">
        <f>'Прил.№4 ведомств.'!H289</f>
        <v>13608.7</v>
      </c>
      <c r="N368" s="339">
        <f t="shared" si="130"/>
        <v>100.00029393048251</v>
      </c>
    </row>
    <row r="369" spans="1:14" ht="56.25">
      <c r="A369" s="337" t="s">
        <v>327</v>
      </c>
      <c r="B369" s="338" t="s">
        <v>1030</v>
      </c>
      <c r="C369" s="338" t="s">
        <v>315</v>
      </c>
      <c r="D369" s="338" t="s">
        <v>266</v>
      </c>
      <c r="E369" s="338"/>
      <c r="F369" s="356"/>
      <c r="G369" s="343">
        <f>G370</f>
        <v>0</v>
      </c>
      <c r="H369" s="343">
        <f aca="true" t="shared" si="148" ref="H369:M370">H370</f>
        <v>0</v>
      </c>
      <c r="I369" s="343">
        <f t="shared" si="148"/>
        <v>0</v>
      </c>
      <c r="J369" s="343">
        <f t="shared" si="148"/>
        <v>0</v>
      </c>
      <c r="K369" s="343">
        <f t="shared" si="148"/>
        <v>0</v>
      </c>
      <c r="L369" s="343">
        <f t="shared" si="148"/>
        <v>26.1</v>
      </c>
      <c r="M369" s="343">
        <f t="shared" si="148"/>
        <v>26.1</v>
      </c>
      <c r="N369" s="339">
        <f t="shared" si="130"/>
        <v>100</v>
      </c>
    </row>
    <row r="370" spans="1:14" ht="56.25">
      <c r="A370" s="337" t="s">
        <v>323</v>
      </c>
      <c r="B370" s="338" t="s">
        <v>1030</v>
      </c>
      <c r="C370" s="338" t="s">
        <v>315</v>
      </c>
      <c r="D370" s="338" t="s">
        <v>266</v>
      </c>
      <c r="E370" s="338" t="s">
        <v>324</v>
      </c>
      <c r="F370" s="356"/>
      <c r="G370" s="343">
        <f>G371</f>
        <v>0</v>
      </c>
      <c r="H370" s="343">
        <f t="shared" si="148"/>
        <v>0</v>
      </c>
      <c r="I370" s="343">
        <f t="shared" si="148"/>
        <v>0</v>
      </c>
      <c r="J370" s="343">
        <f t="shared" si="148"/>
        <v>0</v>
      </c>
      <c r="K370" s="343">
        <f t="shared" si="148"/>
        <v>0</v>
      </c>
      <c r="L370" s="343">
        <f t="shared" si="148"/>
        <v>26.1</v>
      </c>
      <c r="M370" s="343">
        <f t="shared" si="148"/>
        <v>26.1</v>
      </c>
      <c r="N370" s="339">
        <f t="shared" si="130"/>
        <v>100</v>
      </c>
    </row>
    <row r="371" spans="1:14" ht="18.75">
      <c r="A371" s="337" t="s">
        <v>325</v>
      </c>
      <c r="B371" s="338" t="s">
        <v>1030</v>
      </c>
      <c r="C371" s="338" t="s">
        <v>315</v>
      </c>
      <c r="D371" s="338" t="s">
        <v>266</v>
      </c>
      <c r="E371" s="338" t="s">
        <v>326</v>
      </c>
      <c r="F371" s="356"/>
      <c r="G371" s="343"/>
      <c r="H371" s="343"/>
      <c r="I371" s="343"/>
      <c r="J371" s="343"/>
      <c r="K371" s="343"/>
      <c r="L371" s="343">
        <f>'Прил.№4 ведомств.'!G292</f>
        <v>26.1</v>
      </c>
      <c r="M371" s="343">
        <f>'Прил.№4 ведомств.'!H292</f>
        <v>26.1</v>
      </c>
      <c r="N371" s="339">
        <f t="shared" si="130"/>
        <v>100</v>
      </c>
    </row>
    <row r="372" spans="1:14" ht="56.25" hidden="1">
      <c r="A372" s="341" t="s">
        <v>312</v>
      </c>
      <c r="B372" s="338" t="s">
        <v>1030</v>
      </c>
      <c r="C372" s="338" t="s">
        <v>315</v>
      </c>
      <c r="D372" s="338" t="s">
        <v>266</v>
      </c>
      <c r="E372" s="338"/>
      <c r="F372" s="360">
        <v>903</v>
      </c>
      <c r="G372" s="343">
        <v>0</v>
      </c>
      <c r="H372" s="343">
        <v>0</v>
      </c>
      <c r="I372" s="343">
        <v>0</v>
      </c>
      <c r="J372" s="343">
        <v>0</v>
      </c>
      <c r="K372" s="343">
        <v>0</v>
      </c>
      <c r="L372" s="343">
        <v>0</v>
      </c>
      <c r="M372" s="343">
        <v>0</v>
      </c>
      <c r="N372" s="339" t="e">
        <f t="shared" si="130"/>
        <v>#DIV/0!</v>
      </c>
    </row>
    <row r="373" spans="1:14" ht="56.25">
      <c r="A373" s="337" t="s">
        <v>329</v>
      </c>
      <c r="B373" s="338" t="s">
        <v>330</v>
      </c>
      <c r="C373" s="338" t="s">
        <v>315</v>
      </c>
      <c r="D373" s="338" t="s">
        <v>266</v>
      </c>
      <c r="E373" s="338"/>
      <c r="F373" s="356"/>
      <c r="G373" s="343">
        <f>G374</f>
        <v>0</v>
      </c>
      <c r="H373" s="343">
        <f aca="true" t="shared" si="149" ref="H373:M374">H374</f>
        <v>0</v>
      </c>
      <c r="I373" s="343">
        <f t="shared" si="149"/>
        <v>0</v>
      </c>
      <c r="J373" s="343">
        <f t="shared" si="149"/>
        <v>0</v>
      </c>
      <c r="K373" s="343">
        <f t="shared" si="149"/>
        <v>0</v>
      </c>
      <c r="L373" s="343">
        <f t="shared" si="149"/>
        <v>127.39999999999999</v>
      </c>
      <c r="M373" s="343">
        <f t="shared" si="149"/>
        <v>127.3</v>
      </c>
      <c r="N373" s="339">
        <f t="shared" si="130"/>
        <v>99.9215070643642</v>
      </c>
    </row>
    <row r="374" spans="1:14" ht="56.25">
      <c r="A374" s="337" t="s">
        <v>323</v>
      </c>
      <c r="B374" s="338" t="s">
        <v>330</v>
      </c>
      <c r="C374" s="338" t="s">
        <v>315</v>
      </c>
      <c r="D374" s="338" t="s">
        <v>266</v>
      </c>
      <c r="E374" s="338" t="s">
        <v>324</v>
      </c>
      <c r="F374" s="356"/>
      <c r="G374" s="343">
        <f>G375</f>
        <v>0</v>
      </c>
      <c r="H374" s="343">
        <f t="shared" si="149"/>
        <v>0</v>
      </c>
      <c r="I374" s="343">
        <f t="shared" si="149"/>
        <v>0</v>
      </c>
      <c r="J374" s="343">
        <f t="shared" si="149"/>
        <v>0</v>
      </c>
      <c r="K374" s="343">
        <f t="shared" si="149"/>
        <v>0</v>
      </c>
      <c r="L374" s="343">
        <f t="shared" si="149"/>
        <v>127.39999999999999</v>
      </c>
      <c r="M374" s="343">
        <f t="shared" si="149"/>
        <v>127.3</v>
      </c>
      <c r="N374" s="339">
        <f t="shared" si="130"/>
        <v>99.9215070643642</v>
      </c>
    </row>
    <row r="375" spans="1:14" ht="18.75">
      <c r="A375" s="337" t="s">
        <v>325</v>
      </c>
      <c r="B375" s="338" t="s">
        <v>330</v>
      </c>
      <c r="C375" s="338" t="s">
        <v>315</v>
      </c>
      <c r="D375" s="338" t="s">
        <v>266</v>
      </c>
      <c r="E375" s="338" t="s">
        <v>326</v>
      </c>
      <c r="F375" s="356"/>
      <c r="G375" s="343"/>
      <c r="H375" s="343"/>
      <c r="I375" s="343"/>
      <c r="J375" s="343"/>
      <c r="K375" s="343"/>
      <c r="L375" s="343">
        <f>'Прил.№4 ведомств.'!G295</f>
        <v>127.39999999999999</v>
      </c>
      <c r="M375" s="343">
        <f>'Прил.№4 ведомств.'!H295</f>
        <v>127.3</v>
      </c>
      <c r="N375" s="339">
        <f t="shared" si="130"/>
        <v>99.9215070643642</v>
      </c>
    </row>
    <row r="376" spans="1:14" ht="56.25" hidden="1">
      <c r="A376" s="341" t="s">
        <v>312</v>
      </c>
      <c r="B376" s="338" t="s">
        <v>727</v>
      </c>
      <c r="C376" s="338" t="s">
        <v>315</v>
      </c>
      <c r="D376" s="338" t="s">
        <v>266</v>
      </c>
      <c r="E376" s="338"/>
      <c r="F376" s="360">
        <v>903</v>
      </c>
      <c r="G376" s="343">
        <v>0</v>
      </c>
      <c r="H376" s="343">
        <v>0</v>
      </c>
      <c r="I376" s="343">
        <v>0</v>
      </c>
      <c r="J376" s="343">
        <v>0</v>
      </c>
      <c r="K376" s="343">
        <v>0</v>
      </c>
      <c r="L376" s="343">
        <v>0</v>
      </c>
      <c r="M376" s="343">
        <v>0</v>
      </c>
      <c r="N376" s="339" t="e">
        <f t="shared" si="130"/>
        <v>#DIV/0!</v>
      </c>
    </row>
    <row r="377" spans="1:14" ht="37.5" hidden="1">
      <c r="A377" s="337" t="s">
        <v>331</v>
      </c>
      <c r="B377" s="338" t="s">
        <v>728</v>
      </c>
      <c r="C377" s="338" t="s">
        <v>315</v>
      </c>
      <c r="D377" s="338" t="s">
        <v>266</v>
      </c>
      <c r="E377" s="338"/>
      <c r="F377" s="356"/>
      <c r="G377" s="343">
        <f>G378</f>
        <v>0</v>
      </c>
      <c r="H377" s="343">
        <f aca="true" t="shared" si="150" ref="H377:M378">H378</f>
        <v>0</v>
      </c>
      <c r="I377" s="343">
        <f t="shared" si="150"/>
        <v>0</v>
      </c>
      <c r="J377" s="343">
        <f t="shared" si="150"/>
        <v>0</v>
      </c>
      <c r="K377" s="343">
        <f t="shared" si="150"/>
        <v>0</v>
      </c>
      <c r="L377" s="343">
        <f t="shared" si="150"/>
        <v>0</v>
      </c>
      <c r="M377" s="343">
        <f t="shared" si="150"/>
        <v>0</v>
      </c>
      <c r="N377" s="339" t="e">
        <f t="shared" si="130"/>
        <v>#DIV/0!</v>
      </c>
    </row>
    <row r="378" spans="1:14" ht="69" customHeight="1" hidden="1">
      <c r="A378" s="337" t="s">
        <v>323</v>
      </c>
      <c r="B378" s="338" t="s">
        <v>728</v>
      </c>
      <c r="C378" s="338" t="s">
        <v>315</v>
      </c>
      <c r="D378" s="338" t="s">
        <v>266</v>
      </c>
      <c r="E378" s="338" t="s">
        <v>324</v>
      </c>
      <c r="F378" s="356"/>
      <c r="G378" s="343">
        <f>G379</f>
        <v>0</v>
      </c>
      <c r="H378" s="343">
        <f t="shared" si="150"/>
        <v>0</v>
      </c>
      <c r="I378" s="343">
        <f t="shared" si="150"/>
        <v>0</v>
      </c>
      <c r="J378" s="343">
        <f t="shared" si="150"/>
        <v>0</v>
      </c>
      <c r="K378" s="343">
        <f t="shared" si="150"/>
        <v>0</v>
      </c>
      <c r="L378" s="343">
        <f t="shared" si="150"/>
        <v>0</v>
      </c>
      <c r="M378" s="343">
        <f t="shared" si="150"/>
        <v>0</v>
      </c>
      <c r="N378" s="339" t="e">
        <f t="shared" si="130"/>
        <v>#DIV/0!</v>
      </c>
    </row>
    <row r="379" spans="1:14" ht="18.75" hidden="1">
      <c r="A379" s="337" t="s">
        <v>325</v>
      </c>
      <c r="B379" s="338" t="s">
        <v>728</v>
      </c>
      <c r="C379" s="338" t="s">
        <v>315</v>
      </c>
      <c r="D379" s="338" t="s">
        <v>266</v>
      </c>
      <c r="E379" s="338" t="s">
        <v>326</v>
      </c>
      <c r="F379" s="356"/>
      <c r="G379" s="343"/>
      <c r="H379" s="343"/>
      <c r="I379" s="343"/>
      <c r="J379" s="343"/>
      <c r="K379" s="343"/>
      <c r="L379" s="343"/>
      <c r="M379" s="343"/>
      <c r="N379" s="339" t="e">
        <f t="shared" si="130"/>
        <v>#DIV/0!</v>
      </c>
    </row>
    <row r="380" spans="1:14" ht="56.25" hidden="1">
      <c r="A380" s="341" t="s">
        <v>312</v>
      </c>
      <c r="B380" s="338" t="s">
        <v>728</v>
      </c>
      <c r="C380" s="338" t="s">
        <v>315</v>
      </c>
      <c r="D380" s="338" t="s">
        <v>266</v>
      </c>
      <c r="E380" s="338"/>
      <c r="F380" s="360">
        <v>903</v>
      </c>
      <c r="G380" s="343">
        <v>0</v>
      </c>
      <c r="H380" s="343">
        <v>0</v>
      </c>
      <c r="I380" s="343">
        <v>0</v>
      </c>
      <c r="J380" s="343">
        <v>0</v>
      </c>
      <c r="K380" s="343">
        <v>0</v>
      </c>
      <c r="L380" s="343">
        <v>0</v>
      </c>
      <c r="M380" s="343">
        <v>0</v>
      </c>
      <c r="N380" s="339" t="e">
        <f t="shared" si="130"/>
        <v>#DIV/0!</v>
      </c>
    </row>
    <row r="381" spans="1:14" ht="56.25">
      <c r="A381" s="337" t="s">
        <v>333</v>
      </c>
      <c r="B381" s="338" t="s">
        <v>334</v>
      </c>
      <c r="C381" s="338" t="s">
        <v>315</v>
      </c>
      <c r="D381" s="338" t="s">
        <v>266</v>
      </c>
      <c r="E381" s="338"/>
      <c r="F381" s="356"/>
      <c r="G381" s="343" t="e">
        <f>G382</f>
        <v>#REF!</v>
      </c>
      <c r="H381" s="343" t="e">
        <f aca="true" t="shared" si="151" ref="H381:M382">H382</f>
        <v>#REF!</v>
      </c>
      <c r="I381" s="343" t="e">
        <f t="shared" si="151"/>
        <v>#REF!</v>
      </c>
      <c r="J381" s="343" t="e">
        <f t="shared" si="151"/>
        <v>#REF!</v>
      </c>
      <c r="K381" s="343" t="e">
        <f t="shared" si="151"/>
        <v>#REF!</v>
      </c>
      <c r="L381" s="343">
        <f t="shared" si="151"/>
        <v>44.4</v>
      </c>
      <c r="M381" s="343">
        <f t="shared" si="151"/>
        <v>42.6</v>
      </c>
      <c r="N381" s="339">
        <f t="shared" si="130"/>
        <v>95.94594594594595</v>
      </c>
    </row>
    <row r="382" spans="1:14" ht="56.25">
      <c r="A382" s="337" t="s">
        <v>323</v>
      </c>
      <c r="B382" s="338" t="s">
        <v>334</v>
      </c>
      <c r="C382" s="338" t="s">
        <v>315</v>
      </c>
      <c r="D382" s="338" t="s">
        <v>266</v>
      </c>
      <c r="E382" s="338" t="s">
        <v>324</v>
      </c>
      <c r="F382" s="356"/>
      <c r="G382" s="343" t="e">
        <f>G383</f>
        <v>#REF!</v>
      </c>
      <c r="H382" s="343" t="e">
        <f t="shared" si="151"/>
        <v>#REF!</v>
      </c>
      <c r="I382" s="343" t="e">
        <f t="shared" si="151"/>
        <v>#REF!</v>
      </c>
      <c r="J382" s="343" t="e">
        <f t="shared" si="151"/>
        <v>#REF!</v>
      </c>
      <c r="K382" s="343" t="e">
        <f t="shared" si="151"/>
        <v>#REF!</v>
      </c>
      <c r="L382" s="343">
        <f t="shared" si="151"/>
        <v>44.4</v>
      </c>
      <c r="M382" s="343">
        <f t="shared" si="151"/>
        <v>42.6</v>
      </c>
      <c r="N382" s="339">
        <f t="shared" si="130"/>
        <v>95.94594594594595</v>
      </c>
    </row>
    <row r="383" spans="1:14" ht="18.75">
      <c r="A383" s="337" t="s">
        <v>325</v>
      </c>
      <c r="B383" s="338" t="s">
        <v>334</v>
      </c>
      <c r="C383" s="338" t="s">
        <v>315</v>
      </c>
      <c r="D383" s="338" t="s">
        <v>266</v>
      </c>
      <c r="E383" s="338" t="s">
        <v>326</v>
      </c>
      <c r="F383" s="356"/>
      <c r="G383" s="339" t="e">
        <f>#REF!</f>
        <v>#REF!</v>
      </c>
      <c r="H383" s="339" t="e">
        <f>#REF!</f>
        <v>#REF!</v>
      </c>
      <c r="I383" s="339" t="e">
        <f>#REF!</f>
        <v>#REF!</v>
      </c>
      <c r="J383" s="339" t="e">
        <f>#REF!</f>
        <v>#REF!</v>
      </c>
      <c r="K383" s="339" t="e">
        <f>#REF!</f>
        <v>#REF!</v>
      </c>
      <c r="L383" s="339">
        <f>'Прил.№4 ведомств.'!G301</f>
        <v>44.4</v>
      </c>
      <c r="M383" s="339">
        <f>'Прил.№4 ведомств.'!H301</f>
        <v>42.6</v>
      </c>
      <c r="N383" s="339">
        <f t="shared" si="130"/>
        <v>95.94594594594595</v>
      </c>
    </row>
    <row r="384" spans="1:14" ht="37.5">
      <c r="A384" s="340" t="s">
        <v>335</v>
      </c>
      <c r="B384" s="338" t="s">
        <v>337</v>
      </c>
      <c r="C384" s="338" t="s">
        <v>315</v>
      </c>
      <c r="D384" s="338" t="s">
        <v>266</v>
      </c>
      <c r="E384" s="338"/>
      <c r="F384" s="356"/>
      <c r="G384" s="343" t="e">
        <f>G385</f>
        <v>#REF!</v>
      </c>
      <c r="H384" s="343" t="e">
        <f aca="true" t="shared" si="152" ref="H384:M385">H385</f>
        <v>#REF!</v>
      </c>
      <c r="I384" s="343" t="e">
        <f t="shared" si="152"/>
        <v>#REF!</v>
      </c>
      <c r="J384" s="343" t="e">
        <f t="shared" si="152"/>
        <v>#REF!</v>
      </c>
      <c r="K384" s="343" t="e">
        <f t="shared" si="152"/>
        <v>#REF!</v>
      </c>
      <c r="L384" s="343">
        <f t="shared" si="152"/>
        <v>37.94</v>
      </c>
      <c r="M384" s="343">
        <f t="shared" si="152"/>
        <v>37.9</v>
      </c>
      <c r="N384" s="339">
        <f t="shared" si="130"/>
        <v>99.89457037427518</v>
      </c>
    </row>
    <row r="385" spans="1:14" ht="56.25">
      <c r="A385" s="340" t="s">
        <v>323</v>
      </c>
      <c r="B385" s="338" t="s">
        <v>337</v>
      </c>
      <c r="C385" s="338" t="s">
        <v>315</v>
      </c>
      <c r="D385" s="338" t="s">
        <v>266</v>
      </c>
      <c r="E385" s="338" t="s">
        <v>324</v>
      </c>
      <c r="F385" s="356"/>
      <c r="G385" s="343" t="e">
        <f>G386</f>
        <v>#REF!</v>
      </c>
      <c r="H385" s="343" t="e">
        <f t="shared" si="152"/>
        <v>#REF!</v>
      </c>
      <c r="I385" s="343" t="e">
        <f t="shared" si="152"/>
        <v>#REF!</v>
      </c>
      <c r="J385" s="343" t="e">
        <f t="shared" si="152"/>
        <v>#REF!</v>
      </c>
      <c r="K385" s="343" t="e">
        <f t="shared" si="152"/>
        <v>#REF!</v>
      </c>
      <c r="L385" s="343">
        <f t="shared" si="152"/>
        <v>37.94</v>
      </c>
      <c r="M385" s="343">
        <f t="shared" si="152"/>
        <v>37.9</v>
      </c>
      <c r="N385" s="339">
        <f t="shared" si="130"/>
        <v>99.89457037427518</v>
      </c>
    </row>
    <row r="386" spans="1:14" ht="18.75">
      <c r="A386" s="340" t="s">
        <v>325</v>
      </c>
      <c r="B386" s="338" t="s">
        <v>337</v>
      </c>
      <c r="C386" s="338" t="s">
        <v>315</v>
      </c>
      <c r="D386" s="338" t="s">
        <v>266</v>
      </c>
      <c r="E386" s="338" t="s">
        <v>326</v>
      </c>
      <c r="F386" s="356"/>
      <c r="G386" s="343" t="e">
        <f>#REF!</f>
        <v>#REF!</v>
      </c>
      <c r="H386" s="343" t="e">
        <f>#REF!</f>
        <v>#REF!</v>
      </c>
      <c r="I386" s="343" t="e">
        <f>#REF!</f>
        <v>#REF!</v>
      </c>
      <c r="J386" s="343" t="e">
        <f>#REF!</f>
        <v>#REF!</v>
      </c>
      <c r="K386" s="343" t="e">
        <f>#REF!</f>
        <v>#REF!</v>
      </c>
      <c r="L386" s="343">
        <f>'Прил.№4 ведомств.'!G304</f>
        <v>37.94</v>
      </c>
      <c r="M386" s="343">
        <f>'Прил.№4 ведомств.'!H304</f>
        <v>37.9</v>
      </c>
      <c r="N386" s="339">
        <f t="shared" si="130"/>
        <v>99.89457037427518</v>
      </c>
    </row>
    <row r="387" spans="1:14" ht="56.25" hidden="1">
      <c r="A387" s="348" t="s">
        <v>338</v>
      </c>
      <c r="B387" s="344" t="s">
        <v>339</v>
      </c>
      <c r="C387" s="338" t="s">
        <v>315</v>
      </c>
      <c r="D387" s="338" t="s">
        <v>266</v>
      </c>
      <c r="E387" s="338"/>
      <c r="F387" s="356"/>
      <c r="G387" s="343" t="e">
        <f>G388</f>
        <v>#REF!</v>
      </c>
      <c r="H387" s="343" t="e">
        <f aca="true" t="shared" si="153" ref="H387:M388">H388</f>
        <v>#REF!</v>
      </c>
      <c r="I387" s="343" t="e">
        <f t="shared" si="153"/>
        <v>#REF!</v>
      </c>
      <c r="J387" s="343" t="e">
        <f t="shared" si="153"/>
        <v>#REF!</v>
      </c>
      <c r="K387" s="343" t="e">
        <f t="shared" si="153"/>
        <v>#REF!</v>
      </c>
      <c r="L387" s="343">
        <f t="shared" si="153"/>
        <v>0</v>
      </c>
      <c r="M387" s="343">
        <f t="shared" si="153"/>
        <v>0</v>
      </c>
      <c r="N387" s="339" t="e">
        <f t="shared" si="130"/>
        <v>#DIV/0!</v>
      </c>
    </row>
    <row r="388" spans="1:14" ht="56.25" hidden="1">
      <c r="A388" s="337" t="s">
        <v>323</v>
      </c>
      <c r="B388" s="344" t="s">
        <v>339</v>
      </c>
      <c r="C388" s="338" t="s">
        <v>315</v>
      </c>
      <c r="D388" s="338" t="s">
        <v>266</v>
      </c>
      <c r="E388" s="338" t="s">
        <v>324</v>
      </c>
      <c r="F388" s="356"/>
      <c r="G388" s="343" t="e">
        <f>G389</f>
        <v>#REF!</v>
      </c>
      <c r="H388" s="343" t="e">
        <f t="shared" si="153"/>
        <v>#REF!</v>
      </c>
      <c r="I388" s="343" t="e">
        <f t="shared" si="153"/>
        <v>#REF!</v>
      </c>
      <c r="J388" s="343" t="e">
        <f t="shared" si="153"/>
        <v>#REF!</v>
      </c>
      <c r="K388" s="343" t="e">
        <f t="shared" si="153"/>
        <v>#REF!</v>
      </c>
      <c r="L388" s="343">
        <f t="shared" si="153"/>
        <v>0</v>
      </c>
      <c r="M388" s="343">
        <f t="shared" si="153"/>
        <v>0</v>
      </c>
      <c r="N388" s="339" t="e">
        <f t="shared" si="130"/>
        <v>#DIV/0!</v>
      </c>
    </row>
    <row r="389" spans="1:14" ht="18.75" hidden="1">
      <c r="A389" s="349" t="s">
        <v>325</v>
      </c>
      <c r="B389" s="344" t="s">
        <v>339</v>
      </c>
      <c r="C389" s="338" t="s">
        <v>315</v>
      </c>
      <c r="D389" s="338" t="s">
        <v>266</v>
      </c>
      <c r="E389" s="338" t="s">
        <v>326</v>
      </c>
      <c r="F389" s="356"/>
      <c r="G389" s="343" t="e">
        <f>#REF!</f>
        <v>#REF!</v>
      </c>
      <c r="H389" s="343" t="e">
        <f>#REF!</f>
        <v>#REF!</v>
      </c>
      <c r="I389" s="343" t="e">
        <f>#REF!</f>
        <v>#REF!</v>
      </c>
      <c r="J389" s="343" t="e">
        <f>#REF!</f>
        <v>#REF!</v>
      </c>
      <c r="K389" s="343" t="e">
        <f>#REF!</f>
        <v>#REF!</v>
      </c>
      <c r="L389" s="343">
        <f>'Прил.№4 ведомств.'!G307</f>
        <v>0</v>
      </c>
      <c r="M389" s="343">
        <f>'Прил.№4 ведомств.'!H307</f>
        <v>0</v>
      </c>
      <c r="N389" s="339" t="e">
        <f t="shared" si="130"/>
        <v>#DIV/0!</v>
      </c>
    </row>
    <row r="390" spans="1:14" ht="56.25">
      <c r="A390" s="348" t="s">
        <v>857</v>
      </c>
      <c r="B390" s="344" t="s">
        <v>863</v>
      </c>
      <c r="C390" s="338" t="s">
        <v>315</v>
      </c>
      <c r="D390" s="338" t="s">
        <v>266</v>
      </c>
      <c r="E390" s="338"/>
      <c r="F390" s="356"/>
      <c r="G390" s="343" t="e">
        <f>G391</f>
        <v>#REF!</v>
      </c>
      <c r="H390" s="343" t="e">
        <f aca="true" t="shared" si="154" ref="H390:M391">H391</f>
        <v>#REF!</v>
      </c>
      <c r="I390" s="343" t="e">
        <f t="shared" si="154"/>
        <v>#REF!</v>
      </c>
      <c r="J390" s="343" t="e">
        <f t="shared" si="154"/>
        <v>#REF!</v>
      </c>
      <c r="K390" s="343" t="e">
        <f t="shared" si="154"/>
        <v>#REF!</v>
      </c>
      <c r="L390" s="343">
        <f t="shared" si="154"/>
        <v>315.69999999999993</v>
      </c>
      <c r="M390" s="343">
        <f t="shared" si="154"/>
        <v>277.7</v>
      </c>
      <c r="N390" s="339">
        <f t="shared" si="130"/>
        <v>87.9632562559392</v>
      </c>
    </row>
    <row r="391" spans="1:14" ht="56.25">
      <c r="A391" s="337" t="s">
        <v>323</v>
      </c>
      <c r="B391" s="344" t="s">
        <v>863</v>
      </c>
      <c r="C391" s="338" t="s">
        <v>315</v>
      </c>
      <c r="D391" s="338" t="s">
        <v>266</v>
      </c>
      <c r="E391" s="338" t="s">
        <v>324</v>
      </c>
      <c r="F391" s="356"/>
      <c r="G391" s="343" t="e">
        <f>G392</f>
        <v>#REF!</v>
      </c>
      <c r="H391" s="343" t="e">
        <f t="shared" si="154"/>
        <v>#REF!</v>
      </c>
      <c r="I391" s="343" t="e">
        <f t="shared" si="154"/>
        <v>#REF!</v>
      </c>
      <c r="J391" s="343" t="e">
        <f t="shared" si="154"/>
        <v>#REF!</v>
      </c>
      <c r="K391" s="343" t="e">
        <f t="shared" si="154"/>
        <v>#REF!</v>
      </c>
      <c r="L391" s="343">
        <f t="shared" si="154"/>
        <v>315.69999999999993</v>
      </c>
      <c r="M391" s="343">
        <f t="shared" si="154"/>
        <v>277.7</v>
      </c>
      <c r="N391" s="339">
        <f t="shared" si="130"/>
        <v>87.9632562559392</v>
      </c>
    </row>
    <row r="392" spans="1:14" ht="18.75">
      <c r="A392" s="349" t="s">
        <v>325</v>
      </c>
      <c r="B392" s="344" t="s">
        <v>863</v>
      </c>
      <c r="C392" s="338" t="s">
        <v>315</v>
      </c>
      <c r="D392" s="338" t="s">
        <v>266</v>
      </c>
      <c r="E392" s="338" t="s">
        <v>326</v>
      </c>
      <c r="F392" s="356"/>
      <c r="G392" s="343" t="e">
        <f>#REF!</f>
        <v>#REF!</v>
      </c>
      <c r="H392" s="343" t="e">
        <f>#REF!</f>
        <v>#REF!</v>
      </c>
      <c r="I392" s="343" t="e">
        <f>#REF!</f>
        <v>#REF!</v>
      </c>
      <c r="J392" s="343" t="e">
        <f>#REF!</f>
        <v>#REF!</v>
      </c>
      <c r="K392" s="343" t="e">
        <f>#REF!</f>
        <v>#REF!</v>
      </c>
      <c r="L392" s="343">
        <f>'Прил.№4 ведомств.'!G310</f>
        <v>315.69999999999993</v>
      </c>
      <c r="M392" s="343">
        <f>'Прил.№4 ведомств.'!H310</f>
        <v>277.7</v>
      </c>
      <c r="N392" s="339">
        <f t="shared" si="130"/>
        <v>87.9632562559392</v>
      </c>
    </row>
    <row r="393" spans="1:14" ht="56.25">
      <c r="A393" s="341" t="s">
        <v>312</v>
      </c>
      <c r="B393" s="338" t="s">
        <v>320</v>
      </c>
      <c r="C393" s="338" t="s">
        <v>315</v>
      </c>
      <c r="D393" s="338" t="s">
        <v>266</v>
      </c>
      <c r="E393" s="338"/>
      <c r="F393" s="360">
        <v>903</v>
      </c>
      <c r="G393" s="343" t="e">
        <f aca="true" t="shared" si="155" ref="G393:M393">G363</f>
        <v>#REF!</v>
      </c>
      <c r="H393" s="343" t="e">
        <f t="shared" si="155"/>
        <v>#REF!</v>
      </c>
      <c r="I393" s="343" t="e">
        <f t="shared" si="155"/>
        <v>#REF!</v>
      </c>
      <c r="J393" s="343" t="e">
        <f t="shared" si="155"/>
        <v>#REF!</v>
      </c>
      <c r="K393" s="343" t="e">
        <f t="shared" si="155"/>
        <v>#REF!</v>
      </c>
      <c r="L393" s="343">
        <f t="shared" si="155"/>
        <v>14160.2</v>
      </c>
      <c r="M393" s="343">
        <f t="shared" si="155"/>
        <v>14120.300000000001</v>
      </c>
      <c r="N393" s="339">
        <f t="shared" si="130"/>
        <v>99.71822431886555</v>
      </c>
    </row>
    <row r="394" spans="1:14" ht="53.25" customHeight="1">
      <c r="A394" s="345" t="s">
        <v>352</v>
      </c>
      <c r="B394" s="335" t="s">
        <v>353</v>
      </c>
      <c r="C394" s="335"/>
      <c r="D394" s="335"/>
      <c r="E394" s="363"/>
      <c r="F394" s="356"/>
      <c r="G394" s="342" t="e">
        <f>G395</f>
        <v>#REF!</v>
      </c>
      <c r="H394" s="342" t="e">
        <f aca="true" t="shared" si="156" ref="H394:M395">H395</f>
        <v>#REF!</v>
      </c>
      <c r="I394" s="342" t="e">
        <f t="shared" si="156"/>
        <v>#REF!</v>
      </c>
      <c r="J394" s="342" t="e">
        <f t="shared" si="156"/>
        <v>#REF!</v>
      </c>
      <c r="K394" s="342" t="e">
        <f t="shared" si="156"/>
        <v>#REF!</v>
      </c>
      <c r="L394" s="342">
        <f t="shared" si="156"/>
        <v>24482.9</v>
      </c>
      <c r="M394" s="342">
        <f t="shared" si="156"/>
        <v>24106.800000000003</v>
      </c>
      <c r="N394" s="336">
        <f t="shared" si="130"/>
        <v>98.46382577227372</v>
      </c>
    </row>
    <row r="395" spans="1:14" ht="18.75">
      <c r="A395" s="362" t="s">
        <v>349</v>
      </c>
      <c r="B395" s="338" t="s">
        <v>353</v>
      </c>
      <c r="C395" s="338" t="s">
        <v>350</v>
      </c>
      <c r="D395" s="362"/>
      <c r="E395" s="362"/>
      <c r="F395" s="360"/>
      <c r="G395" s="343" t="e">
        <f>G396</f>
        <v>#REF!</v>
      </c>
      <c r="H395" s="343" t="e">
        <f t="shared" si="156"/>
        <v>#REF!</v>
      </c>
      <c r="I395" s="343" t="e">
        <f t="shared" si="156"/>
        <v>#REF!</v>
      </c>
      <c r="J395" s="343" t="e">
        <f t="shared" si="156"/>
        <v>#REF!</v>
      </c>
      <c r="K395" s="343" t="e">
        <f t="shared" si="156"/>
        <v>#REF!</v>
      </c>
      <c r="L395" s="343">
        <f t="shared" si="156"/>
        <v>24482.9</v>
      </c>
      <c r="M395" s="343">
        <f t="shared" si="156"/>
        <v>24106.800000000003</v>
      </c>
      <c r="N395" s="339">
        <f aca="true" t="shared" si="157" ref="N395:N458">M395/L395*100</f>
        <v>98.46382577227372</v>
      </c>
    </row>
    <row r="396" spans="1:14" ht="18.75">
      <c r="A396" s="362" t="s">
        <v>351</v>
      </c>
      <c r="B396" s="338" t="s">
        <v>353</v>
      </c>
      <c r="C396" s="338" t="s">
        <v>350</v>
      </c>
      <c r="D396" s="338" t="s">
        <v>169</v>
      </c>
      <c r="E396" s="362"/>
      <c r="F396" s="360"/>
      <c r="G396" s="343" t="e">
        <f aca="true" t="shared" si="158" ref="G396:M396">G397+G403+G406+G400+G409+G412+G415</f>
        <v>#REF!</v>
      </c>
      <c r="H396" s="343" t="e">
        <f t="shared" si="158"/>
        <v>#REF!</v>
      </c>
      <c r="I396" s="343" t="e">
        <f t="shared" si="158"/>
        <v>#REF!</v>
      </c>
      <c r="J396" s="343" t="e">
        <f t="shared" si="158"/>
        <v>#REF!</v>
      </c>
      <c r="K396" s="343" t="e">
        <f t="shared" si="158"/>
        <v>#REF!</v>
      </c>
      <c r="L396" s="343">
        <f t="shared" si="158"/>
        <v>24482.9</v>
      </c>
      <c r="M396" s="343">
        <f t="shared" si="158"/>
        <v>24106.800000000003</v>
      </c>
      <c r="N396" s="339">
        <f t="shared" si="157"/>
        <v>98.46382577227372</v>
      </c>
    </row>
    <row r="397" spans="1:14" ht="56.25">
      <c r="A397" s="337" t="s">
        <v>354</v>
      </c>
      <c r="B397" s="338" t="s">
        <v>355</v>
      </c>
      <c r="C397" s="338" t="s">
        <v>350</v>
      </c>
      <c r="D397" s="338" t="s">
        <v>169</v>
      </c>
      <c r="E397" s="362"/>
      <c r="F397" s="360"/>
      <c r="G397" s="343" t="e">
        <f>G398</f>
        <v>#REF!</v>
      </c>
      <c r="H397" s="343" t="e">
        <f aca="true" t="shared" si="159" ref="H397:M398">H398</f>
        <v>#REF!</v>
      </c>
      <c r="I397" s="343" t="e">
        <f t="shared" si="159"/>
        <v>#REF!</v>
      </c>
      <c r="J397" s="343" t="e">
        <f t="shared" si="159"/>
        <v>#REF!</v>
      </c>
      <c r="K397" s="343" t="e">
        <f t="shared" si="159"/>
        <v>#REF!</v>
      </c>
      <c r="L397" s="343">
        <f t="shared" si="159"/>
        <v>22748.800000000003</v>
      </c>
      <c r="M397" s="343">
        <f t="shared" si="159"/>
        <v>22386.4</v>
      </c>
      <c r="N397" s="339">
        <f t="shared" si="157"/>
        <v>98.40694893796595</v>
      </c>
    </row>
    <row r="398" spans="1:14" ht="56.25">
      <c r="A398" s="337" t="s">
        <v>323</v>
      </c>
      <c r="B398" s="338" t="s">
        <v>355</v>
      </c>
      <c r="C398" s="338" t="s">
        <v>350</v>
      </c>
      <c r="D398" s="338" t="s">
        <v>169</v>
      </c>
      <c r="E398" s="338" t="s">
        <v>324</v>
      </c>
      <c r="F398" s="360"/>
      <c r="G398" s="343" t="e">
        <f>G399</f>
        <v>#REF!</v>
      </c>
      <c r="H398" s="343" t="e">
        <f t="shared" si="159"/>
        <v>#REF!</v>
      </c>
      <c r="I398" s="343" t="e">
        <f t="shared" si="159"/>
        <v>#REF!</v>
      </c>
      <c r="J398" s="343" t="e">
        <f t="shared" si="159"/>
        <v>#REF!</v>
      </c>
      <c r="K398" s="343" t="e">
        <f t="shared" si="159"/>
        <v>#REF!</v>
      </c>
      <c r="L398" s="343">
        <f t="shared" si="159"/>
        <v>22748.800000000003</v>
      </c>
      <c r="M398" s="343">
        <f t="shared" si="159"/>
        <v>22386.4</v>
      </c>
      <c r="N398" s="339">
        <f t="shared" si="157"/>
        <v>98.40694893796595</v>
      </c>
    </row>
    <row r="399" spans="1:14" ht="18.75">
      <c r="A399" s="337" t="s">
        <v>325</v>
      </c>
      <c r="B399" s="338" t="s">
        <v>355</v>
      </c>
      <c r="C399" s="338" t="s">
        <v>350</v>
      </c>
      <c r="D399" s="338" t="s">
        <v>169</v>
      </c>
      <c r="E399" s="338" t="s">
        <v>326</v>
      </c>
      <c r="F399" s="360"/>
      <c r="G399" s="343" t="e">
        <f>#REF!</f>
        <v>#REF!</v>
      </c>
      <c r="H399" s="343" t="e">
        <f>#REF!</f>
        <v>#REF!</v>
      </c>
      <c r="I399" s="343" t="e">
        <f>#REF!</f>
        <v>#REF!</v>
      </c>
      <c r="J399" s="343" t="e">
        <f>#REF!</f>
        <v>#REF!</v>
      </c>
      <c r="K399" s="343" t="e">
        <f>#REF!</f>
        <v>#REF!</v>
      </c>
      <c r="L399" s="343">
        <f>'Прил.№4 ведомств.'!G334</f>
        <v>22748.800000000003</v>
      </c>
      <c r="M399" s="343">
        <f>'Прил.№4 ведомств.'!H334</f>
        <v>22386.4</v>
      </c>
      <c r="N399" s="339">
        <f t="shared" si="157"/>
        <v>98.40694893796595</v>
      </c>
    </row>
    <row r="400" spans="1:14" ht="56.25">
      <c r="A400" s="337" t="s">
        <v>327</v>
      </c>
      <c r="B400" s="338" t="s">
        <v>356</v>
      </c>
      <c r="C400" s="338" t="s">
        <v>350</v>
      </c>
      <c r="D400" s="338" t="s">
        <v>169</v>
      </c>
      <c r="E400" s="338"/>
      <c r="F400" s="360"/>
      <c r="G400" s="343" t="e">
        <f>G401</f>
        <v>#REF!</v>
      </c>
      <c r="H400" s="343" t="e">
        <f aca="true" t="shared" si="160" ref="H400:M401">H401</f>
        <v>#REF!</v>
      </c>
      <c r="I400" s="343" t="e">
        <f t="shared" si="160"/>
        <v>#REF!</v>
      </c>
      <c r="J400" s="343" t="e">
        <f t="shared" si="160"/>
        <v>#REF!</v>
      </c>
      <c r="K400" s="343" t="e">
        <f t="shared" si="160"/>
        <v>#REF!</v>
      </c>
      <c r="L400" s="343">
        <f t="shared" si="160"/>
        <v>1402.1</v>
      </c>
      <c r="M400" s="343">
        <f t="shared" si="160"/>
        <v>1388.4</v>
      </c>
      <c r="N400" s="339">
        <f t="shared" si="157"/>
        <v>99.02289423008345</v>
      </c>
    </row>
    <row r="401" spans="1:14" ht="56.25">
      <c r="A401" s="337" t="s">
        <v>323</v>
      </c>
      <c r="B401" s="338" t="s">
        <v>356</v>
      </c>
      <c r="C401" s="338" t="s">
        <v>350</v>
      </c>
      <c r="D401" s="338" t="s">
        <v>169</v>
      </c>
      <c r="E401" s="338" t="s">
        <v>324</v>
      </c>
      <c r="F401" s="360"/>
      <c r="G401" s="343" t="e">
        <f>G402</f>
        <v>#REF!</v>
      </c>
      <c r="H401" s="343" t="e">
        <f t="shared" si="160"/>
        <v>#REF!</v>
      </c>
      <c r="I401" s="343" t="e">
        <f t="shared" si="160"/>
        <v>#REF!</v>
      </c>
      <c r="J401" s="343" t="e">
        <f t="shared" si="160"/>
        <v>#REF!</v>
      </c>
      <c r="K401" s="343" t="e">
        <f t="shared" si="160"/>
        <v>#REF!</v>
      </c>
      <c r="L401" s="343">
        <f t="shared" si="160"/>
        <v>1402.1</v>
      </c>
      <c r="M401" s="343">
        <f t="shared" si="160"/>
        <v>1388.4</v>
      </c>
      <c r="N401" s="339">
        <f t="shared" si="157"/>
        <v>99.02289423008345</v>
      </c>
    </row>
    <row r="402" spans="1:14" ht="18.75">
      <c r="A402" s="337" t="s">
        <v>325</v>
      </c>
      <c r="B402" s="338" t="s">
        <v>356</v>
      </c>
      <c r="C402" s="338" t="s">
        <v>350</v>
      </c>
      <c r="D402" s="338" t="s">
        <v>169</v>
      </c>
      <c r="E402" s="338" t="s">
        <v>326</v>
      </c>
      <c r="F402" s="360"/>
      <c r="G402" s="343" t="e">
        <f>#REF!</f>
        <v>#REF!</v>
      </c>
      <c r="H402" s="343" t="e">
        <f>#REF!</f>
        <v>#REF!</v>
      </c>
      <c r="I402" s="343" t="e">
        <f>#REF!</f>
        <v>#REF!</v>
      </c>
      <c r="J402" s="343" t="e">
        <f>#REF!</f>
        <v>#REF!</v>
      </c>
      <c r="K402" s="343" t="e">
        <f>#REF!</f>
        <v>#REF!</v>
      </c>
      <c r="L402" s="343">
        <f>'Прил.№4 ведомств.'!G337</f>
        <v>1402.1</v>
      </c>
      <c r="M402" s="343">
        <f>'Прил.№4 ведомств.'!H337</f>
        <v>1388.4</v>
      </c>
      <c r="N402" s="339">
        <f t="shared" si="157"/>
        <v>99.02289423008345</v>
      </c>
    </row>
    <row r="403" spans="1:14" ht="37.5" hidden="1">
      <c r="A403" s="337" t="s">
        <v>679</v>
      </c>
      <c r="B403" s="338" t="s">
        <v>357</v>
      </c>
      <c r="C403" s="338" t="s">
        <v>350</v>
      </c>
      <c r="D403" s="338" t="s">
        <v>169</v>
      </c>
      <c r="E403" s="338"/>
      <c r="F403" s="360"/>
      <c r="G403" s="343" t="e">
        <f>G404</f>
        <v>#REF!</v>
      </c>
      <c r="H403" s="343" t="e">
        <f aca="true" t="shared" si="161" ref="H403:M404">H404</f>
        <v>#REF!</v>
      </c>
      <c r="I403" s="343" t="e">
        <f t="shared" si="161"/>
        <v>#REF!</v>
      </c>
      <c r="J403" s="343" t="e">
        <f t="shared" si="161"/>
        <v>#REF!</v>
      </c>
      <c r="K403" s="343" t="e">
        <f t="shared" si="161"/>
        <v>#REF!</v>
      </c>
      <c r="L403" s="343">
        <f t="shared" si="161"/>
        <v>0</v>
      </c>
      <c r="M403" s="343">
        <f t="shared" si="161"/>
        <v>0</v>
      </c>
      <c r="N403" s="339" t="e">
        <f t="shared" si="157"/>
        <v>#DIV/0!</v>
      </c>
    </row>
    <row r="404" spans="1:14" ht="71.25" customHeight="1" hidden="1">
      <c r="A404" s="337" t="s">
        <v>323</v>
      </c>
      <c r="B404" s="338" t="s">
        <v>357</v>
      </c>
      <c r="C404" s="338" t="s">
        <v>350</v>
      </c>
      <c r="D404" s="338" t="s">
        <v>169</v>
      </c>
      <c r="E404" s="338" t="s">
        <v>324</v>
      </c>
      <c r="F404" s="360"/>
      <c r="G404" s="343" t="e">
        <f>G405</f>
        <v>#REF!</v>
      </c>
      <c r="H404" s="343" t="e">
        <f t="shared" si="161"/>
        <v>#REF!</v>
      </c>
      <c r="I404" s="343" t="e">
        <f t="shared" si="161"/>
        <v>#REF!</v>
      </c>
      <c r="J404" s="343" t="e">
        <f t="shared" si="161"/>
        <v>#REF!</v>
      </c>
      <c r="K404" s="343" t="e">
        <f t="shared" si="161"/>
        <v>#REF!</v>
      </c>
      <c r="L404" s="343">
        <f t="shared" si="161"/>
        <v>0</v>
      </c>
      <c r="M404" s="343">
        <f t="shared" si="161"/>
        <v>0</v>
      </c>
      <c r="N404" s="339" t="e">
        <f t="shared" si="157"/>
        <v>#DIV/0!</v>
      </c>
    </row>
    <row r="405" spans="1:14" ht="18.75" hidden="1">
      <c r="A405" s="337" t="s">
        <v>325</v>
      </c>
      <c r="B405" s="338" t="s">
        <v>357</v>
      </c>
      <c r="C405" s="338" t="s">
        <v>350</v>
      </c>
      <c r="D405" s="338" t="s">
        <v>169</v>
      </c>
      <c r="E405" s="338" t="s">
        <v>326</v>
      </c>
      <c r="F405" s="360"/>
      <c r="G405" s="343" t="e">
        <f>#REF!</f>
        <v>#REF!</v>
      </c>
      <c r="H405" s="343" t="e">
        <f>#REF!</f>
        <v>#REF!</v>
      </c>
      <c r="I405" s="343" t="e">
        <f>#REF!</f>
        <v>#REF!</v>
      </c>
      <c r="J405" s="343" t="e">
        <f>#REF!</f>
        <v>#REF!</v>
      </c>
      <c r="K405" s="343" t="e">
        <f>#REF!</f>
        <v>#REF!</v>
      </c>
      <c r="L405" s="343">
        <f>'Прил.№4 ведомств.'!G340</f>
        <v>0</v>
      </c>
      <c r="M405" s="343">
        <f>'Прил.№4 ведомств.'!H340</f>
        <v>0</v>
      </c>
      <c r="N405" s="339" t="e">
        <f t="shared" si="157"/>
        <v>#DIV/0!</v>
      </c>
    </row>
    <row r="406" spans="1:14" ht="18.75">
      <c r="A406" s="337" t="s">
        <v>358</v>
      </c>
      <c r="B406" s="338" t="s">
        <v>359</v>
      </c>
      <c r="C406" s="338" t="s">
        <v>350</v>
      </c>
      <c r="D406" s="338" t="s">
        <v>169</v>
      </c>
      <c r="E406" s="338"/>
      <c r="F406" s="360"/>
      <c r="G406" s="343" t="e">
        <f>G407</f>
        <v>#REF!</v>
      </c>
      <c r="H406" s="343" t="e">
        <f aca="true" t="shared" si="162" ref="H406:M407">H407</f>
        <v>#REF!</v>
      </c>
      <c r="I406" s="343" t="e">
        <f t="shared" si="162"/>
        <v>#REF!</v>
      </c>
      <c r="J406" s="343" t="e">
        <f t="shared" si="162"/>
        <v>#REF!</v>
      </c>
      <c r="K406" s="343" t="e">
        <f t="shared" si="162"/>
        <v>#REF!</v>
      </c>
      <c r="L406" s="343">
        <f t="shared" si="162"/>
        <v>22.400000000000006</v>
      </c>
      <c r="M406" s="343">
        <f t="shared" si="162"/>
        <v>22.4</v>
      </c>
      <c r="N406" s="339">
        <f t="shared" si="157"/>
        <v>99.99999999999997</v>
      </c>
    </row>
    <row r="407" spans="1:14" ht="56.25">
      <c r="A407" s="337" t="s">
        <v>323</v>
      </c>
      <c r="B407" s="338" t="s">
        <v>359</v>
      </c>
      <c r="C407" s="338" t="s">
        <v>350</v>
      </c>
      <c r="D407" s="338" t="s">
        <v>169</v>
      </c>
      <c r="E407" s="338" t="s">
        <v>324</v>
      </c>
      <c r="F407" s="360"/>
      <c r="G407" s="343" t="e">
        <f>G408</f>
        <v>#REF!</v>
      </c>
      <c r="H407" s="343" t="e">
        <f t="shared" si="162"/>
        <v>#REF!</v>
      </c>
      <c r="I407" s="343" t="e">
        <f t="shared" si="162"/>
        <v>#REF!</v>
      </c>
      <c r="J407" s="343" t="e">
        <f t="shared" si="162"/>
        <v>#REF!</v>
      </c>
      <c r="K407" s="343" t="e">
        <f t="shared" si="162"/>
        <v>#REF!</v>
      </c>
      <c r="L407" s="343">
        <f t="shared" si="162"/>
        <v>22.400000000000006</v>
      </c>
      <c r="M407" s="343">
        <f t="shared" si="162"/>
        <v>22.4</v>
      </c>
      <c r="N407" s="339">
        <f t="shared" si="157"/>
        <v>99.99999999999997</v>
      </c>
    </row>
    <row r="408" spans="1:14" ht="18.75">
      <c r="A408" s="337" t="s">
        <v>325</v>
      </c>
      <c r="B408" s="338" t="s">
        <v>359</v>
      </c>
      <c r="C408" s="338" t="s">
        <v>350</v>
      </c>
      <c r="D408" s="338" t="s">
        <v>169</v>
      </c>
      <c r="E408" s="338" t="s">
        <v>326</v>
      </c>
      <c r="F408" s="360"/>
      <c r="G408" s="343" t="e">
        <f>#REF!</f>
        <v>#REF!</v>
      </c>
      <c r="H408" s="343" t="e">
        <f>#REF!</f>
        <v>#REF!</v>
      </c>
      <c r="I408" s="343" t="e">
        <f>#REF!</f>
        <v>#REF!</v>
      </c>
      <c r="J408" s="343" t="e">
        <f>#REF!</f>
        <v>#REF!</v>
      </c>
      <c r="K408" s="343" t="e">
        <f>#REF!</f>
        <v>#REF!</v>
      </c>
      <c r="L408" s="343">
        <f>'Прил.№4 ведомств.'!G343</f>
        <v>22.400000000000006</v>
      </c>
      <c r="M408" s="343">
        <f>'Прил.№4 ведомств.'!H343</f>
        <v>22.4</v>
      </c>
      <c r="N408" s="339">
        <f t="shared" si="157"/>
        <v>99.99999999999997</v>
      </c>
    </row>
    <row r="409" spans="1:14" ht="37.5" hidden="1">
      <c r="A409" s="337" t="s">
        <v>335</v>
      </c>
      <c r="B409" s="338" t="s">
        <v>336</v>
      </c>
      <c r="C409" s="338" t="s">
        <v>350</v>
      </c>
      <c r="D409" s="338" t="s">
        <v>169</v>
      </c>
      <c r="E409" s="338"/>
      <c r="F409" s="360"/>
      <c r="G409" s="343" t="e">
        <f>G410</f>
        <v>#REF!</v>
      </c>
      <c r="H409" s="343" t="e">
        <f aca="true" t="shared" si="163" ref="H409:M410">H410</f>
        <v>#REF!</v>
      </c>
      <c r="I409" s="343" t="e">
        <f t="shared" si="163"/>
        <v>#REF!</v>
      </c>
      <c r="J409" s="343" t="e">
        <f t="shared" si="163"/>
        <v>#REF!</v>
      </c>
      <c r="K409" s="343" t="e">
        <f t="shared" si="163"/>
        <v>#REF!</v>
      </c>
      <c r="L409" s="343">
        <f t="shared" si="163"/>
        <v>0</v>
      </c>
      <c r="M409" s="343">
        <f t="shared" si="163"/>
        <v>0</v>
      </c>
      <c r="N409" s="339" t="e">
        <f t="shared" si="157"/>
        <v>#DIV/0!</v>
      </c>
    </row>
    <row r="410" spans="1:14" ht="56.25" hidden="1">
      <c r="A410" s="337" t="s">
        <v>323</v>
      </c>
      <c r="B410" s="338" t="s">
        <v>336</v>
      </c>
      <c r="C410" s="338" t="s">
        <v>350</v>
      </c>
      <c r="D410" s="338" t="s">
        <v>169</v>
      </c>
      <c r="E410" s="338" t="s">
        <v>324</v>
      </c>
      <c r="F410" s="360"/>
      <c r="G410" s="343" t="e">
        <f>G411</f>
        <v>#REF!</v>
      </c>
      <c r="H410" s="343" t="e">
        <f t="shared" si="163"/>
        <v>#REF!</v>
      </c>
      <c r="I410" s="343" t="e">
        <f t="shared" si="163"/>
        <v>#REF!</v>
      </c>
      <c r="J410" s="343" t="e">
        <f t="shared" si="163"/>
        <v>#REF!</v>
      </c>
      <c r="K410" s="343" t="e">
        <f t="shared" si="163"/>
        <v>#REF!</v>
      </c>
      <c r="L410" s="343">
        <f t="shared" si="163"/>
        <v>0</v>
      </c>
      <c r="M410" s="343">
        <f t="shared" si="163"/>
        <v>0</v>
      </c>
      <c r="N410" s="339" t="e">
        <f t="shared" si="157"/>
        <v>#DIV/0!</v>
      </c>
    </row>
    <row r="411" spans="1:14" ht="18.75" hidden="1">
      <c r="A411" s="337" t="s">
        <v>325</v>
      </c>
      <c r="B411" s="338" t="s">
        <v>336</v>
      </c>
      <c r="C411" s="338" t="s">
        <v>350</v>
      </c>
      <c r="D411" s="338" t="s">
        <v>169</v>
      </c>
      <c r="E411" s="338" t="s">
        <v>326</v>
      </c>
      <c r="F411" s="360"/>
      <c r="G411" s="343" t="e">
        <f>#REF!</f>
        <v>#REF!</v>
      </c>
      <c r="H411" s="343" t="e">
        <f>#REF!</f>
        <v>#REF!</v>
      </c>
      <c r="I411" s="343" t="e">
        <f>#REF!</f>
        <v>#REF!</v>
      </c>
      <c r="J411" s="343" t="e">
        <f>#REF!</f>
        <v>#REF!</v>
      </c>
      <c r="K411" s="343" t="e">
        <f>#REF!</f>
        <v>#REF!</v>
      </c>
      <c r="L411" s="343">
        <f>'Прил.№4 ведомств.'!G346</f>
        <v>0</v>
      </c>
      <c r="M411" s="343">
        <f>'Прил.№4 ведомств.'!H346</f>
        <v>0</v>
      </c>
      <c r="N411" s="339" t="e">
        <f t="shared" si="157"/>
        <v>#DIV/0!</v>
      </c>
    </row>
    <row r="412" spans="1:14" ht="56.25" hidden="1">
      <c r="A412" s="364" t="s">
        <v>338</v>
      </c>
      <c r="B412" s="344" t="s">
        <v>360</v>
      </c>
      <c r="C412" s="338" t="s">
        <v>350</v>
      </c>
      <c r="D412" s="338" t="s">
        <v>169</v>
      </c>
      <c r="E412" s="338"/>
      <c r="F412" s="360"/>
      <c r="G412" s="343" t="e">
        <f>G413</f>
        <v>#REF!</v>
      </c>
      <c r="H412" s="343" t="e">
        <f aca="true" t="shared" si="164" ref="H412:M413">H413</f>
        <v>#REF!</v>
      </c>
      <c r="I412" s="343" t="e">
        <f t="shared" si="164"/>
        <v>#REF!</v>
      </c>
      <c r="J412" s="343" t="e">
        <f t="shared" si="164"/>
        <v>#REF!</v>
      </c>
      <c r="K412" s="343" t="e">
        <f t="shared" si="164"/>
        <v>#REF!</v>
      </c>
      <c r="L412" s="343">
        <f t="shared" si="164"/>
        <v>0</v>
      </c>
      <c r="M412" s="343">
        <f t="shared" si="164"/>
        <v>0</v>
      </c>
      <c r="N412" s="339" t="e">
        <f t="shared" si="157"/>
        <v>#DIV/0!</v>
      </c>
    </row>
    <row r="413" spans="1:14" ht="56.25" hidden="1">
      <c r="A413" s="340" t="s">
        <v>323</v>
      </c>
      <c r="B413" s="344" t="s">
        <v>360</v>
      </c>
      <c r="C413" s="338" t="s">
        <v>350</v>
      </c>
      <c r="D413" s="338" t="s">
        <v>169</v>
      </c>
      <c r="E413" s="338" t="s">
        <v>324</v>
      </c>
      <c r="F413" s="360"/>
      <c r="G413" s="343" t="e">
        <f>G414</f>
        <v>#REF!</v>
      </c>
      <c r="H413" s="343" t="e">
        <f t="shared" si="164"/>
        <v>#REF!</v>
      </c>
      <c r="I413" s="343" t="e">
        <f t="shared" si="164"/>
        <v>#REF!</v>
      </c>
      <c r="J413" s="343" t="e">
        <f t="shared" si="164"/>
        <v>#REF!</v>
      </c>
      <c r="K413" s="343" t="e">
        <f t="shared" si="164"/>
        <v>#REF!</v>
      </c>
      <c r="L413" s="343">
        <f t="shared" si="164"/>
        <v>0</v>
      </c>
      <c r="M413" s="343">
        <f t="shared" si="164"/>
        <v>0</v>
      </c>
      <c r="N413" s="339" t="e">
        <f t="shared" si="157"/>
        <v>#DIV/0!</v>
      </c>
    </row>
    <row r="414" spans="1:14" ht="18.75" hidden="1">
      <c r="A414" s="340" t="s">
        <v>325</v>
      </c>
      <c r="B414" s="344" t="s">
        <v>360</v>
      </c>
      <c r="C414" s="338" t="s">
        <v>350</v>
      </c>
      <c r="D414" s="338" t="s">
        <v>169</v>
      </c>
      <c r="E414" s="338" t="s">
        <v>326</v>
      </c>
      <c r="F414" s="360"/>
      <c r="G414" s="343" t="e">
        <f>#REF!</f>
        <v>#REF!</v>
      </c>
      <c r="H414" s="343" t="e">
        <f>#REF!</f>
        <v>#REF!</v>
      </c>
      <c r="I414" s="343" t="e">
        <f>#REF!</f>
        <v>#REF!</v>
      </c>
      <c r="J414" s="343" t="e">
        <f>#REF!</f>
        <v>#REF!</v>
      </c>
      <c r="K414" s="343" t="e">
        <f>#REF!</f>
        <v>#REF!</v>
      </c>
      <c r="L414" s="343">
        <f>'Прил.№4 ведомств.'!G349</f>
        <v>0</v>
      </c>
      <c r="M414" s="343">
        <f>'Прил.№4 ведомств.'!H349</f>
        <v>0</v>
      </c>
      <c r="N414" s="339" t="e">
        <f t="shared" si="157"/>
        <v>#DIV/0!</v>
      </c>
    </row>
    <row r="415" spans="1:14" ht="56.25">
      <c r="A415" s="348" t="s">
        <v>857</v>
      </c>
      <c r="B415" s="344" t="s">
        <v>862</v>
      </c>
      <c r="C415" s="338" t="s">
        <v>350</v>
      </c>
      <c r="D415" s="338" t="s">
        <v>169</v>
      </c>
      <c r="E415" s="338"/>
      <c r="F415" s="360"/>
      <c r="G415" s="343" t="e">
        <f>G416</f>
        <v>#REF!</v>
      </c>
      <c r="H415" s="343" t="e">
        <f aca="true" t="shared" si="165" ref="H415:M416">H416</f>
        <v>#REF!</v>
      </c>
      <c r="I415" s="343" t="e">
        <f t="shared" si="165"/>
        <v>#REF!</v>
      </c>
      <c r="J415" s="343" t="e">
        <f t="shared" si="165"/>
        <v>#REF!</v>
      </c>
      <c r="K415" s="343" t="e">
        <f t="shared" si="165"/>
        <v>#REF!</v>
      </c>
      <c r="L415" s="343">
        <f t="shared" si="165"/>
        <v>309.6</v>
      </c>
      <c r="M415" s="343">
        <f t="shared" si="165"/>
        <v>309.6</v>
      </c>
      <c r="N415" s="339">
        <f t="shared" si="157"/>
        <v>100</v>
      </c>
    </row>
    <row r="416" spans="1:14" ht="56.25">
      <c r="A416" s="337" t="s">
        <v>323</v>
      </c>
      <c r="B416" s="344" t="s">
        <v>862</v>
      </c>
      <c r="C416" s="338" t="s">
        <v>350</v>
      </c>
      <c r="D416" s="338" t="s">
        <v>169</v>
      </c>
      <c r="E416" s="338" t="s">
        <v>324</v>
      </c>
      <c r="F416" s="360"/>
      <c r="G416" s="343" t="e">
        <f>G417</f>
        <v>#REF!</v>
      </c>
      <c r="H416" s="343" t="e">
        <f t="shared" si="165"/>
        <v>#REF!</v>
      </c>
      <c r="I416" s="343" t="e">
        <f t="shared" si="165"/>
        <v>#REF!</v>
      </c>
      <c r="J416" s="343" t="e">
        <f t="shared" si="165"/>
        <v>#REF!</v>
      </c>
      <c r="K416" s="343" t="e">
        <f t="shared" si="165"/>
        <v>#REF!</v>
      </c>
      <c r="L416" s="343">
        <f t="shared" si="165"/>
        <v>309.6</v>
      </c>
      <c r="M416" s="343">
        <f t="shared" si="165"/>
        <v>309.6</v>
      </c>
      <c r="N416" s="339">
        <f t="shared" si="157"/>
        <v>100</v>
      </c>
    </row>
    <row r="417" spans="1:14" ht="18.75">
      <c r="A417" s="349" t="s">
        <v>325</v>
      </c>
      <c r="B417" s="344" t="s">
        <v>862</v>
      </c>
      <c r="C417" s="338" t="s">
        <v>350</v>
      </c>
      <c r="D417" s="338" t="s">
        <v>169</v>
      </c>
      <c r="E417" s="338" t="s">
        <v>326</v>
      </c>
      <c r="F417" s="360"/>
      <c r="G417" s="343" t="e">
        <f>#REF!</f>
        <v>#REF!</v>
      </c>
      <c r="H417" s="343" t="e">
        <f>#REF!</f>
        <v>#REF!</v>
      </c>
      <c r="I417" s="343" t="e">
        <f>#REF!</f>
        <v>#REF!</v>
      </c>
      <c r="J417" s="343" t="e">
        <f>#REF!</f>
        <v>#REF!</v>
      </c>
      <c r="K417" s="343" t="e">
        <f>#REF!</f>
        <v>#REF!</v>
      </c>
      <c r="L417" s="343">
        <f>'Прил.№4 ведомств.'!G352</f>
        <v>309.6</v>
      </c>
      <c r="M417" s="343">
        <f>'Прил.№4 ведомств.'!H352</f>
        <v>309.6</v>
      </c>
      <c r="N417" s="339">
        <f t="shared" si="157"/>
        <v>100</v>
      </c>
    </row>
    <row r="418" spans="1:14" ht="56.25">
      <c r="A418" s="341" t="s">
        <v>312</v>
      </c>
      <c r="B418" s="338" t="s">
        <v>353</v>
      </c>
      <c r="C418" s="338" t="s">
        <v>350</v>
      </c>
      <c r="D418" s="338" t="s">
        <v>169</v>
      </c>
      <c r="E418" s="338"/>
      <c r="F418" s="360">
        <v>903</v>
      </c>
      <c r="G418" s="343" t="e">
        <f aca="true" t="shared" si="166" ref="G418:M418">G394</f>
        <v>#REF!</v>
      </c>
      <c r="H418" s="343" t="e">
        <f t="shared" si="166"/>
        <v>#REF!</v>
      </c>
      <c r="I418" s="343" t="e">
        <f t="shared" si="166"/>
        <v>#REF!</v>
      </c>
      <c r="J418" s="343" t="e">
        <f t="shared" si="166"/>
        <v>#REF!</v>
      </c>
      <c r="K418" s="343" t="e">
        <f t="shared" si="166"/>
        <v>#REF!</v>
      </c>
      <c r="L418" s="343">
        <f t="shared" si="166"/>
        <v>24482.9</v>
      </c>
      <c r="M418" s="343">
        <f t="shared" si="166"/>
        <v>24106.800000000003</v>
      </c>
      <c r="N418" s="339">
        <f t="shared" si="157"/>
        <v>98.46382577227372</v>
      </c>
    </row>
    <row r="419" spans="1:14" ht="56.25">
      <c r="A419" s="345" t="s">
        <v>363</v>
      </c>
      <c r="B419" s="335" t="s">
        <v>364</v>
      </c>
      <c r="C419" s="335"/>
      <c r="D419" s="335"/>
      <c r="E419" s="335"/>
      <c r="F419" s="365"/>
      <c r="G419" s="342" t="e">
        <f>G420</f>
        <v>#REF!</v>
      </c>
      <c r="H419" s="342" t="e">
        <f aca="true" t="shared" si="167" ref="H419:M420">H420</f>
        <v>#REF!</v>
      </c>
      <c r="I419" s="342" t="e">
        <f t="shared" si="167"/>
        <v>#REF!</v>
      </c>
      <c r="J419" s="342" t="e">
        <f t="shared" si="167"/>
        <v>#REF!</v>
      </c>
      <c r="K419" s="342" t="e">
        <f t="shared" si="167"/>
        <v>#REF!</v>
      </c>
      <c r="L419" s="342">
        <f t="shared" si="167"/>
        <v>18496.999999999996</v>
      </c>
      <c r="M419" s="342">
        <f t="shared" si="167"/>
        <v>18492</v>
      </c>
      <c r="N419" s="336">
        <f t="shared" si="157"/>
        <v>99.97296858950102</v>
      </c>
    </row>
    <row r="420" spans="1:14" ht="18.75">
      <c r="A420" s="362" t="s">
        <v>349</v>
      </c>
      <c r="B420" s="338" t="s">
        <v>364</v>
      </c>
      <c r="C420" s="338" t="s">
        <v>350</v>
      </c>
      <c r="D420" s="338"/>
      <c r="E420" s="335"/>
      <c r="F420" s="365"/>
      <c r="G420" s="343" t="e">
        <f>G421</f>
        <v>#REF!</v>
      </c>
      <c r="H420" s="343" t="e">
        <f t="shared" si="167"/>
        <v>#REF!</v>
      </c>
      <c r="I420" s="343" t="e">
        <f t="shared" si="167"/>
        <v>#REF!</v>
      </c>
      <c r="J420" s="343" t="e">
        <f t="shared" si="167"/>
        <v>#REF!</v>
      </c>
      <c r="K420" s="343" t="e">
        <f t="shared" si="167"/>
        <v>#REF!</v>
      </c>
      <c r="L420" s="343">
        <f t="shared" si="167"/>
        <v>18496.999999999996</v>
      </c>
      <c r="M420" s="343">
        <f t="shared" si="167"/>
        <v>18492</v>
      </c>
      <c r="N420" s="339">
        <f t="shared" si="157"/>
        <v>99.97296858950102</v>
      </c>
    </row>
    <row r="421" spans="1:14" ht="18.75">
      <c r="A421" s="362" t="s">
        <v>351</v>
      </c>
      <c r="B421" s="338" t="s">
        <v>364</v>
      </c>
      <c r="C421" s="338" t="s">
        <v>350</v>
      </c>
      <c r="D421" s="338" t="s">
        <v>169</v>
      </c>
      <c r="E421" s="335"/>
      <c r="F421" s="365"/>
      <c r="G421" s="343" t="e">
        <f aca="true" t="shared" si="168" ref="G421:M421">G422+G441+G446+G425+G449+G452</f>
        <v>#REF!</v>
      </c>
      <c r="H421" s="343" t="e">
        <f t="shared" si="168"/>
        <v>#REF!</v>
      </c>
      <c r="I421" s="343" t="e">
        <f t="shared" si="168"/>
        <v>#REF!</v>
      </c>
      <c r="J421" s="343" t="e">
        <f t="shared" si="168"/>
        <v>#REF!</v>
      </c>
      <c r="K421" s="343" t="e">
        <f t="shared" si="168"/>
        <v>#REF!</v>
      </c>
      <c r="L421" s="343">
        <f t="shared" si="168"/>
        <v>18496.999999999996</v>
      </c>
      <c r="M421" s="343">
        <f t="shared" si="168"/>
        <v>18492</v>
      </c>
      <c r="N421" s="339">
        <f t="shared" si="157"/>
        <v>99.97296858950102</v>
      </c>
    </row>
    <row r="422" spans="1:14" ht="56.25">
      <c r="A422" s="337" t="s">
        <v>354</v>
      </c>
      <c r="B422" s="338" t="s">
        <v>365</v>
      </c>
      <c r="C422" s="338" t="s">
        <v>350</v>
      </c>
      <c r="D422" s="338" t="s">
        <v>169</v>
      </c>
      <c r="E422" s="338"/>
      <c r="F422" s="366"/>
      <c r="G422" s="343" t="e">
        <f>G423</f>
        <v>#REF!</v>
      </c>
      <c r="H422" s="343" t="e">
        <f aca="true" t="shared" si="169" ref="H422:M423">H423</f>
        <v>#REF!</v>
      </c>
      <c r="I422" s="343" t="e">
        <f t="shared" si="169"/>
        <v>#REF!</v>
      </c>
      <c r="J422" s="343" t="e">
        <f t="shared" si="169"/>
        <v>#REF!</v>
      </c>
      <c r="K422" s="343" t="e">
        <f t="shared" si="169"/>
        <v>#REF!</v>
      </c>
      <c r="L422" s="343">
        <f t="shared" si="169"/>
        <v>17901.199999999997</v>
      </c>
      <c r="M422" s="343">
        <f t="shared" si="169"/>
        <v>17901.2</v>
      </c>
      <c r="N422" s="339">
        <f t="shared" si="157"/>
        <v>100.00000000000003</v>
      </c>
    </row>
    <row r="423" spans="1:14" ht="56.25">
      <c r="A423" s="337" t="s">
        <v>323</v>
      </c>
      <c r="B423" s="338" t="s">
        <v>365</v>
      </c>
      <c r="C423" s="338" t="s">
        <v>350</v>
      </c>
      <c r="D423" s="338" t="s">
        <v>169</v>
      </c>
      <c r="E423" s="338" t="s">
        <v>324</v>
      </c>
      <c r="F423" s="366"/>
      <c r="G423" s="343" t="e">
        <f>G424</f>
        <v>#REF!</v>
      </c>
      <c r="H423" s="343" t="e">
        <f t="shared" si="169"/>
        <v>#REF!</v>
      </c>
      <c r="I423" s="343" t="e">
        <f t="shared" si="169"/>
        <v>#REF!</v>
      </c>
      <c r="J423" s="343" t="e">
        <f t="shared" si="169"/>
        <v>#REF!</v>
      </c>
      <c r="K423" s="343" t="e">
        <f t="shared" si="169"/>
        <v>#REF!</v>
      </c>
      <c r="L423" s="343">
        <f t="shared" si="169"/>
        <v>17901.199999999997</v>
      </c>
      <c r="M423" s="343">
        <f t="shared" si="169"/>
        <v>17901.2</v>
      </c>
      <c r="N423" s="339">
        <f t="shared" si="157"/>
        <v>100.00000000000003</v>
      </c>
    </row>
    <row r="424" spans="1:14" ht="18.75">
      <c r="A424" s="337" t="s">
        <v>325</v>
      </c>
      <c r="B424" s="338" t="s">
        <v>365</v>
      </c>
      <c r="C424" s="338" t="s">
        <v>350</v>
      </c>
      <c r="D424" s="338" t="s">
        <v>169</v>
      </c>
      <c r="E424" s="338" t="s">
        <v>326</v>
      </c>
      <c r="F424" s="366"/>
      <c r="G424" s="339" t="e">
        <f>#REF!</f>
        <v>#REF!</v>
      </c>
      <c r="H424" s="339" t="e">
        <f>#REF!</f>
        <v>#REF!</v>
      </c>
      <c r="I424" s="339" t="e">
        <f>#REF!</f>
        <v>#REF!</v>
      </c>
      <c r="J424" s="339" t="e">
        <f>#REF!</f>
        <v>#REF!</v>
      </c>
      <c r="K424" s="339" t="e">
        <f>#REF!</f>
        <v>#REF!</v>
      </c>
      <c r="L424" s="339">
        <f>'Прил.№4 ведомств.'!G363</f>
        <v>17901.199999999997</v>
      </c>
      <c r="M424" s="339">
        <f>'Прил.№4 ведомств.'!H363</f>
        <v>17901.2</v>
      </c>
      <c r="N424" s="339">
        <f t="shared" si="157"/>
        <v>100.00000000000003</v>
      </c>
    </row>
    <row r="425" spans="1:14" ht="56.25" hidden="1">
      <c r="A425" s="337" t="s">
        <v>327</v>
      </c>
      <c r="B425" s="338" t="s">
        <v>368</v>
      </c>
      <c r="C425" s="338" t="s">
        <v>350</v>
      </c>
      <c r="D425" s="338" t="s">
        <v>169</v>
      </c>
      <c r="E425" s="338"/>
      <c r="F425" s="366"/>
      <c r="G425" s="343">
        <f>G426</f>
        <v>0</v>
      </c>
      <c r="H425" s="343">
        <f aca="true" t="shared" si="170" ref="H425:M426">H426</f>
        <v>0</v>
      </c>
      <c r="I425" s="343">
        <f t="shared" si="170"/>
        <v>0</v>
      </c>
      <c r="J425" s="343">
        <f t="shared" si="170"/>
        <v>0</v>
      </c>
      <c r="K425" s="343">
        <f t="shared" si="170"/>
        <v>0</v>
      </c>
      <c r="L425" s="343">
        <f t="shared" si="170"/>
        <v>0</v>
      </c>
      <c r="M425" s="343">
        <f t="shared" si="170"/>
        <v>0</v>
      </c>
      <c r="N425" s="339" t="e">
        <f t="shared" si="157"/>
        <v>#DIV/0!</v>
      </c>
    </row>
    <row r="426" spans="1:14" ht="56.25" hidden="1">
      <c r="A426" s="337" t="s">
        <v>323</v>
      </c>
      <c r="B426" s="338" t="s">
        <v>368</v>
      </c>
      <c r="C426" s="338" t="s">
        <v>350</v>
      </c>
      <c r="D426" s="338" t="s">
        <v>169</v>
      </c>
      <c r="E426" s="338" t="s">
        <v>324</v>
      </c>
      <c r="F426" s="366"/>
      <c r="G426" s="343">
        <f>G427</f>
        <v>0</v>
      </c>
      <c r="H426" s="343">
        <f t="shared" si="170"/>
        <v>0</v>
      </c>
      <c r="I426" s="343">
        <f t="shared" si="170"/>
        <v>0</v>
      </c>
      <c r="J426" s="343">
        <f t="shared" si="170"/>
        <v>0</v>
      </c>
      <c r="K426" s="343">
        <f t="shared" si="170"/>
        <v>0</v>
      </c>
      <c r="L426" s="343">
        <f t="shared" si="170"/>
        <v>0</v>
      </c>
      <c r="M426" s="343">
        <f t="shared" si="170"/>
        <v>0</v>
      </c>
      <c r="N426" s="339" t="e">
        <f t="shared" si="157"/>
        <v>#DIV/0!</v>
      </c>
    </row>
    <row r="427" spans="1:14" ht="18.75" hidden="1">
      <c r="A427" s="337" t="s">
        <v>325</v>
      </c>
      <c r="B427" s="338" t="s">
        <v>368</v>
      </c>
      <c r="C427" s="338" t="s">
        <v>350</v>
      </c>
      <c r="D427" s="338" t="s">
        <v>169</v>
      </c>
      <c r="E427" s="338" t="s">
        <v>326</v>
      </c>
      <c r="F427" s="366"/>
      <c r="G427" s="343"/>
      <c r="H427" s="343"/>
      <c r="I427" s="343"/>
      <c r="J427" s="343"/>
      <c r="K427" s="343"/>
      <c r="L427" s="343"/>
      <c r="M427" s="343"/>
      <c r="N427" s="339" t="e">
        <f t="shared" si="157"/>
        <v>#DIV/0!</v>
      </c>
    </row>
    <row r="428" spans="1:14" ht="56.25" hidden="1">
      <c r="A428" s="341" t="s">
        <v>312</v>
      </c>
      <c r="B428" s="338" t="s">
        <v>729</v>
      </c>
      <c r="C428" s="338" t="s">
        <v>350</v>
      </c>
      <c r="D428" s="338" t="s">
        <v>169</v>
      </c>
      <c r="E428" s="338"/>
      <c r="F428" s="360">
        <v>903</v>
      </c>
      <c r="G428" s="343">
        <f aca="true" t="shared" si="171" ref="G428:M428">G425</f>
        <v>0</v>
      </c>
      <c r="H428" s="343">
        <f t="shared" si="171"/>
        <v>0</v>
      </c>
      <c r="I428" s="343">
        <f t="shared" si="171"/>
        <v>0</v>
      </c>
      <c r="J428" s="343">
        <f t="shared" si="171"/>
        <v>0</v>
      </c>
      <c r="K428" s="343">
        <f t="shared" si="171"/>
        <v>0</v>
      </c>
      <c r="L428" s="343">
        <f t="shared" si="171"/>
        <v>0</v>
      </c>
      <c r="M428" s="343">
        <f t="shared" si="171"/>
        <v>0</v>
      </c>
      <c r="N428" s="339" t="e">
        <f t="shared" si="157"/>
        <v>#DIV/0!</v>
      </c>
    </row>
    <row r="429" spans="1:14" ht="56.25" hidden="1">
      <c r="A429" s="340" t="s">
        <v>329</v>
      </c>
      <c r="B429" s="338" t="s">
        <v>369</v>
      </c>
      <c r="C429" s="338" t="s">
        <v>350</v>
      </c>
      <c r="D429" s="338" t="s">
        <v>169</v>
      </c>
      <c r="E429" s="338"/>
      <c r="F429" s="366"/>
      <c r="G429" s="343">
        <f>G430</f>
        <v>0</v>
      </c>
      <c r="H429" s="343">
        <f aca="true" t="shared" si="172" ref="H429:M430">H430</f>
        <v>0</v>
      </c>
      <c r="I429" s="343">
        <f t="shared" si="172"/>
        <v>0</v>
      </c>
      <c r="J429" s="343">
        <f t="shared" si="172"/>
        <v>0</v>
      </c>
      <c r="K429" s="343">
        <f t="shared" si="172"/>
        <v>0</v>
      </c>
      <c r="L429" s="343">
        <f t="shared" si="172"/>
        <v>0</v>
      </c>
      <c r="M429" s="343">
        <f t="shared" si="172"/>
        <v>0</v>
      </c>
      <c r="N429" s="339" t="e">
        <f t="shared" si="157"/>
        <v>#DIV/0!</v>
      </c>
    </row>
    <row r="430" spans="1:14" ht="56.25" hidden="1">
      <c r="A430" s="337" t="s">
        <v>323</v>
      </c>
      <c r="B430" s="338" t="s">
        <v>369</v>
      </c>
      <c r="C430" s="338" t="s">
        <v>350</v>
      </c>
      <c r="D430" s="338" t="s">
        <v>169</v>
      </c>
      <c r="E430" s="338" t="s">
        <v>324</v>
      </c>
      <c r="F430" s="366"/>
      <c r="G430" s="343">
        <f>G431</f>
        <v>0</v>
      </c>
      <c r="H430" s="343">
        <f t="shared" si="172"/>
        <v>0</v>
      </c>
      <c r="I430" s="343">
        <f t="shared" si="172"/>
        <v>0</v>
      </c>
      <c r="J430" s="343">
        <f t="shared" si="172"/>
        <v>0</v>
      </c>
      <c r="K430" s="343">
        <f t="shared" si="172"/>
        <v>0</v>
      </c>
      <c r="L430" s="343">
        <f t="shared" si="172"/>
        <v>0</v>
      </c>
      <c r="M430" s="343">
        <f t="shared" si="172"/>
        <v>0</v>
      </c>
      <c r="N430" s="339" t="e">
        <f t="shared" si="157"/>
        <v>#DIV/0!</v>
      </c>
    </row>
    <row r="431" spans="1:14" ht="35.25" customHeight="1" hidden="1">
      <c r="A431" s="337" t="s">
        <v>325</v>
      </c>
      <c r="B431" s="338" t="s">
        <v>369</v>
      </c>
      <c r="C431" s="338" t="s">
        <v>350</v>
      </c>
      <c r="D431" s="338" t="s">
        <v>169</v>
      </c>
      <c r="E431" s="338" t="s">
        <v>326</v>
      </c>
      <c r="F431" s="366"/>
      <c r="G431" s="343"/>
      <c r="H431" s="343"/>
      <c r="I431" s="343"/>
      <c r="J431" s="343"/>
      <c r="K431" s="343"/>
      <c r="L431" s="343"/>
      <c r="M431" s="343"/>
      <c r="N431" s="339" t="e">
        <f t="shared" si="157"/>
        <v>#DIV/0!</v>
      </c>
    </row>
    <row r="432" spans="1:14" ht="56.25" hidden="1">
      <c r="A432" s="341" t="s">
        <v>312</v>
      </c>
      <c r="B432" s="338" t="s">
        <v>369</v>
      </c>
      <c r="C432" s="338" t="s">
        <v>350</v>
      </c>
      <c r="D432" s="338" t="s">
        <v>169</v>
      </c>
      <c r="E432" s="338"/>
      <c r="F432" s="360">
        <v>903</v>
      </c>
      <c r="G432" s="343">
        <f aca="true" t="shared" si="173" ref="G432:M432">G429</f>
        <v>0</v>
      </c>
      <c r="H432" s="343">
        <f t="shared" si="173"/>
        <v>0</v>
      </c>
      <c r="I432" s="343">
        <f t="shared" si="173"/>
        <v>0</v>
      </c>
      <c r="J432" s="343">
        <f t="shared" si="173"/>
        <v>0</v>
      </c>
      <c r="K432" s="343">
        <f t="shared" si="173"/>
        <v>0</v>
      </c>
      <c r="L432" s="343">
        <f t="shared" si="173"/>
        <v>0</v>
      </c>
      <c r="M432" s="343">
        <f t="shared" si="173"/>
        <v>0</v>
      </c>
      <c r="N432" s="339" t="e">
        <f t="shared" si="157"/>
        <v>#DIV/0!</v>
      </c>
    </row>
    <row r="433" spans="1:14" ht="18.75" hidden="1">
      <c r="A433" s="337" t="s">
        <v>730</v>
      </c>
      <c r="B433" s="338" t="s">
        <v>370</v>
      </c>
      <c r="C433" s="338" t="s">
        <v>350</v>
      </c>
      <c r="D433" s="338" t="s">
        <v>169</v>
      </c>
      <c r="E433" s="338"/>
      <c r="F433" s="366"/>
      <c r="G433" s="343">
        <f>G434</f>
        <v>0</v>
      </c>
      <c r="H433" s="343">
        <f aca="true" t="shared" si="174" ref="H433:M434">H434</f>
        <v>0</v>
      </c>
      <c r="I433" s="343">
        <f t="shared" si="174"/>
        <v>0</v>
      </c>
      <c r="J433" s="343">
        <f t="shared" si="174"/>
        <v>0</v>
      </c>
      <c r="K433" s="343">
        <f t="shared" si="174"/>
        <v>0</v>
      </c>
      <c r="L433" s="343">
        <f t="shared" si="174"/>
        <v>0</v>
      </c>
      <c r="M433" s="343">
        <f t="shared" si="174"/>
        <v>0</v>
      </c>
      <c r="N433" s="339" t="e">
        <f t="shared" si="157"/>
        <v>#DIV/0!</v>
      </c>
    </row>
    <row r="434" spans="1:14" ht="56.25" hidden="1">
      <c r="A434" s="337" t="s">
        <v>323</v>
      </c>
      <c r="B434" s="338" t="s">
        <v>370</v>
      </c>
      <c r="C434" s="338" t="s">
        <v>350</v>
      </c>
      <c r="D434" s="338" t="s">
        <v>169</v>
      </c>
      <c r="E434" s="338" t="s">
        <v>324</v>
      </c>
      <c r="F434" s="366"/>
      <c r="G434" s="343">
        <f>G435</f>
        <v>0</v>
      </c>
      <c r="H434" s="343">
        <f t="shared" si="174"/>
        <v>0</v>
      </c>
      <c r="I434" s="343">
        <f t="shared" si="174"/>
        <v>0</v>
      </c>
      <c r="J434" s="343">
        <f t="shared" si="174"/>
        <v>0</v>
      </c>
      <c r="K434" s="343">
        <f t="shared" si="174"/>
        <v>0</v>
      </c>
      <c r="L434" s="343">
        <f t="shared" si="174"/>
        <v>0</v>
      </c>
      <c r="M434" s="343">
        <f t="shared" si="174"/>
        <v>0</v>
      </c>
      <c r="N434" s="339" t="e">
        <f t="shared" si="157"/>
        <v>#DIV/0!</v>
      </c>
    </row>
    <row r="435" spans="1:14" ht="18.75" hidden="1">
      <c r="A435" s="337" t="s">
        <v>325</v>
      </c>
      <c r="B435" s="338" t="s">
        <v>370</v>
      </c>
      <c r="C435" s="338" t="s">
        <v>350</v>
      </c>
      <c r="D435" s="338" t="s">
        <v>169</v>
      </c>
      <c r="E435" s="338" t="s">
        <v>326</v>
      </c>
      <c r="F435" s="366"/>
      <c r="G435" s="343"/>
      <c r="H435" s="343"/>
      <c r="I435" s="343"/>
      <c r="J435" s="343"/>
      <c r="K435" s="343"/>
      <c r="L435" s="343"/>
      <c r="M435" s="343"/>
      <c r="N435" s="339" t="e">
        <f t="shared" si="157"/>
        <v>#DIV/0!</v>
      </c>
    </row>
    <row r="436" spans="1:14" ht="56.25" hidden="1">
      <c r="A436" s="341" t="s">
        <v>312</v>
      </c>
      <c r="B436" s="338" t="s">
        <v>370</v>
      </c>
      <c r="C436" s="338" t="s">
        <v>350</v>
      </c>
      <c r="D436" s="338" t="s">
        <v>169</v>
      </c>
      <c r="E436" s="338"/>
      <c r="F436" s="360">
        <v>903</v>
      </c>
      <c r="G436" s="343">
        <f aca="true" t="shared" si="175" ref="G436:M436">G433</f>
        <v>0</v>
      </c>
      <c r="H436" s="343">
        <f t="shared" si="175"/>
        <v>0</v>
      </c>
      <c r="I436" s="343">
        <f t="shared" si="175"/>
        <v>0</v>
      </c>
      <c r="J436" s="343">
        <f t="shared" si="175"/>
        <v>0</v>
      </c>
      <c r="K436" s="343">
        <f t="shared" si="175"/>
        <v>0</v>
      </c>
      <c r="L436" s="343">
        <f t="shared" si="175"/>
        <v>0</v>
      </c>
      <c r="M436" s="343">
        <f t="shared" si="175"/>
        <v>0</v>
      </c>
      <c r="N436" s="339" t="e">
        <f t="shared" si="157"/>
        <v>#DIV/0!</v>
      </c>
    </row>
    <row r="437" spans="1:14" ht="37.5" hidden="1">
      <c r="A437" s="337" t="s">
        <v>335</v>
      </c>
      <c r="B437" s="338" t="s">
        <v>683</v>
      </c>
      <c r="C437" s="338" t="s">
        <v>350</v>
      </c>
      <c r="D437" s="338" t="s">
        <v>169</v>
      </c>
      <c r="E437" s="338"/>
      <c r="F437" s="366"/>
      <c r="G437" s="343">
        <f>G438</f>
        <v>0</v>
      </c>
      <c r="H437" s="343">
        <f aca="true" t="shared" si="176" ref="H437:M438">H438</f>
        <v>0</v>
      </c>
      <c r="I437" s="343">
        <f t="shared" si="176"/>
        <v>0</v>
      </c>
      <c r="J437" s="343">
        <f t="shared" si="176"/>
        <v>0</v>
      </c>
      <c r="K437" s="343">
        <f t="shared" si="176"/>
        <v>0</v>
      </c>
      <c r="L437" s="343">
        <f t="shared" si="176"/>
        <v>0</v>
      </c>
      <c r="M437" s="343">
        <f t="shared" si="176"/>
        <v>0</v>
      </c>
      <c r="N437" s="339" t="e">
        <f t="shared" si="157"/>
        <v>#DIV/0!</v>
      </c>
    </row>
    <row r="438" spans="1:14" ht="56.25" hidden="1">
      <c r="A438" s="337" t="s">
        <v>323</v>
      </c>
      <c r="B438" s="338" t="s">
        <v>683</v>
      </c>
      <c r="C438" s="338" t="s">
        <v>350</v>
      </c>
      <c r="D438" s="338" t="s">
        <v>169</v>
      </c>
      <c r="E438" s="338" t="s">
        <v>324</v>
      </c>
      <c r="F438" s="366"/>
      <c r="G438" s="343">
        <f>G439</f>
        <v>0</v>
      </c>
      <c r="H438" s="343">
        <f t="shared" si="176"/>
        <v>0</v>
      </c>
      <c r="I438" s="343">
        <f t="shared" si="176"/>
        <v>0</v>
      </c>
      <c r="J438" s="343">
        <f t="shared" si="176"/>
        <v>0</v>
      </c>
      <c r="K438" s="343">
        <f t="shared" si="176"/>
        <v>0</v>
      </c>
      <c r="L438" s="343">
        <f t="shared" si="176"/>
        <v>0</v>
      </c>
      <c r="M438" s="343">
        <f t="shared" si="176"/>
        <v>0</v>
      </c>
      <c r="N438" s="339" t="e">
        <f t="shared" si="157"/>
        <v>#DIV/0!</v>
      </c>
    </row>
    <row r="439" spans="1:14" ht="18.75" hidden="1">
      <c r="A439" s="337" t="s">
        <v>325</v>
      </c>
      <c r="B439" s="338" t="s">
        <v>683</v>
      </c>
      <c r="C439" s="338" t="s">
        <v>350</v>
      </c>
      <c r="D439" s="338" t="s">
        <v>169</v>
      </c>
      <c r="E439" s="338" t="s">
        <v>326</v>
      </c>
      <c r="F439" s="366"/>
      <c r="G439" s="343"/>
      <c r="H439" s="343"/>
      <c r="I439" s="343"/>
      <c r="J439" s="343"/>
      <c r="K439" s="343"/>
      <c r="L439" s="343"/>
      <c r="M439" s="343"/>
      <c r="N439" s="339" t="e">
        <f t="shared" si="157"/>
        <v>#DIV/0!</v>
      </c>
    </row>
    <row r="440" spans="1:14" ht="56.25" hidden="1">
      <c r="A440" s="341" t="s">
        <v>312</v>
      </c>
      <c r="B440" s="338" t="s">
        <v>683</v>
      </c>
      <c r="C440" s="338" t="s">
        <v>350</v>
      </c>
      <c r="D440" s="338" t="s">
        <v>169</v>
      </c>
      <c r="E440" s="338"/>
      <c r="F440" s="360">
        <v>903</v>
      </c>
      <c r="G440" s="343">
        <f aca="true" t="shared" si="177" ref="G440:M440">G437</f>
        <v>0</v>
      </c>
      <c r="H440" s="343">
        <f t="shared" si="177"/>
        <v>0</v>
      </c>
      <c r="I440" s="343">
        <f t="shared" si="177"/>
        <v>0</v>
      </c>
      <c r="J440" s="343">
        <f t="shared" si="177"/>
        <v>0</v>
      </c>
      <c r="K440" s="343">
        <f t="shared" si="177"/>
        <v>0</v>
      </c>
      <c r="L440" s="343">
        <f t="shared" si="177"/>
        <v>0</v>
      </c>
      <c r="M440" s="343">
        <f t="shared" si="177"/>
        <v>0</v>
      </c>
      <c r="N440" s="339" t="e">
        <f t="shared" si="157"/>
        <v>#DIV/0!</v>
      </c>
    </row>
    <row r="441" spans="1:14" ht="37.5">
      <c r="A441" s="367" t="s">
        <v>731</v>
      </c>
      <c r="B441" s="338" t="s">
        <v>367</v>
      </c>
      <c r="C441" s="338" t="s">
        <v>350</v>
      </c>
      <c r="D441" s="338" t="s">
        <v>169</v>
      </c>
      <c r="E441" s="338"/>
      <c r="F441" s="360"/>
      <c r="G441" s="343" t="e">
        <f aca="true" t="shared" si="178" ref="G441:M441">G442+G444</f>
        <v>#REF!</v>
      </c>
      <c r="H441" s="343" t="e">
        <f t="shared" si="178"/>
        <v>#REF!</v>
      </c>
      <c r="I441" s="343" t="e">
        <f t="shared" si="178"/>
        <v>#REF!</v>
      </c>
      <c r="J441" s="343" t="e">
        <f t="shared" si="178"/>
        <v>#REF!</v>
      </c>
      <c r="K441" s="343" t="e">
        <f t="shared" si="178"/>
        <v>#REF!</v>
      </c>
      <c r="L441" s="343">
        <f t="shared" si="178"/>
        <v>5</v>
      </c>
      <c r="M441" s="343">
        <f t="shared" si="178"/>
        <v>5</v>
      </c>
      <c r="N441" s="339">
        <f t="shared" si="157"/>
        <v>100</v>
      </c>
    </row>
    <row r="442" spans="1:14" ht="37.5" hidden="1">
      <c r="A442" s="337" t="s">
        <v>182</v>
      </c>
      <c r="B442" s="338" t="s">
        <v>367</v>
      </c>
      <c r="C442" s="338" t="s">
        <v>350</v>
      </c>
      <c r="D442" s="338" t="s">
        <v>169</v>
      </c>
      <c r="E442" s="338" t="s">
        <v>183</v>
      </c>
      <c r="F442" s="360"/>
      <c r="G442" s="343">
        <f>G443</f>
        <v>0</v>
      </c>
      <c r="H442" s="343">
        <f aca="true" t="shared" si="179" ref="H442:M442">H443</f>
        <v>0</v>
      </c>
      <c r="I442" s="343">
        <f t="shared" si="179"/>
        <v>0</v>
      </c>
      <c r="J442" s="343">
        <f t="shared" si="179"/>
        <v>0</v>
      </c>
      <c r="K442" s="343">
        <f t="shared" si="179"/>
        <v>0</v>
      </c>
      <c r="L442" s="343">
        <f t="shared" si="179"/>
        <v>0</v>
      </c>
      <c r="M442" s="343">
        <f t="shared" si="179"/>
        <v>0</v>
      </c>
      <c r="N442" s="339" t="e">
        <f t="shared" si="157"/>
        <v>#DIV/0!</v>
      </c>
    </row>
    <row r="443" spans="1:14" ht="56.25" hidden="1">
      <c r="A443" s="337" t="s">
        <v>184</v>
      </c>
      <c r="B443" s="338" t="s">
        <v>367</v>
      </c>
      <c r="C443" s="338" t="s">
        <v>350</v>
      </c>
      <c r="D443" s="338" t="s">
        <v>169</v>
      </c>
      <c r="E443" s="338" t="s">
        <v>185</v>
      </c>
      <c r="F443" s="360"/>
      <c r="G443" s="343">
        <v>0</v>
      </c>
      <c r="H443" s="343">
        <v>0</v>
      </c>
      <c r="I443" s="343">
        <v>0</v>
      </c>
      <c r="J443" s="343">
        <v>0</v>
      </c>
      <c r="K443" s="343">
        <v>0</v>
      </c>
      <c r="L443" s="343">
        <v>0</v>
      </c>
      <c r="M443" s="343">
        <v>0</v>
      </c>
      <c r="N443" s="339" t="e">
        <f t="shared" si="157"/>
        <v>#DIV/0!</v>
      </c>
    </row>
    <row r="444" spans="1:14" ht="62.25" customHeight="1">
      <c r="A444" s="337" t="s">
        <v>323</v>
      </c>
      <c r="B444" s="338" t="s">
        <v>367</v>
      </c>
      <c r="C444" s="338" t="s">
        <v>350</v>
      </c>
      <c r="D444" s="338" t="s">
        <v>169</v>
      </c>
      <c r="E444" s="338" t="s">
        <v>324</v>
      </c>
      <c r="F444" s="360"/>
      <c r="G444" s="343" t="e">
        <f>G445</f>
        <v>#REF!</v>
      </c>
      <c r="H444" s="343" t="e">
        <f aca="true" t="shared" si="180" ref="H444:M444">H445</f>
        <v>#REF!</v>
      </c>
      <c r="I444" s="343" t="e">
        <f t="shared" si="180"/>
        <v>#REF!</v>
      </c>
      <c r="J444" s="343" t="e">
        <f t="shared" si="180"/>
        <v>#REF!</v>
      </c>
      <c r="K444" s="343" t="e">
        <f t="shared" si="180"/>
        <v>#REF!</v>
      </c>
      <c r="L444" s="343">
        <f t="shared" si="180"/>
        <v>5</v>
      </c>
      <c r="M444" s="343">
        <f t="shared" si="180"/>
        <v>5</v>
      </c>
      <c r="N444" s="339">
        <f t="shared" si="157"/>
        <v>100</v>
      </c>
    </row>
    <row r="445" spans="1:14" ht="18.75">
      <c r="A445" s="337" t="s">
        <v>325</v>
      </c>
      <c r="B445" s="338" t="s">
        <v>367</v>
      </c>
      <c r="C445" s="338" t="s">
        <v>350</v>
      </c>
      <c r="D445" s="338" t="s">
        <v>169</v>
      </c>
      <c r="E445" s="338" t="s">
        <v>326</v>
      </c>
      <c r="F445" s="360"/>
      <c r="G445" s="343" t="e">
        <f>#REF!</f>
        <v>#REF!</v>
      </c>
      <c r="H445" s="343" t="e">
        <f>#REF!</f>
        <v>#REF!</v>
      </c>
      <c r="I445" s="343" t="e">
        <f>#REF!</f>
        <v>#REF!</v>
      </c>
      <c r="J445" s="343" t="e">
        <f>#REF!</f>
        <v>#REF!</v>
      </c>
      <c r="K445" s="343" t="e">
        <f>#REF!</f>
        <v>#REF!</v>
      </c>
      <c r="L445" s="343">
        <f>'Прил.№4 ведомств.'!G368</f>
        <v>5</v>
      </c>
      <c r="M445" s="343">
        <f>'Прил.№4 ведомств.'!H368</f>
        <v>5</v>
      </c>
      <c r="N445" s="339">
        <f t="shared" si="157"/>
        <v>100</v>
      </c>
    </row>
    <row r="446" spans="1:14" ht="18.75">
      <c r="A446" s="340" t="s">
        <v>761</v>
      </c>
      <c r="B446" s="344" t="s">
        <v>762</v>
      </c>
      <c r="C446" s="338" t="s">
        <v>350</v>
      </c>
      <c r="D446" s="338" t="s">
        <v>169</v>
      </c>
      <c r="E446" s="338"/>
      <c r="F446" s="360"/>
      <c r="G446" s="343" t="e">
        <f>G447</f>
        <v>#REF!</v>
      </c>
      <c r="H446" s="343" t="e">
        <f aca="true" t="shared" si="181" ref="H446:M447">H447</f>
        <v>#REF!</v>
      </c>
      <c r="I446" s="343" t="e">
        <f t="shared" si="181"/>
        <v>#REF!</v>
      </c>
      <c r="J446" s="343" t="e">
        <f t="shared" si="181"/>
        <v>#REF!</v>
      </c>
      <c r="K446" s="343" t="e">
        <f t="shared" si="181"/>
        <v>#REF!</v>
      </c>
      <c r="L446" s="343">
        <f t="shared" si="181"/>
        <v>3.8</v>
      </c>
      <c r="M446" s="343">
        <f t="shared" si="181"/>
        <v>3.8</v>
      </c>
      <c r="N446" s="339">
        <f t="shared" si="157"/>
        <v>100</v>
      </c>
    </row>
    <row r="447" spans="1:14" ht="56.25">
      <c r="A447" s="340" t="s">
        <v>323</v>
      </c>
      <c r="B447" s="344" t="s">
        <v>762</v>
      </c>
      <c r="C447" s="338" t="s">
        <v>350</v>
      </c>
      <c r="D447" s="338" t="s">
        <v>169</v>
      </c>
      <c r="E447" s="338" t="s">
        <v>324</v>
      </c>
      <c r="F447" s="360"/>
      <c r="G447" s="343" t="e">
        <f>G448</f>
        <v>#REF!</v>
      </c>
      <c r="H447" s="343" t="e">
        <f t="shared" si="181"/>
        <v>#REF!</v>
      </c>
      <c r="I447" s="343" t="e">
        <f t="shared" si="181"/>
        <v>#REF!</v>
      </c>
      <c r="J447" s="343" t="e">
        <f t="shared" si="181"/>
        <v>#REF!</v>
      </c>
      <c r="K447" s="343" t="e">
        <f t="shared" si="181"/>
        <v>#REF!</v>
      </c>
      <c r="L447" s="343">
        <f t="shared" si="181"/>
        <v>3.8</v>
      </c>
      <c r="M447" s="343">
        <f t="shared" si="181"/>
        <v>3.8</v>
      </c>
      <c r="N447" s="339">
        <f t="shared" si="157"/>
        <v>100</v>
      </c>
    </row>
    <row r="448" spans="1:14" ht="18.75">
      <c r="A448" s="340" t="s">
        <v>325</v>
      </c>
      <c r="B448" s="344" t="s">
        <v>762</v>
      </c>
      <c r="C448" s="338" t="s">
        <v>350</v>
      </c>
      <c r="D448" s="338" t="s">
        <v>169</v>
      </c>
      <c r="E448" s="338" t="s">
        <v>326</v>
      </c>
      <c r="F448" s="360"/>
      <c r="G448" s="343" t="e">
        <f>#REF!</f>
        <v>#REF!</v>
      </c>
      <c r="H448" s="343" t="e">
        <f>#REF!</f>
        <v>#REF!</v>
      </c>
      <c r="I448" s="343" t="e">
        <f>#REF!</f>
        <v>#REF!</v>
      </c>
      <c r="J448" s="343" t="e">
        <f>#REF!</f>
        <v>#REF!</v>
      </c>
      <c r="K448" s="343" t="e">
        <f>#REF!</f>
        <v>#REF!</v>
      </c>
      <c r="L448" s="343">
        <f>'Прил.№4 ведомств.'!G371</f>
        <v>3.8</v>
      </c>
      <c r="M448" s="343">
        <f>'Прил.№4 ведомств.'!H371</f>
        <v>3.8</v>
      </c>
      <c r="N448" s="339">
        <f t="shared" si="157"/>
        <v>100</v>
      </c>
    </row>
    <row r="449" spans="1:14" ht="56.25">
      <c r="A449" s="364" t="s">
        <v>372</v>
      </c>
      <c r="B449" s="344" t="s">
        <v>373</v>
      </c>
      <c r="C449" s="338" t="s">
        <v>350</v>
      </c>
      <c r="D449" s="338" t="s">
        <v>169</v>
      </c>
      <c r="E449" s="338"/>
      <c r="F449" s="360"/>
      <c r="G449" s="343" t="e">
        <f>G450</f>
        <v>#REF!</v>
      </c>
      <c r="H449" s="343" t="e">
        <f aca="true" t="shared" si="182" ref="H449:M450">H450</f>
        <v>#REF!</v>
      </c>
      <c r="I449" s="343" t="e">
        <f t="shared" si="182"/>
        <v>#REF!</v>
      </c>
      <c r="J449" s="343" t="e">
        <f t="shared" si="182"/>
        <v>#REF!</v>
      </c>
      <c r="K449" s="343" t="e">
        <f t="shared" si="182"/>
        <v>#REF!</v>
      </c>
      <c r="L449" s="343">
        <f t="shared" si="182"/>
        <v>180</v>
      </c>
      <c r="M449" s="343">
        <f t="shared" si="182"/>
        <v>180</v>
      </c>
      <c r="N449" s="339">
        <f t="shared" si="157"/>
        <v>100</v>
      </c>
    </row>
    <row r="450" spans="1:14" ht="56.25">
      <c r="A450" s="340" t="s">
        <v>323</v>
      </c>
      <c r="B450" s="344" t="s">
        <v>373</v>
      </c>
      <c r="C450" s="338" t="s">
        <v>350</v>
      </c>
      <c r="D450" s="338" t="s">
        <v>169</v>
      </c>
      <c r="E450" s="338" t="s">
        <v>324</v>
      </c>
      <c r="F450" s="360"/>
      <c r="G450" s="343" t="e">
        <f>G451</f>
        <v>#REF!</v>
      </c>
      <c r="H450" s="343" t="e">
        <f t="shared" si="182"/>
        <v>#REF!</v>
      </c>
      <c r="I450" s="343" t="e">
        <f t="shared" si="182"/>
        <v>#REF!</v>
      </c>
      <c r="J450" s="343" t="e">
        <f t="shared" si="182"/>
        <v>#REF!</v>
      </c>
      <c r="K450" s="343" t="e">
        <f t="shared" si="182"/>
        <v>#REF!</v>
      </c>
      <c r="L450" s="343">
        <f t="shared" si="182"/>
        <v>180</v>
      </c>
      <c r="M450" s="343">
        <f t="shared" si="182"/>
        <v>180</v>
      </c>
      <c r="N450" s="339">
        <f t="shared" si="157"/>
        <v>100</v>
      </c>
    </row>
    <row r="451" spans="1:14" ht="18.75">
      <c r="A451" s="340" t="s">
        <v>325</v>
      </c>
      <c r="B451" s="344" t="s">
        <v>373</v>
      </c>
      <c r="C451" s="338" t="s">
        <v>350</v>
      </c>
      <c r="D451" s="338" t="s">
        <v>169</v>
      </c>
      <c r="E451" s="338" t="s">
        <v>326</v>
      </c>
      <c r="F451" s="360"/>
      <c r="G451" s="343" t="e">
        <f>#REF!</f>
        <v>#REF!</v>
      </c>
      <c r="H451" s="343" t="e">
        <f>#REF!</f>
        <v>#REF!</v>
      </c>
      <c r="I451" s="343" t="e">
        <f>#REF!</f>
        <v>#REF!</v>
      </c>
      <c r="J451" s="343" t="e">
        <f>#REF!</f>
        <v>#REF!</v>
      </c>
      <c r="K451" s="343" t="e">
        <f>#REF!</f>
        <v>#REF!</v>
      </c>
      <c r="L451" s="343">
        <f>'Прил.№4 ведомств.'!G386</f>
        <v>180</v>
      </c>
      <c r="M451" s="343">
        <f>'Прил.№4 ведомств.'!H386</f>
        <v>180</v>
      </c>
      <c r="N451" s="339">
        <f t="shared" si="157"/>
        <v>100</v>
      </c>
    </row>
    <row r="452" spans="1:14" ht="56.25">
      <c r="A452" s="348" t="s">
        <v>857</v>
      </c>
      <c r="B452" s="344" t="s">
        <v>870</v>
      </c>
      <c r="C452" s="338" t="s">
        <v>350</v>
      </c>
      <c r="D452" s="338" t="s">
        <v>169</v>
      </c>
      <c r="E452" s="338"/>
      <c r="F452" s="360"/>
      <c r="G452" s="343" t="e">
        <f>G453</f>
        <v>#REF!</v>
      </c>
      <c r="H452" s="343" t="e">
        <f aca="true" t="shared" si="183" ref="H452:M453">H453</f>
        <v>#REF!</v>
      </c>
      <c r="I452" s="343" t="e">
        <f t="shared" si="183"/>
        <v>#REF!</v>
      </c>
      <c r="J452" s="343" t="e">
        <f t="shared" si="183"/>
        <v>#REF!</v>
      </c>
      <c r="K452" s="343" t="e">
        <f t="shared" si="183"/>
        <v>#REF!</v>
      </c>
      <c r="L452" s="343">
        <f t="shared" si="183"/>
        <v>407.00000000000006</v>
      </c>
      <c r="M452" s="343">
        <f t="shared" si="183"/>
        <v>402</v>
      </c>
      <c r="N452" s="339">
        <f t="shared" si="157"/>
        <v>98.77149877149876</v>
      </c>
    </row>
    <row r="453" spans="1:14" ht="56.25">
      <c r="A453" s="337" t="s">
        <v>323</v>
      </c>
      <c r="B453" s="344" t="s">
        <v>870</v>
      </c>
      <c r="C453" s="338" t="s">
        <v>350</v>
      </c>
      <c r="D453" s="338" t="s">
        <v>169</v>
      </c>
      <c r="E453" s="338" t="s">
        <v>324</v>
      </c>
      <c r="F453" s="360"/>
      <c r="G453" s="343" t="e">
        <f>G454</f>
        <v>#REF!</v>
      </c>
      <c r="H453" s="343" t="e">
        <f t="shared" si="183"/>
        <v>#REF!</v>
      </c>
      <c r="I453" s="343" t="e">
        <f t="shared" si="183"/>
        <v>#REF!</v>
      </c>
      <c r="J453" s="343" t="e">
        <f t="shared" si="183"/>
        <v>#REF!</v>
      </c>
      <c r="K453" s="343" t="e">
        <f t="shared" si="183"/>
        <v>#REF!</v>
      </c>
      <c r="L453" s="343">
        <f t="shared" si="183"/>
        <v>407.00000000000006</v>
      </c>
      <c r="M453" s="343">
        <f t="shared" si="183"/>
        <v>402</v>
      </c>
      <c r="N453" s="339">
        <f t="shared" si="157"/>
        <v>98.77149877149876</v>
      </c>
    </row>
    <row r="454" spans="1:14" ht="18.75">
      <c r="A454" s="349" t="s">
        <v>325</v>
      </c>
      <c r="B454" s="344" t="s">
        <v>870</v>
      </c>
      <c r="C454" s="338" t="s">
        <v>350</v>
      </c>
      <c r="D454" s="338" t="s">
        <v>169</v>
      </c>
      <c r="E454" s="338" t="s">
        <v>326</v>
      </c>
      <c r="F454" s="360"/>
      <c r="G454" s="343" t="e">
        <f>#REF!</f>
        <v>#REF!</v>
      </c>
      <c r="H454" s="343" t="e">
        <f>#REF!</f>
        <v>#REF!</v>
      </c>
      <c r="I454" s="343" t="e">
        <f>#REF!</f>
        <v>#REF!</v>
      </c>
      <c r="J454" s="343" t="e">
        <f>#REF!</f>
        <v>#REF!</v>
      </c>
      <c r="K454" s="343" t="e">
        <f>#REF!</f>
        <v>#REF!</v>
      </c>
      <c r="L454" s="343">
        <f>'Прил.№4 ведомств.'!G389</f>
        <v>407.00000000000006</v>
      </c>
      <c r="M454" s="343">
        <f>'Прил.№4 ведомств.'!H389</f>
        <v>402</v>
      </c>
      <c r="N454" s="339">
        <f t="shared" si="157"/>
        <v>98.77149877149876</v>
      </c>
    </row>
    <row r="455" spans="1:14" ht="56.25">
      <c r="A455" s="341" t="s">
        <v>312</v>
      </c>
      <c r="B455" s="338" t="s">
        <v>364</v>
      </c>
      <c r="C455" s="338" t="s">
        <v>350</v>
      </c>
      <c r="D455" s="338" t="s">
        <v>169</v>
      </c>
      <c r="E455" s="338"/>
      <c r="F455" s="360">
        <v>903</v>
      </c>
      <c r="G455" s="343" t="e">
        <f aca="true" t="shared" si="184" ref="G455:L455">G419</f>
        <v>#REF!</v>
      </c>
      <c r="H455" s="343" t="e">
        <f t="shared" si="184"/>
        <v>#REF!</v>
      </c>
      <c r="I455" s="343" t="e">
        <f t="shared" si="184"/>
        <v>#REF!</v>
      </c>
      <c r="J455" s="343" t="e">
        <f t="shared" si="184"/>
        <v>#REF!</v>
      </c>
      <c r="K455" s="343" t="e">
        <f t="shared" si="184"/>
        <v>#REF!</v>
      </c>
      <c r="L455" s="343">
        <f t="shared" si="184"/>
        <v>18496.999999999996</v>
      </c>
      <c r="M455" s="343">
        <f>M419</f>
        <v>18492</v>
      </c>
      <c r="N455" s="339">
        <f t="shared" si="157"/>
        <v>99.97296858950102</v>
      </c>
    </row>
    <row r="456" spans="1:14" ht="56.25" hidden="1">
      <c r="A456" s="348" t="s">
        <v>372</v>
      </c>
      <c r="B456" s="338" t="s">
        <v>373</v>
      </c>
      <c r="C456" s="338" t="s">
        <v>350</v>
      </c>
      <c r="D456" s="338" t="s">
        <v>169</v>
      </c>
      <c r="E456" s="338"/>
      <c r="F456" s="360"/>
      <c r="G456" s="343">
        <f>G457</f>
        <v>0</v>
      </c>
      <c r="H456" s="343">
        <f aca="true" t="shared" si="185" ref="H456:M456">H457</f>
        <v>0</v>
      </c>
      <c r="I456" s="343">
        <f t="shared" si="185"/>
        <v>0</v>
      </c>
      <c r="J456" s="343">
        <f t="shared" si="185"/>
        <v>0</v>
      </c>
      <c r="K456" s="343">
        <f t="shared" si="185"/>
        <v>0</v>
      </c>
      <c r="L456" s="343">
        <f t="shared" si="185"/>
        <v>0</v>
      </c>
      <c r="M456" s="343">
        <f t="shared" si="185"/>
        <v>0</v>
      </c>
      <c r="N456" s="336" t="e">
        <f t="shared" si="157"/>
        <v>#DIV/0!</v>
      </c>
    </row>
    <row r="457" spans="1:14" ht="56.25" hidden="1">
      <c r="A457" s="337" t="s">
        <v>323</v>
      </c>
      <c r="B457" s="338" t="s">
        <v>373</v>
      </c>
      <c r="C457" s="338" t="s">
        <v>350</v>
      </c>
      <c r="D457" s="338" t="s">
        <v>169</v>
      </c>
      <c r="E457" s="338" t="s">
        <v>324</v>
      </c>
      <c r="F457" s="360"/>
      <c r="G457" s="343"/>
      <c r="H457" s="343"/>
      <c r="I457" s="343"/>
      <c r="J457" s="343"/>
      <c r="K457" s="343"/>
      <c r="L457" s="343"/>
      <c r="M457" s="343"/>
      <c r="N457" s="336" t="e">
        <f t="shared" si="157"/>
        <v>#DIV/0!</v>
      </c>
    </row>
    <row r="458" spans="1:14" ht="18.75" hidden="1">
      <c r="A458" s="337" t="s">
        <v>325</v>
      </c>
      <c r="B458" s="338" t="s">
        <v>373</v>
      </c>
      <c r="C458" s="338" t="s">
        <v>350</v>
      </c>
      <c r="D458" s="338" t="s">
        <v>169</v>
      </c>
      <c r="E458" s="338" t="s">
        <v>326</v>
      </c>
      <c r="F458" s="360"/>
      <c r="G458" s="343"/>
      <c r="H458" s="343"/>
      <c r="I458" s="343"/>
      <c r="J458" s="343"/>
      <c r="K458" s="343"/>
      <c r="L458" s="343"/>
      <c r="M458" s="343"/>
      <c r="N458" s="336" t="e">
        <f t="shared" si="157"/>
        <v>#DIV/0!</v>
      </c>
    </row>
    <row r="459" spans="1:14" ht="56.25" hidden="1">
      <c r="A459" s="341" t="s">
        <v>312</v>
      </c>
      <c r="B459" s="338" t="s">
        <v>373</v>
      </c>
      <c r="C459" s="338" t="s">
        <v>350</v>
      </c>
      <c r="D459" s="338" t="s">
        <v>169</v>
      </c>
      <c r="E459" s="338"/>
      <c r="F459" s="360">
        <v>903</v>
      </c>
      <c r="G459" s="343">
        <f aca="true" t="shared" si="186" ref="G459:M459">G458</f>
        <v>0</v>
      </c>
      <c r="H459" s="343">
        <f t="shared" si="186"/>
        <v>0</v>
      </c>
      <c r="I459" s="343">
        <f t="shared" si="186"/>
        <v>0</v>
      </c>
      <c r="J459" s="343">
        <f t="shared" si="186"/>
        <v>0</v>
      </c>
      <c r="K459" s="343">
        <f t="shared" si="186"/>
        <v>0</v>
      </c>
      <c r="L459" s="343">
        <f t="shared" si="186"/>
        <v>0</v>
      </c>
      <c r="M459" s="343">
        <f t="shared" si="186"/>
        <v>0</v>
      </c>
      <c r="N459" s="336" t="e">
        <f aca="true" t="shared" si="187" ref="N459:N522">M459/L459*100</f>
        <v>#DIV/0!</v>
      </c>
    </row>
    <row r="460" spans="1:14" ht="59.25" customHeight="1">
      <c r="A460" s="345" t="s">
        <v>998</v>
      </c>
      <c r="B460" s="335" t="s">
        <v>375</v>
      </c>
      <c r="C460" s="363"/>
      <c r="D460" s="363"/>
      <c r="E460" s="363"/>
      <c r="F460" s="363"/>
      <c r="G460" s="342" t="e">
        <f>G461</f>
        <v>#REF!</v>
      </c>
      <c r="H460" s="342" t="e">
        <f aca="true" t="shared" si="188" ref="H460:M464">H461</f>
        <v>#REF!</v>
      </c>
      <c r="I460" s="342" t="e">
        <f t="shared" si="188"/>
        <v>#REF!</v>
      </c>
      <c r="J460" s="342" t="e">
        <f t="shared" si="188"/>
        <v>#REF!</v>
      </c>
      <c r="K460" s="342" t="e">
        <f t="shared" si="188"/>
        <v>#REF!</v>
      </c>
      <c r="L460" s="342">
        <f aca="true" t="shared" si="189" ref="L460:M462">L461</f>
        <v>545</v>
      </c>
      <c r="M460" s="342">
        <f t="shared" si="189"/>
        <v>545</v>
      </c>
      <c r="N460" s="336">
        <f t="shared" si="187"/>
        <v>100</v>
      </c>
    </row>
    <row r="461" spans="1:14" ht="18.75">
      <c r="A461" s="362" t="s">
        <v>542</v>
      </c>
      <c r="B461" s="338" t="s">
        <v>375</v>
      </c>
      <c r="C461" s="338" t="s">
        <v>543</v>
      </c>
      <c r="D461" s="362"/>
      <c r="E461" s="362"/>
      <c r="F461" s="362"/>
      <c r="G461" s="343" t="e">
        <f>G462</f>
        <v>#REF!</v>
      </c>
      <c r="H461" s="343" t="e">
        <f t="shared" si="188"/>
        <v>#REF!</v>
      </c>
      <c r="I461" s="343" t="e">
        <f t="shared" si="188"/>
        <v>#REF!</v>
      </c>
      <c r="J461" s="343" t="e">
        <f t="shared" si="188"/>
        <v>#REF!</v>
      </c>
      <c r="K461" s="343" t="e">
        <f t="shared" si="188"/>
        <v>#REF!</v>
      </c>
      <c r="L461" s="343">
        <f t="shared" si="189"/>
        <v>545</v>
      </c>
      <c r="M461" s="343">
        <f t="shared" si="189"/>
        <v>545</v>
      </c>
      <c r="N461" s="339">
        <f t="shared" si="187"/>
        <v>100</v>
      </c>
    </row>
    <row r="462" spans="1:14" ht="18.75">
      <c r="A462" s="362" t="s">
        <v>544</v>
      </c>
      <c r="B462" s="338" t="s">
        <v>375</v>
      </c>
      <c r="C462" s="338" t="s">
        <v>543</v>
      </c>
      <c r="D462" s="338" t="s">
        <v>169</v>
      </c>
      <c r="E462" s="362"/>
      <c r="F462" s="362"/>
      <c r="G462" s="343" t="e">
        <f>G463</f>
        <v>#REF!</v>
      </c>
      <c r="H462" s="343" t="e">
        <f t="shared" si="188"/>
        <v>#REF!</v>
      </c>
      <c r="I462" s="343" t="e">
        <f t="shared" si="188"/>
        <v>#REF!</v>
      </c>
      <c r="J462" s="343" t="e">
        <f t="shared" si="188"/>
        <v>#REF!</v>
      </c>
      <c r="K462" s="343" t="e">
        <f t="shared" si="188"/>
        <v>#REF!</v>
      </c>
      <c r="L462" s="343">
        <f t="shared" si="189"/>
        <v>545</v>
      </c>
      <c r="M462" s="343">
        <f t="shared" si="189"/>
        <v>545</v>
      </c>
      <c r="N462" s="339">
        <f t="shared" si="187"/>
        <v>100</v>
      </c>
    </row>
    <row r="463" spans="1:14" ht="56.25">
      <c r="A463" s="350" t="s">
        <v>376</v>
      </c>
      <c r="B463" s="338" t="s">
        <v>377</v>
      </c>
      <c r="C463" s="338" t="s">
        <v>543</v>
      </c>
      <c r="D463" s="338" t="s">
        <v>169</v>
      </c>
      <c r="E463" s="362"/>
      <c r="F463" s="362"/>
      <c r="G463" s="343" t="e">
        <f>G464</f>
        <v>#REF!</v>
      </c>
      <c r="H463" s="343" t="e">
        <f t="shared" si="188"/>
        <v>#REF!</v>
      </c>
      <c r="I463" s="343" t="e">
        <f t="shared" si="188"/>
        <v>#REF!</v>
      </c>
      <c r="J463" s="343" t="e">
        <f t="shared" si="188"/>
        <v>#REF!</v>
      </c>
      <c r="K463" s="343" t="e">
        <f t="shared" si="188"/>
        <v>#REF!</v>
      </c>
      <c r="L463" s="343">
        <f t="shared" si="188"/>
        <v>545</v>
      </c>
      <c r="M463" s="343">
        <f t="shared" si="188"/>
        <v>545</v>
      </c>
      <c r="N463" s="339">
        <f t="shared" si="187"/>
        <v>100</v>
      </c>
    </row>
    <row r="464" spans="1:14" ht="56.25">
      <c r="A464" s="340" t="s">
        <v>323</v>
      </c>
      <c r="B464" s="338" t="s">
        <v>377</v>
      </c>
      <c r="C464" s="338" t="s">
        <v>543</v>
      </c>
      <c r="D464" s="338" t="s">
        <v>169</v>
      </c>
      <c r="E464" s="338" t="s">
        <v>324</v>
      </c>
      <c r="F464" s="362"/>
      <c r="G464" s="343" t="e">
        <f>G465</f>
        <v>#REF!</v>
      </c>
      <c r="H464" s="343" t="e">
        <f t="shared" si="188"/>
        <v>#REF!</v>
      </c>
      <c r="I464" s="343" t="e">
        <f t="shared" si="188"/>
        <v>#REF!</v>
      </c>
      <c r="J464" s="343" t="e">
        <f t="shared" si="188"/>
        <v>#REF!</v>
      </c>
      <c r="K464" s="343" t="e">
        <f t="shared" si="188"/>
        <v>#REF!</v>
      </c>
      <c r="L464" s="343">
        <f t="shared" si="188"/>
        <v>545</v>
      </c>
      <c r="M464" s="343">
        <f t="shared" si="188"/>
        <v>545</v>
      </c>
      <c r="N464" s="339">
        <f t="shared" si="187"/>
        <v>100</v>
      </c>
    </row>
    <row r="465" spans="1:14" ht="18.75">
      <c r="A465" s="340" t="s">
        <v>325</v>
      </c>
      <c r="B465" s="338" t="s">
        <v>377</v>
      </c>
      <c r="C465" s="338" t="s">
        <v>543</v>
      </c>
      <c r="D465" s="338" t="s">
        <v>169</v>
      </c>
      <c r="E465" s="338" t="s">
        <v>326</v>
      </c>
      <c r="F465" s="362"/>
      <c r="G465" s="343" t="e">
        <f>#REF!</f>
        <v>#REF!</v>
      </c>
      <c r="H465" s="343" t="e">
        <f>#REF!</f>
        <v>#REF!</v>
      </c>
      <c r="I465" s="343" t="e">
        <f>#REF!</f>
        <v>#REF!</v>
      </c>
      <c r="J465" s="343" t="e">
        <f>#REF!</f>
        <v>#REF!</v>
      </c>
      <c r="K465" s="343" t="e">
        <f>#REF!</f>
        <v>#REF!</v>
      </c>
      <c r="L465" s="343">
        <f>'Прил.№4 ведомств.'!G844</f>
        <v>545</v>
      </c>
      <c r="M465" s="343">
        <f>'Прил.№4 ведомств.'!H844</f>
        <v>545</v>
      </c>
      <c r="N465" s="339">
        <f t="shared" si="187"/>
        <v>100</v>
      </c>
    </row>
    <row r="466" spans="1:14" ht="37.5">
      <c r="A466" s="341" t="s">
        <v>532</v>
      </c>
      <c r="B466" s="338" t="s">
        <v>375</v>
      </c>
      <c r="C466" s="338" t="s">
        <v>543</v>
      </c>
      <c r="D466" s="338" t="s">
        <v>169</v>
      </c>
      <c r="E466" s="362"/>
      <c r="F466" s="360">
        <v>907</v>
      </c>
      <c r="G466" s="343" t="e">
        <f>G460</f>
        <v>#REF!</v>
      </c>
      <c r="H466" s="343" t="e">
        <f>H460</f>
        <v>#REF!</v>
      </c>
      <c r="I466" s="343" t="e">
        <f>I460</f>
        <v>#REF!</v>
      </c>
      <c r="J466" s="343" t="e">
        <f>J460</f>
        <v>#REF!</v>
      </c>
      <c r="K466" s="343" t="e">
        <f>K460</f>
        <v>#REF!</v>
      </c>
      <c r="L466" s="343">
        <f>L462</f>
        <v>545</v>
      </c>
      <c r="M466" s="343">
        <f>M462</f>
        <v>545</v>
      </c>
      <c r="N466" s="339">
        <f t="shared" si="187"/>
        <v>100</v>
      </c>
    </row>
    <row r="467" spans="1:14" ht="75">
      <c r="A467" s="345" t="s">
        <v>594</v>
      </c>
      <c r="B467" s="335" t="s">
        <v>595</v>
      </c>
      <c r="C467" s="360"/>
      <c r="D467" s="360"/>
      <c r="E467" s="360"/>
      <c r="F467" s="360"/>
      <c r="G467" s="342" t="e">
        <f aca="true" t="shared" si="190" ref="G467:M467">G468+G486</f>
        <v>#REF!</v>
      </c>
      <c r="H467" s="342" t="e">
        <f t="shared" si="190"/>
        <v>#REF!</v>
      </c>
      <c r="I467" s="342" t="e">
        <f t="shared" si="190"/>
        <v>#REF!</v>
      </c>
      <c r="J467" s="342" t="e">
        <f t="shared" si="190"/>
        <v>#REF!</v>
      </c>
      <c r="K467" s="342" t="e">
        <f t="shared" si="190"/>
        <v>#REF!</v>
      </c>
      <c r="L467" s="342">
        <f t="shared" si="190"/>
        <v>7436.299999999999</v>
      </c>
      <c r="M467" s="342">
        <f t="shared" si="190"/>
        <v>5578.299999999999</v>
      </c>
      <c r="N467" s="336">
        <f t="shared" si="187"/>
        <v>75.01445611392762</v>
      </c>
    </row>
    <row r="468" spans="1:14" ht="75">
      <c r="A468" s="345" t="s">
        <v>596</v>
      </c>
      <c r="B468" s="335" t="s">
        <v>597</v>
      </c>
      <c r="C468" s="335"/>
      <c r="D468" s="335"/>
      <c r="E468" s="356"/>
      <c r="F468" s="356"/>
      <c r="G468" s="342" t="e">
        <f>G469</f>
        <v>#REF!</v>
      </c>
      <c r="H468" s="342" t="e">
        <f aca="true" t="shared" si="191" ref="H468:M469">H469</f>
        <v>#REF!</v>
      </c>
      <c r="I468" s="342" t="e">
        <f t="shared" si="191"/>
        <v>#REF!</v>
      </c>
      <c r="J468" s="342" t="e">
        <f t="shared" si="191"/>
        <v>#REF!</v>
      </c>
      <c r="K468" s="342" t="e">
        <f t="shared" si="191"/>
        <v>#REF!</v>
      </c>
      <c r="L468" s="342">
        <f t="shared" si="191"/>
        <v>6912.5</v>
      </c>
      <c r="M468" s="342">
        <f t="shared" si="191"/>
        <v>5316.9</v>
      </c>
      <c r="N468" s="336">
        <f t="shared" si="187"/>
        <v>76.91717902350813</v>
      </c>
    </row>
    <row r="469" spans="1:14" ht="18.75">
      <c r="A469" s="362" t="s">
        <v>442</v>
      </c>
      <c r="B469" s="338" t="s">
        <v>597</v>
      </c>
      <c r="C469" s="338" t="s">
        <v>285</v>
      </c>
      <c r="D469" s="338"/>
      <c r="E469" s="360"/>
      <c r="F469" s="360"/>
      <c r="G469" s="343" t="e">
        <f>G470</f>
        <v>#REF!</v>
      </c>
      <c r="H469" s="343" t="e">
        <f t="shared" si="191"/>
        <v>#REF!</v>
      </c>
      <c r="I469" s="343" t="e">
        <f t="shared" si="191"/>
        <v>#REF!</v>
      </c>
      <c r="J469" s="343" t="e">
        <f t="shared" si="191"/>
        <v>#REF!</v>
      </c>
      <c r="K469" s="343" t="e">
        <f t="shared" si="191"/>
        <v>#REF!</v>
      </c>
      <c r="L469" s="343">
        <f t="shared" si="191"/>
        <v>6912.5</v>
      </c>
      <c r="M469" s="343">
        <f t="shared" si="191"/>
        <v>5316.9</v>
      </c>
      <c r="N469" s="339">
        <f t="shared" si="187"/>
        <v>76.91717902350813</v>
      </c>
    </row>
    <row r="470" spans="1:14" ht="18.75">
      <c r="A470" s="362" t="s">
        <v>593</v>
      </c>
      <c r="B470" s="338" t="s">
        <v>597</v>
      </c>
      <c r="C470" s="338" t="s">
        <v>285</v>
      </c>
      <c r="D470" s="338" t="s">
        <v>266</v>
      </c>
      <c r="E470" s="360"/>
      <c r="F470" s="360"/>
      <c r="G470" s="343" t="e">
        <f>G471+G474+G479</f>
        <v>#REF!</v>
      </c>
      <c r="H470" s="343" t="e">
        <f>H471+H474+H479</f>
        <v>#REF!</v>
      </c>
      <c r="I470" s="343" t="e">
        <f>I471+I474+I479</f>
        <v>#REF!</v>
      </c>
      <c r="J470" s="343" t="e">
        <f>J471+J474+J479</f>
        <v>#REF!</v>
      </c>
      <c r="K470" s="343" t="e">
        <f>K471+K474+K479</f>
        <v>#REF!</v>
      </c>
      <c r="L470" s="343">
        <f>L471+L474+L479+L482</f>
        <v>6912.5</v>
      </c>
      <c r="M470" s="343">
        <f>M471+M474+M479+M482</f>
        <v>5316.9</v>
      </c>
      <c r="N470" s="339">
        <f t="shared" si="187"/>
        <v>76.91717902350813</v>
      </c>
    </row>
    <row r="471" spans="1:14" ht="37.5" hidden="1">
      <c r="A471" s="340" t="s">
        <v>598</v>
      </c>
      <c r="B471" s="344" t="s">
        <v>599</v>
      </c>
      <c r="C471" s="338" t="s">
        <v>285</v>
      </c>
      <c r="D471" s="338" t="s">
        <v>266</v>
      </c>
      <c r="E471" s="360"/>
      <c r="F471" s="360"/>
      <c r="G471" s="343" t="e">
        <f>G472</f>
        <v>#REF!</v>
      </c>
      <c r="H471" s="343" t="e">
        <f aca="true" t="shared" si="192" ref="H471:M472">H472</f>
        <v>#REF!</v>
      </c>
      <c r="I471" s="343" t="e">
        <f t="shared" si="192"/>
        <v>#REF!</v>
      </c>
      <c r="J471" s="343" t="e">
        <f t="shared" si="192"/>
        <v>#REF!</v>
      </c>
      <c r="K471" s="343" t="e">
        <f t="shared" si="192"/>
        <v>#REF!</v>
      </c>
      <c r="L471" s="343">
        <f t="shared" si="192"/>
        <v>0</v>
      </c>
      <c r="M471" s="343">
        <f t="shared" si="192"/>
        <v>0</v>
      </c>
      <c r="N471" s="339" t="e">
        <f t="shared" si="187"/>
        <v>#DIV/0!</v>
      </c>
    </row>
    <row r="472" spans="1:14" ht="51" customHeight="1" hidden="1">
      <c r="A472" s="340" t="s">
        <v>182</v>
      </c>
      <c r="B472" s="344" t="s">
        <v>599</v>
      </c>
      <c r="C472" s="338" t="s">
        <v>285</v>
      </c>
      <c r="D472" s="338" t="s">
        <v>266</v>
      </c>
      <c r="E472" s="360">
        <v>200</v>
      </c>
      <c r="F472" s="360"/>
      <c r="G472" s="343" t="e">
        <f>G473</f>
        <v>#REF!</v>
      </c>
      <c r="H472" s="343" t="e">
        <f t="shared" si="192"/>
        <v>#REF!</v>
      </c>
      <c r="I472" s="343" t="e">
        <f t="shared" si="192"/>
        <v>#REF!</v>
      </c>
      <c r="J472" s="343" t="e">
        <f t="shared" si="192"/>
        <v>#REF!</v>
      </c>
      <c r="K472" s="343" t="e">
        <f t="shared" si="192"/>
        <v>#REF!</v>
      </c>
      <c r="L472" s="343">
        <f t="shared" si="192"/>
        <v>0</v>
      </c>
      <c r="M472" s="343">
        <f t="shared" si="192"/>
        <v>0</v>
      </c>
      <c r="N472" s="339" t="e">
        <f t="shared" si="187"/>
        <v>#DIV/0!</v>
      </c>
    </row>
    <row r="473" spans="1:14" ht="56.25" hidden="1">
      <c r="A473" s="340" t="s">
        <v>184</v>
      </c>
      <c r="B473" s="344" t="s">
        <v>599</v>
      </c>
      <c r="C473" s="338" t="s">
        <v>285</v>
      </c>
      <c r="D473" s="338" t="s">
        <v>266</v>
      </c>
      <c r="E473" s="360">
        <v>240</v>
      </c>
      <c r="F473" s="360"/>
      <c r="G473" s="343" t="e">
        <f>#REF!</f>
        <v>#REF!</v>
      </c>
      <c r="H473" s="343" t="e">
        <f>#REF!</f>
        <v>#REF!</v>
      </c>
      <c r="I473" s="343" t="e">
        <f>#REF!</f>
        <v>#REF!</v>
      </c>
      <c r="J473" s="343" t="e">
        <f>#REF!</f>
        <v>#REF!</v>
      </c>
      <c r="K473" s="343" t="e">
        <f>#REF!</f>
        <v>#REF!</v>
      </c>
      <c r="L473" s="343">
        <f>'Прил.№4 ведомств.'!G1006</f>
        <v>0</v>
      </c>
      <c r="M473" s="343">
        <f>'Прил.№4 ведомств.'!H1006</f>
        <v>0</v>
      </c>
      <c r="N473" s="339" t="e">
        <f t="shared" si="187"/>
        <v>#DIV/0!</v>
      </c>
    </row>
    <row r="474" spans="1:14" ht="31.5" customHeight="1">
      <c r="A474" s="340" t="s">
        <v>600</v>
      </c>
      <c r="B474" s="344" t="s">
        <v>601</v>
      </c>
      <c r="C474" s="338" t="s">
        <v>285</v>
      </c>
      <c r="D474" s="338" t="s">
        <v>266</v>
      </c>
      <c r="E474" s="360"/>
      <c r="F474" s="360"/>
      <c r="G474" s="343" t="e">
        <f>G475</f>
        <v>#REF!</v>
      </c>
      <c r="H474" s="343" t="e">
        <f aca="true" t="shared" si="193" ref="H474:M475">H475</f>
        <v>#REF!</v>
      </c>
      <c r="I474" s="343" t="e">
        <f t="shared" si="193"/>
        <v>#REF!</v>
      </c>
      <c r="J474" s="343" t="e">
        <f t="shared" si="193"/>
        <v>#REF!</v>
      </c>
      <c r="K474" s="343" t="e">
        <f t="shared" si="193"/>
        <v>#REF!</v>
      </c>
      <c r="L474" s="343">
        <f>L475+L477</f>
        <v>2189.9000000000005</v>
      </c>
      <c r="M474" s="343">
        <f>M475+M477</f>
        <v>2144</v>
      </c>
      <c r="N474" s="339">
        <f t="shared" si="187"/>
        <v>97.90401388191239</v>
      </c>
    </row>
    <row r="475" spans="1:14" ht="37.5">
      <c r="A475" s="340" t="s">
        <v>182</v>
      </c>
      <c r="B475" s="344" t="s">
        <v>601</v>
      </c>
      <c r="C475" s="338" t="s">
        <v>285</v>
      </c>
      <c r="D475" s="338" t="s">
        <v>266</v>
      </c>
      <c r="E475" s="360">
        <v>200</v>
      </c>
      <c r="F475" s="360"/>
      <c r="G475" s="343" t="e">
        <f>G476</f>
        <v>#REF!</v>
      </c>
      <c r="H475" s="343" t="e">
        <f t="shared" si="193"/>
        <v>#REF!</v>
      </c>
      <c r="I475" s="343" t="e">
        <f t="shared" si="193"/>
        <v>#REF!</v>
      </c>
      <c r="J475" s="343" t="e">
        <f t="shared" si="193"/>
        <v>#REF!</v>
      </c>
      <c r="K475" s="343" t="e">
        <f t="shared" si="193"/>
        <v>#REF!</v>
      </c>
      <c r="L475" s="343">
        <f t="shared" si="193"/>
        <v>2152.4000000000005</v>
      </c>
      <c r="M475" s="343">
        <f t="shared" si="193"/>
        <v>2106.5</v>
      </c>
      <c r="N475" s="339">
        <f t="shared" si="187"/>
        <v>97.86749674781636</v>
      </c>
    </row>
    <row r="476" spans="1:14" ht="56.25">
      <c r="A476" s="340" t="s">
        <v>184</v>
      </c>
      <c r="B476" s="344" t="s">
        <v>601</v>
      </c>
      <c r="C476" s="338" t="s">
        <v>285</v>
      </c>
      <c r="D476" s="338" t="s">
        <v>266</v>
      </c>
      <c r="E476" s="360">
        <v>240</v>
      </c>
      <c r="F476" s="360"/>
      <c r="G476" s="343" t="e">
        <f>#REF!</f>
        <v>#REF!</v>
      </c>
      <c r="H476" s="343" t="e">
        <f>#REF!</f>
        <v>#REF!</v>
      </c>
      <c r="I476" s="343" t="e">
        <f>#REF!</f>
        <v>#REF!</v>
      </c>
      <c r="J476" s="343" t="e">
        <f>#REF!</f>
        <v>#REF!</v>
      </c>
      <c r="K476" s="343" t="e">
        <f>#REF!</f>
        <v>#REF!</v>
      </c>
      <c r="L476" s="343">
        <f>'Прил.№4 ведомств.'!G1009</f>
        <v>2152.4000000000005</v>
      </c>
      <c r="M476" s="343">
        <f>'Прил.№4 ведомств.'!H1009</f>
        <v>2106.5</v>
      </c>
      <c r="N476" s="339">
        <f t="shared" si="187"/>
        <v>97.86749674781636</v>
      </c>
    </row>
    <row r="477" spans="1:14" ht="18.75">
      <c r="A477" s="340" t="s">
        <v>186</v>
      </c>
      <c r="B477" s="344" t="s">
        <v>601</v>
      </c>
      <c r="C477" s="338" t="s">
        <v>285</v>
      </c>
      <c r="D477" s="338" t="s">
        <v>266</v>
      </c>
      <c r="E477" s="360">
        <v>800</v>
      </c>
      <c r="F477" s="360"/>
      <c r="G477" s="343"/>
      <c r="H477" s="343"/>
      <c r="I477" s="343"/>
      <c r="J477" s="343"/>
      <c r="K477" s="343"/>
      <c r="L477" s="343">
        <f>L478</f>
        <v>37.5</v>
      </c>
      <c r="M477" s="343">
        <f>M478</f>
        <v>37.5</v>
      </c>
      <c r="N477" s="339">
        <f t="shared" si="187"/>
        <v>100</v>
      </c>
    </row>
    <row r="478" spans="1:14" ht="18.75">
      <c r="A478" s="340" t="s">
        <v>620</v>
      </c>
      <c r="B478" s="344" t="s">
        <v>601</v>
      </c>
      <c r="C478" s="338" t="s">
        <v>285</v>
      </c>
      <c r="D478" s="338" t="s">
        <v>266</v>
      </c>
      <c r="E478" s="360">
        <v>850</v>
      </c>
      <c r="F478" s="360"/>
      <c r="G478" s="343"/>
      <c r="H478" s="343"/>
      <c r="I478" s="343"/>
      <c r="J478" s="343"/>
      <c r="K478" s="343"/>
      <c r="L478" s="343">
        <f>'Прил.№4 ведомств.'!G1011</f>
        <v>37.5</v>
      </c>
      <c r="M478" s="343">
        <f>'Прил.№4 ведомств.'!H1011</f>
        <v>37.5</v>
      </c>
      <c r="N478" s="339">
        <f t="shared" si="187"/>
        <v>100</v>
      </c>
    </row>
    <row r="479" spans="1:14" ht="18.75">
      <c r="A479" s="340" t="s">
        <v>602</v>
      </c>
      <c r="B479" s="344" t="s">
        <v>603</v>
      </c>
      <c r="C479" s="338" t="s">
        <v>285</v>
      </c>
      <c r="D479" s="338" t="s">
        <v>266</v>
      </c>
      <c r="E479" s="360"/>
      <c r="F479" s="360"/>
      <c r="G479" s="343" t="e">
        <f>G480</f>
        <v>#REF!</v>
      </c>
      <c r="H479" s="343" t="e">
        <f aca="true" t="shared" si="194" ref="H479:M480">H480</f>
        <v>#REF!</v>
      </c>
      <c r="I479" s="343" t="e">
        <f t="shared" si="194"/>
        <v>#REF!</v>
      </c>
      <c r="J479" s="343" t="e">
        <f t="shared" si="194"/>
        <v>#REF!</v>
      </c>
      <c r="K479" s="343" t="e">
        <f t="shared" si="194"/>
        <v>#REF!</v>
      </c>
      <c r="L479" s="343">
        <f t="shared" si="194"/>
        <v>2551.7000000000003</v>
      </c>
      <c r="M479" s="343">
        <f t="shared" si="194"/>
        <v>1002</v>
      </c>
      <c r="N479" s="339">
        <f t="shared" si="187"/>
        <v>39.26793902104479</v>
      </c>
    </row>
    <row r="480" spans="1:14" ht="37.5">
      <c r="A480" s="340" t="s">
        <v>182</v>
      </c>
      <c r="B480" s="344" t="s">
        <v>603</v>
      </c>
      <c r="C480" s="338" t="s">
        <v>285</v>
      </c>
      <c r="D480" s="338" t="s">
        <v>266</v>
      </c>
      <c r="E480" s="360">
        <v>200</v>
      </c>
      <c r="F480" s="360"/>
      <c r="G480" s="343" t="e">
        <f>G481</f>
        <v>#REF!</v>
      </c>
      <c r="H480" s="343" t="e">
        <f t="shared" si="194"/>
        <v>#REF!</v>
      </c>
      <c r="I480" s="343" t="e">
        <f t="shared" si="194"/>
        <v>#REF!</v>
      </c>
      <c r="J480" s="343" t="e">
        <f t="shared" si="194"/>
        <v>#REF!</v>
      </c>
      <c r="K480" s="343" t="e">
        <f t="shared" si="194"/>
        <v>#REF!</v>
      </c>
      <c r="L480" s="343">
        <f t="shared" si="194"/>
        <v>2551.7000000000003</v>
      </c>
      <c r="M480" s="343">
        <f t="shared" si="194"/>
        <v>1002</v>
      </c>
      <c r="N480" s="339">
        <f t="shared" si="187"/>
        <v>39.26793902104479</v>
      </c>
    </row>
    <row r="481" spans="1:14" ht="56.25">
      <c r="A481" s="340" t="s">
        <v>184</v>
      </c>
      <c r="B481" s="344" t="s">
        <v>603</v>
      </c>
      <c r="C481" s="338" t="s">
        <v>285</v>
      </c>
      <c r="D481" s="338" t="s">
        <v>266</v>
      </c>
      <c r="E481" s="360">
        <v>240</v>
      </c>
      <c r="F481" s="360"/>
      <c r="G481" s="343" t="e">
        <f>#REF!</f>
        <v>#REF!</v>
      </c>
      <c r="H481" s="343" t="e">
        <f>#REF!</f>
        <v>#REF!</v>
      </c>
      <c r="I481" s="343" t="e">
        <f>#REF!</f>
        <v>#REF!</v>
      </c>
      <c r="J481" s="343" t="e">
        <f>#REF!</f>
        <v>#REF!</v>
      </c>
      <c r="K481" s="343" t="e">
        <f>#REF!</f>
        <v>#REF!</v>
      </c>
      <c r="L481" s="343">
        <f>'Прил.№4 ведомств.'!G1014</f>
        <v>2551.7000000000003</v>
      </c>
      <c r="M481" s="343">
        <f>'Прил.№4 ведомств.'!H1014</f>
        <v>1002</v>
      </c>
      <c r="N481" s="339">
        <f t="shared" si="187"/>
        <v>39.26793902104479</v>
      </c>
    </row>
    <row r="482" spans="1:14" ht="37.5">
      <c r="A482" s="340" t="s">
        <v>613</v>
      </c>
      <c r="B482" s="344" t="s">
        <v>970</v>
      </c>
      <c r="C482" s="338" t="s">
        <v>923</v>
      </c>
      <c r="D482" s="338" t="s">
        <v>266</v>
      </c>
      <c r="E482" s="360"/>
      <c r="F482" s="360"/>
      <c r="G482" s="343"/>
      <c r="H482" s="343"/>
      <c r="I482" s="343"/>
      <c r="J482" s="343"/>
      <c r="K482" s="343"/>
      <c r="L482" s="343">
        <f>L483</f>
        <v>2170.9</v>
      </c>
      <c r="M482" s="343">
        <f>M483</f>
        <v>2170.9</v>
      </c>
      <c r="N482" s="339">
        <f t="shared" si="187"/>
        <v>100</v>
      </c>
    </row>
    <row r="483" spans="1:14" ht="37.5">
      <c r="A483" s="340" t="s">
        <v>182</v>
      </c>
      <c r="B483" s="344" t="s">
        <v>970</v>
      </c>
      <c r="C483" s="338" t="s">
        <v>923</v>
      </c>
      <c r="D483" s="338" t="s">
        <v>266</v>
      </c>
      <c r="E483" s="360">
        <v>200</v>
      </c>
      <c r="F483" s="360"/>
      <c r="G483" s="343"/>
      <c r="H483" s="343"/>
      <c r="I483" s="343"/>
      <c r="J483" s="343"/>
      <c r="K483" s="343"/>
      <c r="L483" s="343">
        <f>L484</f>
        <v>2170.9</v>
      </c>
      <c r="M483" s="343">
        <f>M484</f>
        <v>2170.9</v>
      </c>
      <c r="N483" s="339">
        <f t="shared" si="187"/>
        <v>100</v>
      </c>
    </row>
    <row r="484" spans="1:14" ht="56.25">
      <c r="A484" s="340" t="s">
        <v>184</v>
      </c>
      <c r="B484" s="344" t="s">
        <v>970</v>
      </c>
      <c r="C484" s="338" t="s">
        <v>923</v>
      </c>
      <c r="D484" s="338" t="s">
        <v>266</v>
      </c>
      <c r="E484" s="360">
        <v>240</v>
      </c>
      <c r="F484" s="360"/>
      <c r="G484" s="343"/>
      <c r="H484" s="343"/>
      <c r="I484" s="343"/>
      <c r="J484" s="343"/>
      <c r="K484" s="343"/>
      <c r="L484" s="343">
        <f>'Прил.№4 ведомств.'!G1017</f>
        <v>2170.9</v>
      </c>
      <c r="M484" s="343">
        <f>'Прил.№4 ведомств.'!H1017</f>
        <v>2170.9</v>
      </c>
      <c r="N484" s="339">
        <f t="shared" si="187"/>
        <v>100</v>
      </c>
    </row>
    <row r="485" spans="1:14" ht="56.25">
      <c r="A485" s="341" t="s">
        <v>700</v>
      </c>
      <c r="B485" s="338" t="s">
        <v>597</v>
      </c>
      <c r="C485" s="338" t="s">
        <v>285</v>
      </c>
      <c r="D485" s="338" t="s">
        <v>266</v>
      </c>
      <c r="E485" s="360"/>
      <c r="F485" s="360">
        <v>908</v>
      </c>
      <c r="G485" s="343" t="e">
        <f aca="true" t="shared" si="195" ref="G485:M485">G468</f>
        <v>#REF!</v>
      </c>
      <c r="H485" s="343" t="e">
        <f t="shared" si="195"/>
        <v>#REF!</v>
      </c>
      <c r="I485" s="343" t="e">
        <f t="shared" si="195"/>
        <v>#REF!</v>
      </c>
      <c r="J485" s="343" t="e">
        <f t="shared" si="195"/>
        <v>#REF!</v>
      </c>
      <c r="K485" s="343" t="e">
        <f t="shared" si="195"/>
        <v>#REF!</v>
      </c>
      <c r="L485" s="343">
        <f t="shared" si="195"/>
        <v>6912.5</v>
      </c>
      <c r="M485" s="343">
        <f t="shared" si="195"/>
        <v>5316.9</v>
      </c>
      <c r="N485" s="339">
        <f t="shared" si="187"/>
        <v>76.91717902350813</v>
      </c>
    </row>
    <row r="486" spans="1:14" ht="56.25">
      <c r="A486" s="355" t="s">
        <v>604</v>
      </c>
      <c r="B486" s="335" t="s">
        <v>605</v>
      </c>
      <c r="C486" s="335"/>
      <c r="D486" s="335"/>
      <c r="E486" s="356"/>
      <c r="F486" s="356"/>
      <c r="G486" s="342" t="e">
        <f>G487</f>
        <v>#REF!</v>
      </c>
      <c r="H486" s="342" t="e">
        <f aca="true" t="shared" si="196" ref="H486:M487">H487</f>
        <v>#REF!</v>
      </c>
      <c r="I486" s="342" t="e">
        <f t="shared" si="196"/>
        <v>#REF!</v>
      </c>
      <c r="J486" s="342" t="e">
        <f t="shared" si="196"/>
        <v>#REF!</v>
      </c>
      <c r="K486" s="342" t="e">
        <f t="shared" si="196"/>
        <v>#REF!</v>
      </c>
      <c r="L486" s="342">
        <f t="shared" si="196"/>
        <v>523.7999999999996</v>
      </c>
      <c r="M486" s="342">
        <f t="shared" si="196"/>
        <v>261.40000000000003</v>
      </c>
      <c r="N486" s="336">
        <f t="shared" si="187"/>
        <v>49.904543718976754</v>
      </c>
    </row>
    <row r="487" spans="1:14" ht="18.75">
      <c r="A487" s="362" t="s">
        <v>442</v>
      </c>
      <c r="B487" s="338" t="s">
        <v>605</v>
      </c>
      <c r="C487" s="338" t="s">
        <v>285</v>
      </c>
      <c r="D487" s="338"/>
      <c r="E487" s="360"/>
      <c r="F487" s="360"/>
      <c r="G487" s="343" t="e">
        <f>G488</f>
        <v>#REF!</v>
      </c>
      <c r="H487" s="343" t="e">
        <f t="shared" si="196"/>
        <v>#REF!</v>
      </c>
      <c r="I487" s="343" t="e">
        <f t="shared" si="196"/>
        <v>#REF!</v>
      </c>
      <c r="J487" s="343" t="e">
        <f t="shared" si="196"/>
        <v>#REF!</v>
      </c>
      <c r="K487" s="343" t="e">
        <f t="shared" si="196"/>
        <v>#REF!</v>
      </c>
      <c r="L487" s="343">
        <f t="shared" si="196"/>
        <v>523.7999999999996</v>
      </c>
      <c r="M487" s="343">
        <f t="shared" si="196"/>
        <v>261.40000000000003</v>
      </c>
      <c r="N487" s="339">
        <f t="shared" si="187"/>
        <v>49.904543718976754</v>
      </c>
    </row>
    <row r="488" spans="1:14" ht="18.75">
      <c r="A488" s="362" t="s">
        <v>593</v>
      </c>
      <c r="B488" s="338" t="s">
        <v>605</v>
      </c>
      <c r="C488" s="338" t="s">
        <v>285</v>
      </c>
      <c r="D488" s="338" t="s">
        <v>266</v>
      </c>
      <c r="E488" s="360"/>
      <c r="F488" s="360"/>
      <c r="G488" s="343" t="e">
        <f aca="true" t="shared" si="197" ref="G488:M488">G489+G494+G497+G500</f>
        <v>#REF!</v>
      </c>
      <c r="H488" s="343" t="e">
        <f t="shared" si="197"/>
        <v>#REF!</v>
      </c>
      <c r="I488" s="343" t="e">
        <f t="shared" si="197"/>
        <v>#REF!</v>
      </c>
      <c r="J488" s="343" t="e">
        <f t="shared" si="197"/>
        <v>#REF!</v>
      </c>
      <c r="K488" s="343" t="e">
        <f t="shared" si="197"/>
        <v>#REF!</v>
      </c>
      <c r="L488" s="343">
        <f t="shared" si="197"/>
        <v>523.7999999999996</v>
      </c>
      <c r="M488" s="343">
        <f t="shared" si="197"/>
        <v>261.40000000000003</v>
      </c>
      <c r="N488" s="339">
        <f t="shared" si="187"/>
        <v>49.904543718976754</v>
      </c>
    </row>
    <row r="489" spans="1:14" ht="18.75">
      <c r="A489" s="340" t="s">
        <v>602</v>
      </c>
      <c r="B489" s="344" t="s">
        <v>606</v>
      </c>
      <c r="C489" s="338" t="s">
        <v>285</v>
      </c>
      <c r="D489" s="338" t="s">
        <v>266</v>
      </c>
      <c r="E489" s="360"/>
      <c r="F489" s="360"/>
      <c r="G489" s="343" t="e">
        <f aca="true" t="shared" si="198" ref="G489:M489">G490+G492</f>
        <v>#REF!</v>
      </c>
      <c r="H489" s="343" t="e">
        <f t="shared" si="198"/>
        <v>#REF!</v>
      </c>
      <c r="I489" s="343" t="e">
        <f t="shared" si="198"/>
        <v>#REF!</v>
      </c>
      <c r="J489" s="343" t="e">
        <f t="shared" si="198"/>
        <v>#REF!</v>
      </c>
      <c r="K489" s="343" t="e">
        <f t="shared" si="198"/>
        <v>#REF!</v>
      </c>
      <c r="L489" s="343">
        <f t="shared" si="198"/>
        <v>177.5</v>
      </c>
      <c r="M489" s="343">
        <f t="shared" si="198"/>
        <v>158.6</v>
      </c>
      <c r="N489" s="339">
        <f t="shared" si="187"/>
        <v>89.35211267605634</v>
      </c>
    </row>
    <row r="490" spans="1:14" ht="112.5" hidden="1">
      <c r="A490" s="340" t="s">
        <v>178</v>
      </c>
      <c r="B490" s="344" t="s">
        <v>606</v>
      </c>
      <c r="C490" s="338" t="s">
        <v>285</v>
      </c>
      <c r="D490" s="338" t="s">
        <v>266</v>
      </c>
      <c r="E490" s="360">
        <v>100</v>
      </c>
      <c r="F490" s="360"/>
      <c r="G490" s="343" t="e">
        <f>G491</f>
        <v>#REF!</v>
      </c>
      <c r="H490" s="343" t="e">
        <f aca="true" t="shared" si="199" ref="H490:M490">H491</f>
        <v>#REF!</v>
      </c>
      <c r="I490" s="343" t="e">
        <f t="shared" si="199"/>
        <v>#REF!</v>
      </c>
      <c r="J490" s="343" t="e">
        <f t="shared" si="199"/>
        <v>#REF!</v>
      </c>
      <c r="K490" s="343" t="e">
        <f t="shared" si="199"/>
        <v>#REF!</v>
      </c>
      <c r="L490" s="343">
        <f t="shared" si="199"/>
        <v>0</v>
      </c>
      <c r="M490" s="343">
        <f t="shared" si="199"/>
        <v>0</v>
      </c>
      <c r="N490" s="339" t="e">
        <f t="shared" si="187"/>
        <v>#DIV/0!</v>
      </c>
    </row>
    <row r="491" spans="1:14" ht="37.5" hidden="1">
      <c r="A491" s="359" t="s">
        <v>393</v>
      </c>
      <c r="B491" s="344" t="s">
        <v>606</v>
      </c>
      <c r="C491" s="338" t="s">
        <v>285</v>
      </c>
      <c r="D491" s="338" t="s">
        <v>266</v>
      </c>
      <c r="E491" s="360">
        <v>110</v>
      </c>
      <c r="F491" s="360"/>
      <c r="G491" s="343" t="e">
        <f>#REF!</f>
        <v>#REF!</v>
      </c>
      <c r="H491" s="343" t="e">
        <f>#REF!</f>
        <v>#REF!</v>
      </c>
      <c r="I491" s="343" t="e">
        <f>#REF!</f>
        <v>#REF!</v>
      </c>
      <c r="J491" s="343" t="e">
        <f>#REF!</f>
        <v>#REF!</v>
      </c>
      <c r="K491" s="343" t="e">
        <f>#REF!</f>
        <v>#REF!</v>
      </c>
      <c r="L491" s="343">
        <f>'Прил.№4 ведомств.'!G1021</f>
        <v>0</v>
      </c>
      <c r="M491" s="343">
        <f>'Прил.№4 ведомств.'!H1021</f>
        <v>0</v>
      </c>
      <c r="N491" s="339" t="e">
        <f t="shared" si="187"/>
        <v>#DIV/0!</v>
      </c>
    </row>
    <row r="492" spans="1:14" ht="37.5">
      <c r="A492" s="340" t="s">
        <v>182</v>
      </c>
      <c r="B492" s="344" t="s">
        <v>606</v>
      </c>
      <c r="C492" s="338" t="s">
        <v>285</v>
      </c>
      <c r="D492" s="338" t="s">
        <v>266</v>
      </c>
      <c r="E492" s="360">
        <v>200</v>
      </c>
      <c r="F492" s="360"/>
      <c r="G492" s="343" t="e">
        <f>G493</f>
        <v>#REF!</v>
      </c>
      <c r="H492" s="343" t="e">
        <f aca="true" t="shared" si="200" ref="H492:M492">H493</f>
        <v>#REF!</v>
      </c>
      <c r="I492" s="343" t="e">
        <f t="shared" si="200"/>
        <v>#REF!</v>
      </c>
      <c r="J492" s="343" t="e">
        <f t="shared" si="200"/>
        <v>#REF!</v>
      </c>
      <c r="K492" s="343" t="e">
        <f t="shared" si="200"/>
        <v>#REF!</v>
      </c>
      <c r="L492" s="343">
        <f t="shared" si="200"/>
        <v>177.5</v>
      </c>
      <c r="M492" s="343">
        <f t="shared" si="200"/>
        <v>158.6</v>
      </c>
      <c r="N492" s="339">
        <f t="shared" si="187"/>
        <v>89.35211267605634</v>
      </c>
    </row>
    <row r="493" spans="1:14" ht="56.25">
      <c r="A493" s="340" t="s">
        <v>184</v>
      </c>
      <c r="B493" s="344" t="s">
        <v>606</v>
      </c>
      <c r="C493" s="338" t="s">
        <v>285</v>
      </c>
      <c r="D493" s="338" t="s">
        <v>266</v>
      </c>
      <c r="E493" s="360">
        <v>240</v>
      </c>
      <c r="F493" s="360"/>
      <c r="G493" s="343" t="e">
        <f>#REF!</f>
        <v>#REF!</v>
      </c>
      <c r="H493" s="343" t="e">
        <f>#REF!</f>
        <v>#REF!</v>
      </c>
      <c r="I493" s="343" t="e">
        <f>#REF!</f>
        <v>#REF!</v>
      </c>
      <c r="J493" s="343" t="e">
        <f>#REF!</f>
        <v>#REF!</v>
      </c>
      <c r="K493" s="343" t="e">
        <f>#REF!</f>
        <v>#REF!</v>
      </c>
      <c r="L493" s="343">
        <f>'Прил.№4 ведомств.'!G1023</f>
        <v>177.5</v>
      </c>
      <c r="M493" s="343">
        <f>'Прил.№4 ведомств.'!H1023</f>
        <v>158.6</v>
      </c>
      <c r="N493" s="339">
        <f t="shared" si="187"/>
        <v>89.35211267605634</v>
      </c>
    </row>
    <row r="494" spans="1:14" ht="18.75">
      <c r="A494" s="340" t="s">
        <v>607</v>
      </c>
      <c r="B494" s="344" t="s">
        <v>608</v>
      </c>
      <c r="C494" s="338" t="s">
        <v>285</v>
      </c>
      <c r="D494" s="338" t="s">
        <v>266</v>
      </c>
      <c r="E494" s="360"/>
      <c r="F494" s="360"/>
      <c r="G494" s="343" t="e">
        <f>G495</f>
        <v>#REF!</v>
      </c>
      <c r="H494" s="343" t="e">
        <f aca="true" t="shared" si="201" ref="H494:M495">H495</f>
        <v>#REF!</v>
      </c>
      <c r="I494" s="343" t="e">
        <f t="shared" si="201"/>
        <v>#REF!</v>
      </c>
      <c r="J494" s="343" t="e">
        <f t="shared" si="201"/>
        <v>#REF!</v>
      </c>
      <c r="K494" s="343" t="e">
        <f t="shared" si="201"/>
        <v>#REF!</v>
      </c>
      <c r="L494" s="343">
        <f t="shared" si="201"/>
        <v>87.69999999999999</v>
      </c>
      <c r="M494" s="343">
        <f t="shared" si="201"/>
        <v>87.7</v>
      </c>
      <c r="N494" s="339">
        <f t="shared" si="187"/>
        <v>100.00000000000003</v>
      </c>
    </row>
    <row r="495" spans="1:14" ht="37.5">
      <c r="A495" s="340" t="s">
        <v>182</v>
      </c>
      <c r="B495" s="344" t="s">
        <v>608</v>
      </c>
      <c r="C495" s="338" t="s">
        <v>285</v>
      </c>
      <c r="D495" s="338" t="s">
        <v>266</v>
      </c>
      <c r="E495" s="360">
        <v>200</v>
      </c>
      <c r="F495" s="360"/>
      <c r="G495" s="343" t="e">
        <f>G496</f>
        <v>#REF!</v>
      </c>
      <c r="H495" s="343" t="e">
        <f t="shared" si="201"/>
        <v>#REF!</v>
      </c>
      <c r="I495" s="343" t="e">
        <f t="shared" si="201"/>
        <v>#REF!</v>
      </c>
      <c r="J495" s="343" t="e">
        <f t="shared" si="201"/>
        <v>#REF!</v>
      </c>
      <c r="K495" s="343" t="e">
        <f t="shared" si="201"/>
        <v>#REF!</v>
      </c>
      <c r="L495" s="343">
        <f t="shared" si="201"/>
        <v>87.69999999999999</v>
      </c>
      <c r="M495" s="343">
        <f t="shared" si="201"/>
        <v>87.7</v>
      </c>
      <c r="N495" s="339">
        <f t="shared" si="187"/>
        <v>100.00000000000003</v>
      </c>
    </row>
    <row r="496" spans="1:14" ht="56.25">
      <c r="A496" s="340" t="s">
        <v>184</v>
      </c>
      <c r="B496" s="344" t="s">
        <v>608</v>
      </c>
      <c r="C496" s="338" t="s">
        <v>285</v>
      </c>
      <c r="D496" s="338" t="s">
        <v>266</v>
      </c>
      <c r="E496" s="360">
        <v>240</v>
      </c>
      <c r="F496" s="360"/>
      <c r="G496" s="343" t="e">
        <f>#REF!</f>
        <v>#REF!</v>
      </c>
      <c r="H496" s="343" t="e">
        <f>#REF!</f>
        <v>#REF!</v>
      </c>
      <c r="I496" s="343" t="e">
        <f>#REF!</f>
        <v>#REF!</v>
      </c>
      <c r="J496" s="343" t="e">
        <f>#REF!</f>
        <v>#REF!</v>
      </c>
      <c r="K496" s="343" t="e">
        <f>#REF!</f>
        <v>#REF!</v>
      </c>
      <c r="L496" s="343">
        <f>'Прил.№4 ведомств.'!G1026</f>
        <v>87.69999999999999</v>
      </c>
      <c r="M496" s="343">
        <f>'Прил.№4 ведомств.'!H1026</f>
        <v>87.7</v>
      </c>
      <c r="N496" s="339">
        <f t="shared" si="187"/>
        <v>100.00000000000003</v>
      </c>
    </row>
    <row r="497" spans="1:14" ht="56.25">
      <c r="A497" s="341" t="s">
        <v>609</v>
      </c>
      <c r="B497" s="344" t="s">
        <v>610</v>
      </c>
      <c r="C497" s="338" t="s">
        <v>285</v>
      </c>
      <c r="D497" s="338" t="s">
        <v>266</v>
      </c>
      <c r="E497" s="360"/>
      <c r="F497" s="360"/>
      <c r="G497" s="343" t="e">
        <f>G498</f>
        <v>#REF!</v>
      </c>
      <c r="H497" s="343" t="e">
        <f aca="true" t="shared" si="202" ref="H497:M498">H498</f>
        <v>#REF!</v>
      </c>
      <c r="I497" s="343" t="e">
        <f t="shared" si="202"/>
        <v>#REF!</v>
      </c>
      <c r="J497" s="343" t="e">
        <f t="shared" si="202"/>
        <v>#REF!</v>
      </c>
      <c r="K497" s="343" t="e">
        <f t="shared" si="202"/>
        <v>#REF!</v>
      </c>
      <c r="L497" s="343">
        <f t="shared" si="202"/>
        <v>243.39999999999964</v>
      </c>
      <c r="M497" s="343">
        <f t="shared" si="202"/>
        <v>0</v>
      </c>
      <c r="N497" s="339">
        <f t="shared" si="187"/>
        <v>0</v>
      </c>
    </row>
    <row r="498" spans="1:14" ht="37.5">
      <c r="A498" s="340" t="s">
        <v>182</v>
      </c>
      <c r="B498" s="344" t="s">
        <v>610</v>
      </c>
      <c r="C498" s="338" t="s">
        <v>285</v>
      </c>
      <c r="D498" s="338" t="s">
        <v>266</v>
      </c>
      <c r="E498" s="360">
        <v>200</v>
      </c>
      <c r="F498" s="360"/>
      <c r="G498" s="343" t="e">
        <f>G499</f>
        <v>#REF!</v>
      </c>
      <c r="H498" s="343" t="e">
        <f t="shared" si="202"/>
        <v>#REF!</v>
      </c>
      <c r="I498" s="343" t="e">
        <f t="shared" si="202"/>
        <v>#REF!</v>
      </c>
      <c r="J498" s="343" t="e">
        <f t="shared" si="202"/>
        <v>#REF!</v>
      </c>
      <c r="K498" s="343" t="e">
        <f t="shared" si="202"/>
        <v>#REF!</v>
      </c>
      <c r="L498" s="343">
        <f t="shared" si="202"/>
        <v>243.39999999999964</v>
      </c>
      <c r="M498" s="343">
        <f t="shared" si="202"/>
        <v>0</v>
      </c>
      <c r="N498" s="339">
        <f t="shared" si="187"/>
        <v>0</v>
      </c>
    </row>
    <row r="499" spans="1:14" ht="56.25">
      <c r="A499" s="340" t="s">
        <v>184</v>
      </c>
      <c r="B499" s="344" t="s">
        <v>610</v>
      </c>
      <c r="C499" s="338" t="s">
        <v>285</v>
      </c>
      <c r="D499" s="338" t="s">
        <v>266</v>
      </c>
      <c r="E499" s="360">
        <v>240</v>
      </c>
      <c r="F499" s="360"/>
      <c r="G499" s="343" t="e">
        <f>#REF!</f>
        <v>#REF!</v>
      </c>
      <c r="H499" s="343" t="e">
        <f>#REF!</f>
        <v>#REF!</v>
      </c>
      <c r="I499" s="343" t="e">
        <f>#REF!</f>
        <v>#REF!</v>
      </c>
      <c r="J499" s="343" t="e">
        <f>#REF!</f>
        <v>#REF!</v>
      </c>
      <c r="K499" s="343" t="e">
        <f>#REF!</f>
        <v>#REF!</v>
      </c>
      <c r="L499" s="343">
        <f>'Прил.№4 ведомств.'!G1029</f>
        <v>243.39999999999964</v>
      </c>
      <c r="M499" s="343">
        <f>'Прил.№4 ведомств.'!H1029</f>
        <v>0</v>
      </c>
      <c r="N499" s="339">
        <f t="shared" si="187"/>
        <v>0</v>
      </c>
    </row>
    <row r="500" spans="1:14" ht="37.5">
      <c r="A500" s="341" t="s">
        <v>611</v>
      </c>
      <c r="B500" s="344" t="s">
        <v>612</v>
      </c>
      <c r="C500" s="338" t="s">
        <v>285</v>
      </c>
      <c r="D500" s="338" t="s">
        <v>266</v>
      </c>
      <c r="E500" s="360"/>
      <c r="F500" s="360"/>
      <c r="G500" s="343" t="e">
        <f>G501</f>
        <v>#REF!</v>
      </c>
      <c r="H500" s="343" t="e">
        <f aca="true" t="shared" si="203" ref="H500:M501">H501</f>
        <v>#REF!</v>
      </c>
      <c r="I500" s="343" t="e">
        <f t="shared" si="203"/>
        <v>#REF!</v>
      </c>
      <c r="J500" s="343" t="e">
        <f t="shared" si="203"/>
        <v>#REF!</v>
      </c>
      <c r="K500" s="343" t="e">
        <f t="shared" si="203"/>
        <v>#REF!</v>
      </c>
      <c r="L500" s="343">
        <f t="shared" si="203"/>
        <v>15.199999999999989</v>
      </c>
      <c r="M500" s="343">
        <f t="shared" si="203"/>
        <v>15.1</v>
      </c>
      <c r="N500" s="339">
        <f t="shared" si="187"/>
        <v>99.34210526315796</v>
      </c>
    </row>
    <row r="501" spans="1:14" ht="37.5">
      <c r="A501" s="340" t="s">
        <v>182</v>
      </c>
      <c r="B501" s="344" t="s">
        <v>612</v>
      </c>
      <c r="C501" s="338" t="s">
        <v>285</v>
      </c>
      <c r="D501" s="338" t="s">
        <v>266</v>
      </c>
      <c r="E501" s="360">
        <v>200</v>
      </c>
      <c r="F501" s="360"/>
      <c r="G501" s="343" t="e">
        <f>G502</f>
        <v>#REF!</v>
      </c>
      <c r="H501" s="343" t="e">
        <f t="shared" si="203"/>
        <v>#REF!</v>
      </c>
      <c r="I501" s="343" t="e">
        <f t="shared" si="203"/>
        <v>#REF!</v>
      </c>
      <c r="J501" s="343" t="e">
        <f t="shared" si="203"/>
        <v>#REF!</v>
      </c>
      <c r="K501" s="343" t="e">
        <f t="shared" si="203"/>
        <v>#REF!</v>
      </c>
      <c r="L501" s="343">
        <f t="shared" si="203"/>
        <v>15.199999999999989</v>
      </c>
      <c r="M501" s="343">
        <f t="shared" si="203"/>
        <v>15.1</v>
      </c>
      <c r="N501" s="339">
        <f t="shared" si="187"/>
        <v>99.34210526315796</v>
      </c>
    </row>
    <row r="502" spans="1:14" ht="56.25">
      <c r="A502" s="340" t="s">
        <v>184</v>
      </c>
      <c r="B502" s="344" t="s">
        <v>612</v>
      </c>
      <c r="C502" s="338" t="s">
        <v>285</v>
      </c>
      <c r="D502" s="338" t="s">
        <v>266</v>
      </c>
      <c r="E502" s="360">
        <v>240</v>
      </c>
      <c r="F502" s="360"/>
      <c r="G502" s="343" t="e">
        <f>#REF!</f>
        <v>#REF!</v>
      </c>
      <c r="H502" s="343" t="e">
        <f>#REF!</f>
        <v>#REF!</v>
      </c>
      <c r="I502" s="343" t="e">
        <f>#REF!</f>
        <v>#REF!</v>
      </c>
      <c r="J502" s="343" t="e">
        <f>#REF!</f>
        <v>#REF!</v>
      </c>
      <c r="K502" s="343" t="e">
        <f>#REF!</f>
        <v>#REF!</v>
      </c>
      <c r="L502" s="343">
        <f>'Прил.№4 ведомств.'!G1032</f>
        <v>15.199999999999989</v>
      </c>
      <c r="M502" s="343">
        <f>'Прил.№4 ведомств.'!H1032</f>
        <v>15.1</v>
      </c>
      <c r="N502" s="339">
        <f t="shared" si="187"/>
        <v>99.34210526315796</v>
      </c>
    </row>
    <row r="503" spans="1:14" ht="56.25">
      <c r="A503" s="341" t="s">
        <v>700</v>
      </c>
      <c r="B503" s="344" t="s">
        <v>605</v>
      </c>
      <c r="C503" s="338" t="s">
        <v>285</v>
      </c>
      <c r="D503" s="338" t="s">
        <v>266</v>
      </c>
      <c r="E503" s="360"/>
      <c r="F503" s="360">
        <v>908</v>
      </c>
      <c r="G503" s="343" t="e">
        <f aca="true" t="shared" si="204" ref="G503:M503">G486</f>
        <v>#REF!</v>
      </c>
      <c r="H503" s="343" t="e">
        <f t="shared" si="204"/>
        <v>#REF!</v>
      </c>
      <c r="I503" s="343" t="e">
        <f t="shared" si="204"/>
        <v>#REF!</v>
      </c>
      <c r="J503" s="343" t="e">
        <f t="shared" si="204"/>
        <v>#REF!</v>
      </c>
      <c r="K503" s="343" t="e">
        <f t="shared" si="204"/>
        <v>#REF!</v>
      </c>
      <c r="L503" s="343">
        <f t="shared" si="204"/>
        <v>523.7999999999996</v>
      </c>
      <c r="M503" s="343">
        <f t="shared" si="204"/>
        <v>261.40000000000003</v>
      </c>
      <c r="N503" s="339">
        <f t="shared" si="187"/>
        <v>49.904543718976754</v>
      </c>
    </row>
    <row r="504" spans="1:14" ht="56.25">
      <c r="A504" s="368" t="s">
        <v>232</v>
      </c>
      <c r="B504" s="351" t="s">
        <v>233</v>
      </c>
      <c r="C504" s="335"/>
      <c r="D504" s="335"/>
      <c r="E504" s="335"/>
      <c r="F504" s="356"/>
      <c r="G504" s="342" t="e">
        <f aca="true" t="shared" si="205" ref="G504:M504">G505+G511</f>
        <v>#REF!</v>
      </c>
      <c r="H504" s="342" t="e">
        <f t="shared" si="205"/>
        <v>#REF!</v>
      </c>
      <c r="I504" s="342" t="e">
        <f t="shared" si="205"/>
        <v>#REF!</v>
      </c>
      <c r="J504" s="342" t="e">
        <f t="shared" si="205"/>
        <v>#REF!</v>
      </c>
      <c r="K504" s="342" t="e">
        <f t="shared" si="205"/>
        <v>#REF!</v>
      </c>
      <c r="L504" s="342">
        <f t="shared" si="205"/>
        <v>120</v>
      </c>
      <c r="M504" s="342">
        <f t="shared" si="205"/>
        <v>53</v>
      </c>
      <c r="N504" s="336">
        <f t="shared" si="187"/>
        <v>44.166666666666664</v>
      </c>
    </row>
    <row r="505" spans="1:14" ht="18.75" hidden="1">
      <c r="A505" s="340" t="s">
        <v>168</v>
      </c>
      <c r="B505" s="331" t="s">
        <v>233</v>
      </c>
      <c r="C505" s="338" t="s">
        <v>169</v>
      </c>
      <c r="D505" s="338"/>
      <c r="E505" s="338"/>
      <c r="F505" s="360"/>
      <c r="G505" s="343" t="e">
        <f>G506</f>
        <v>#REF!</v>
      </c>
      <c r="H505" s="343" t="e">
        <f aca="true" t="shared" si="206" ref="H505:M508">H506</f>
        <v>#REF!</v>
      </c>
      <c r="I505" s="343" t="e">
        <f t="shared" si="206"/>
        <v>#REF!</v>
      </c>
      <c r="J505" s="343" t="e">
        <f t="shared" si="206"/>
        <v>#REF!</v>
      </c>
      <c r="K505" s="343" t="e">
        <f t="shared" si="206"/>
        <v>#REF!</v>
      </c>
      <c r="L505" s="343">
        <f t="shared" si="206"/>
        <v>0</v>
      </c>
      <c r="M505" s="343">
        <f t="shared" si="206"/>
        <v>0</v>
      </c>
      <c r="N505" s="336" t="e">
        <f t="shared" si="187"/>
        <v>#DIV/0!</v>
      </c>
    </row>
    <row r="506" spans="1:14" ht="18.75" hidden="1">
      <c r="A506" s="340" t="s">
        <v>190</v>
      </c>
      <c r="B506" s="369" t="s">
        <v>233</v>
      </c>
      <c r="C506" s="338" t="s">
        <v>169</v>
      </c>
      <c r="D506" s="338" t="s">
        <v>191</v>
      </c>
      <c r="E506" s="338"/>
      <c r="F506" s="360"/>
      <c r="G506" s="343" t="e">
        <f>G507</f>
        <v>#REF!</v>
      </c>
      <c r="H506" s="343" t="e">
        <f t="shared" si="206"/>
        <v>#REF!</v>
      </c>
      <c r="I506" s="343" t="e">
        <f t="shared" si="206"/>
        <v>#REF!</v>
      </c>
      <c r="J506" s="343" t="e">
        <f t="shared" si="206"/>
        <v>#REF!</v>
      </c>
      <c r="K506" s="343" t="e">
        <f t="shared" si="206"/>
        <v>#REF!</v>
      </c>
      <c r="L506" s="343">
        <f t="shared" si="206"/>
        <v>0</v>
      </c>
      <c r="M506" s="343">
        <f t="shared" si="206"/>
        <v>0</v>
      </c>
      <c r="N506" s="336" t="e">
        <f t="shared" si="187"/>
        <v>#DIV/0!</v>
      </c>
    </row>
    <row r="507" spans="1:14" ht="37.5" hidden="1">
      <c r="A507" s="337" t="s">
        <v>208</v>
      </c>
      <c r="B507" s="344" t="s">
        <v>234</v>
      </c>
      <c r="C507" s="338" t="s">
        <v>169</v>
      </c>
      <c r="D507" s="338" t="s">
        <v>191</v>
      </c>
      <c r="E507" s="338"/>
      <c r="F507" s="360"/>
      <c r="G507" s="343" t="e">
        <f>G508</f>
        <v>#REF!</v>
      </c>
      <c r="H507" s="343" t="e">
        <f t="shared" si="206"/>
        <v>#REF!</v>
      </c>
      <c r="I507" s="343" t="e">
        <f t="shared" si="206"/>
        <v>#REF!</v>
      </c>
      <c r="J507" s="343" t="e">
        <f t="shared" si="206"/>
        <v>#REF!</v>
      </c>
      <c r="K507" s="343" t="e">
        <f t="shared" si="206"/>
        <v>#REF!</v>
      </c>
      <c r="L507" s="343">
        <f t="shared" si="206"/>
        <v>0</v>
      </c>
      <c r="M507" s="343">
        <f t="shared" si="206"/>
        <v>0</v>
      </c>
      <c r="N507" s="336" t="e">
        <f t="shared" si="187"/>
        <v>#DIV/0!</v>
      </c>
    </row>
    <row r="508" spans="1:14" ht="37.5" hidden="1">
      <c r="A508" s="337" t="s">
        <v>182</v>
      </c>
      <c r="B508" s="344" t="s">
        <v>234</v>
      </c>
      <c r="C508" s="338" t="s">
        <v>169</v>
      </c>
      <c r="D508" s="338" t="s">
        <v>191</v>
      </c>
      <c r="E508" s="338" t="s">
        <v>196</v>
      </c>
      <c r="F508" s="360"/>
      <c r="G508" s="343" t="e">
        <f>G509</f>
        <v>#REF!</v>
      </c>
      <c r="H508" s="343" t="e">
        <f t="shared" si="206"/>
        <v>#REF!</v>
      </c>
      <c r="I508" s="343" t="e">
        <f t="shared" si="206"/>
        <v>#REF!</v>
      </c>
      <c r="J508" s="343" t="e">
        <f t="shared" si="206"/>
        <v>#REF!</v>
      </c>
      <c r="K508" s="343" t="e">
        <f t="shared" si="206"/>
        <v>#REF!</v>
      </c>
      <c r="L508" s="343">
        <f t="shared" si="206"/>
        <v>0</v>
      </c>
      <c r="M508" s="343">
        <f t="shared" si="206"/>
        <v>0</v>
      </c>
      <c r="N508" s="336" t="e">
        <f t="shared" si="187"/>
        <v>#DIV/0!</v>
      </c>
    </row>
    <row r="509" spans="1:14" ht="75" hidden="1">
      <c r="A509" s="337" t="s">
        <v>235</v>
      </c>
      <c r="B509" s="344" t="s">
        <v>234</v>
      </c>
      <c r="C509" s="338" t="s">
        <v>169</v>
      </c>
      <c r="D509" s="338" t="s">
        <v>191</v>
      </c>
      <c r="E509" s="338" t="s">
        <v>211</v>
      </c>
      <c r="F509" s="360"/>
      <c r="G509" s="343" t="e">
        <f>#REF!</f>
        <v>#REF!</v>
      </c>
      <c r="H509" s="343" t="e">
        <f>#REF!</f>
        <v>#REF!</v>
      </c>
      <c r="I509" s="343" t="e">
        <f>#REF!</f>
        <v>#REF!</v>
      </c>
      <c r="J509" s="343" t="e">
        <f>#REF!</f>
        <v>#REF!</v>
      </c>
      <c r="K509" s="343" t="e">
        <f>#REF!</f>
        <v>#REF!</v>
      </c>
      <c r="L509" s="343">
        <f>'Прил.№4 ведомств.'!G96</f>
        <v>0</v>
      </c>
      <c r="M509" s="343">
        <f>'Прил.№4 ведомств.'!H96</f>
        <v>0</v>
      </c>
      <c r="N509" s="336" t="e">
        <f t="shared" si="187"/>
        <v>#DIV/0!</v>
      </c>
    </row>
    <row r="510" spans="1:14" ht="37.5" hidden="1">
      <c r="A510" s="337" t="s">
        <v>199</v>
      </c>
      <c r="B510" s="369" t="s">
        <v>233</v>
      </c>
      <c r="C510" s="338" t="s">
        <v>169</v>
      </c>
      <c r="D510" s="338" t="s">
        <v>191</v>
      </c>
      <c r="E510" s="338"/>
      <c r="F510" s="360">
        <v>902</v>
      </c>
      <c r="G510" s="343" t="e">
        <f>G504</f>
        <v>#REF!</v>
      </c>
      <c r="H510" s="343" t="e">
        <f>H504</f>
        <v>#REF!</v>
      </c>
      <c r="I510" s="343" t="e">
        <f>I504</f>
        <v>#REF!</v>
      </c>
      <c r="J510" s="343" t="e">
        <f>J504</f>
        <v>#REF!</v>
      </c>
      <c r="K510" s="343" t="e">
        <f>K504</f>
        <v>#REF!</v>
      </c>
      <c r="L510" s="343">
        <f>L505</f>
        <v>0</v>
      </c>
      <c r="M510" s="343">
        <f>M505</f>
        <v>0</v>
      </c>
      <c r="N510" s="336" t="e">
        <f t="shared" si="187"/>
        <v>#DIV/0!</v>
      </c>
    </row>
    <row r="511" spans="1:14" ht="18.75">
      <c r="A511" s="337" t="s">
        <v>283</v>
      </c>
      <c r="B511" s="331" t="s">
        <v>233</v>
      </c>
      <c r="C511" s="338" t="s">
        <v>201</v>
      </c>
      <c r="D511" s="338"/>
      <c r="E511" s="338"/>
      <c r="F511" s="360"/>
      <c r="G511" s="343">
        <f>G512</f>
        <v>0</v>
      </c>
      <c r="H511" s="343">
        <f aca="true" t="shared" si="207" ref="H511:M514">H512</f>
        <v>0</v>
      </c>
      <c r="I511" s="343">
        <f t="shared" si="207"/>
        <v>100</v>
      </c>
      <c r="J511" s="343">
        <f t="shared" si="207"/>
        <v>100</v>
      </c>
      <c r="K511" s="343">
        <f t="shared" si="207"/>
        <v>100</v>
      </c>
      <c r="L511" s="343">
        <f t="shared" si="207"/>
        <v>120</v>
      </c>
      <c r="M511" s="343">
        <f t="shared" si="207"/>
        <v>53</v>
      </c>
      <c r="N511" s="339">
        <f t="shared" si="187"/>
        <v>44.166666666666664</v>
      </c>
    </row>
    <row r="512" spans="1:14" ht="18.75">
      <c r="A512" s="337" t="s">
        <v>284</v>
      </c>
      <c r="B512" s="369" t="s">
        <v>233</v>
      </c>
      <c r="C512" s="338" t="s">
        <v>201</v>
      </c>
      <c r="D512" s="338" t="s">
        <v>285</v>
      </c>
      <c r="E512" s="338"/>
      <c r="F512" s="360"/>
      <c r="G512" s="343">
        <f>G513</f>
        <v>0</v>
      </c>
      <c r="H512" s="343">
        <f t="shared" si="207"/>
        <v>0</v>
      </c>
      <c r="I512" s="343">
        <f t="shared" si="207"/>
        <v>100</v>
      </c>
      <c r="J512" s="343">
        <f t="shared" si="207"/>
        <v>100</v>
      </c>
      <c r="K512" s="343">
        <f t="shared" si="207"/>
        <v>100</v>
      </c>
      <c r="L512" s="343">
        <f>L513+L516</f>
        <v>120</v>
      </c>
      <c r="M512" s="343">
        <f>M513+M516</f>
        <v>53</v>
      </c>
      <c r="N512" s="339">
        <f t="shared" si="187"/>
        <v>44.166666666666664</v>
      </c>
    </row>
    <row r="513" spans="1:14" ht="37.5">
      <c r="A513" s="337" t="s">
        <v>208</v>
      </c>
      <c r="B513" s="344" t="s">
        <v>234</v>
      </c>
      <c r="C513" s="338" t="s">
        <v>201</v>
      </c>
      <c r="D513" s="338" t="s">
        <v>285</v>
      </c>
      <c r="E513" s="338"/>
      <c r="F513" s="360"/>
      <c r="G513" s="343">
        <f>G514</f>
        <v>0</v>
      </c>
      <c r="H513" s="343">
        <f t="shared" si="207"/>
        <v>0</v>
      </c>
      <c r="I513" s="343">
        <f t="shared" si="207"/>
        <v>100</v>
      </c>
      <c r="J513" s="343">
        <f t="shared" si="207"/>
        <v>100</v>
      </c>
      <c r="K513" s="343">
        <f t="shared" si="207"/>
        <v>100</v>
      </c>
      <c r="L513" s="343">
        <f t="shared" si="207"/>
        <v>119</v>
      </c>
      <c r="M513" s="343">
        <f t="shared" si="207"/>
        <v>52</v>
      </c>
      <c r="N513" s="339">
        <f t="shared" si="187"/>
        <v>43.69747899159664</v>
      </c>
    </row>
    <row r="514" spans="1:14" ht="37.5">
      <c r="A514" s="337" t="s">
        <v>182</v>
      </c>
      <c r="B514" s="344" t="s">
        <v>234</v>
      </c>
      <c r="C514" s="338" t="s">
        <v>201</v>
      </c>
      <c r="D514" s="338" t="s">
        <v>285</v>
      </c>
      <c r="E514" s="338" t="s">
        <v>196</v>
      </c>
      <c r="F514" s="360"/>
      <c r="G514" s="343">
        <f>G515</f>
        <v>0</v>
      </c>
      <c r="H514" s="343">
        <f t="shared" si="207"/>
        <v>0</v>
      </c>
      <c r="I514" s="343">
        <f t="shared" si="207"/>
        <v>100</v>
      </c>
      <c r="J514" s="343">
        <f t="shared" si="207"/>
        <v>100</v>
      </c>
      <c r="K514" s="343">
        <f t="shared" si="207"/>
        <v>100</v>
      </c>
      <c r="L514" s="343">
        <f t="shared" si="207"/>
        <v>119</v>
      </c>
      <c r="M514" s="343">
        <f t="shared" si="207"/>
        <v>52</v>
      </c>
      <c r="N514" s="339">
        <f t="shared" si="187"/>
        <v>43.69747899159664</v>
      </c>
    </row>
    <row r="515" spans="1:14" ht="75">
      <c r="A515" s="337" t="s">
        <v>235</v>
      </c>
      <c r="B515" s="344" t="s">
        <v>234</v>
      </c>
      <c r="C515" s="338" t="s">
        <v>201</v>
      </c>
      <c r="D515" s="338" t="s">
        <v>285</v>
      </c>
      <c r="E515" s="338" t="s">
        <v>211</v>
      </c>
      <c r="F515" s="360"/>
      <c r="G515" s="343">
        <v>0</v>
      </c>
      <c r="H515" s="343">
        <v>0</v>
      </c>
      <c r="I515" s="343">
        <v>100</v>
      </c>
      <c r="J515" s="343">
        <v>100</v>
      </c>
      <c r="K515" s="343">
        <v>100</v>
      </c>
      <c r="L515" s="343">
        <f>'Прил.№4 ведомств.'!G191</f>
        <v>119</v>
      </c>
      <c r="M515" s="343">
        <f>'Прил.№4 ведомств.'!H191</f>
        <v>52</v>
      </c>
      <c r="N515" s="339">
        <f t="shared" si="187"/>
        <v>43.69747899159664</v>
      </c>
    </row>
    <row r="516" spans="1:14" ht="56.25">
      <c r="A516" s="340" t="s">
        <v>966</v>
      </c>
      <c r="B516" s="344" t="s">
        <v>968</v>
      </c>
      <c r="C516" s="338" t="s">
        <v>201</v>
      </c>
      <c r="D516" s="338" t="s">
        <v>285</v>
      </c>
      <c r="E516" s="338"/>
      <c r="F516" s="360"/>
      <c r="G516" s="343"/>
      <c r="H516" s="343"/>
      <c r="I516" s="343"/>
      <c r="J516" s="343"/>
      <c r="K516" s="343"/>
      <c r="L516" s="343">
        <f>L517</f>
        <v>1</v>
      </c>
      <c r="M516" s="343">
        <f>M517</f>
        <v>1</v>
      </c>
      <c r="N516" s="339">
        <f t="shared" si="187"/>
        <v>100</v>
      </c>
    </row>
    <row r="517" spans="1:14" ht="18.75">
      <c r="A517" s="337" t="s">
        <v>186</v>
      </c>
      <c r="B517" s="344" t="s">
        <v>968</v>
      </c>
      <c r="C517" s="338" t="s">
        <v>201</v>
      </c>
      <c r="D517" s="338" t="s">
        <v>285</v>
      </c>
      <c r="E517" s="338" t="s">
        <v>196</v>
      </c>
      <c r="F517" s="360"/>
      <c r="G517" s="343"/>
      <c r="H517" s="343"/>
      <c r="I517" s="343"/>
      <c r="J517" s="343"/>
      <c r="K517" s="343"/>
      <c r="L517" s="343">
        <f>L518</f>
        <v>1</v>
      </c>
      <c r="M517" s="343">
        <f>M518</f>
        <v>1</v>
      </c>
      <c r="N517" s="339">
        <f t="shared" si="187"/>
        <v>100</v>
      </c>
    </row>
    <row r="518" spans="1:14" ht="75">
      <c r="A518" s="337" t="s">
        <v>235</v>
      </c>
      <c r="B518" s="344" t="s">
        <v>968</v>
      </c>
      <c r="C518" s="338" t="s">
        <v>201</v>
      </c>
      <c r="D518" s="338" t="s">
        <v>285</v>
      </c>
      <c r="E518" s="338" t="s">
        <v>211</v>
      </c>
      <c r="F518" s="360"/>
      <c r="G518" s="343"/>
      <c r="H518" s="343"/>
      <c r="I518" s="343"/>
      <c r="J518" s="343"/>
      <c r="K518" s="343"/>
      <c r="L518" s="343">
        <f>'Прил.№4 ведомств.'!G194</f>
        <v>1</v>
      </c>
      <c r="M518" s="343">
        <f>'Прил.№4 ведомств.'!H194</f>
        <v>1</v>
      </c>
      <c r="N518" s="339">
        <f t="shared" si="187"/>
        <v>100</v>
      </c>
    </row>
    <row r="519" spans="1:14" ht="37.5">
      <c r="A519" s="337" t="s">
        <v>199</v>
      </c>
      <c r="B519" s="369" t="s">
        <v>233</v>
      </c>
      <c r="C519" s="338" t="s">
        <v>201</v>
      </c>
      <c r="D519" s="338" t="s">
        <v>285</v>
      </c>
      <c r="E519" s="338"/>
      <c r="F519" s="360">
        <v>902</v>
      </c>
      <c r="G519" s="343">
        <f aca="true" t="shared" si="208" ref="G519:M519">G511</f>
        <v>0</v>
      </c>
      <c r="H519" s="343">
        <f t="shared" si="208"/>
        <v>0</v>
      </c>
      <c r="I519" s="343">
        <f t="shared" si="208"/>
        <v>100</v>
      </c>
      <c r="J519" s="343">
        <f t="shared" si="208"/>
        <v>100</v>
      </c>
      <c r="K519" s="343">
        <f t="shared" si="208"/>
        <v>100</v>
      </c>
      <c r="L519" s="343">
        <f t="shared" si="208"/>
        <v>120</v>
      </c>
      <c r="M519" s="343">
        <f t="shared" si="208"/>
        <v>53</v>
      </c>
      <c r="N519" s="339">
        <f t="shared" si="187"/>
        <v>44.166666666666664</v>
      </c>
    </row>
    <row r="520" spans="1:14" ht="112.5">
      <c r="A520" s="345" t="s">
        <v>733</v>
      </c>
      <c r="B520" s="335" t="s">
        <v>570</v>
      </c>
      <c r="C520" s="335"/>
      <c r="D520" s="335"/>
      <c r="E520" s="363"/>
      <c r="F520" s="356"/>
      <c r="G520" s="342" t="e">
        <f>G521</f>
        <v>#REF!</v>
      </c>
      <c r="H520" s="342" t="e">
        <f aca="true" t="shared" si="209" ref="H520:M521">H521</f>
        <v>#REF!</v>
      </c>
      <c r="I520" s="342" t="e">
        <f t="shared" si="209"/>
        <v>#REF!</v>
      </c>
      <c r="J520" s="342" t="e">
        <f t="shared" si="209"/>
        <v>#REF!</v>
      </c>
      <c r="K520" s="342" t="e">
        <f t="shared" si="209"/>
        <v>#REF!</v>
      </c>
      <c r="L520" s="342">
        <f t="shared" si="209"/>
        <v>6712</v>
      </c>
      <c r="M520" s="342">
        <f t="shared" si="209"/>
        <v>6168.099999999999</v>
      </c>
      <c r="N520" s="336">
        <f t="shared" si="187"/>
        <v>91.89660309892729</v>
      </c>
    </row>
    <row r="521" spans="1:14" ht="18.75">
      <c r="A521" s="337" t="s">
        <v>442</v>
      </c>
      <c r="B521" s="338" t="s">
        <v>570</v>
      </c>
      <c r="C521" s="338" t="s">
        <v>285</v>
      </c>
      <c r="D521" s="338"/>
      <c r="E521" s="362"/>
      <c r="F521" s="360"/>
      <c r="G521" s="343" t="e">
        <f>G522</f>
        <v>#REF!</v>
      </c>
      <c r="H521" s="343" t="e">
        <f t="shared" si="209"/>
        <v>#REF!</v>
      </c>
      <c r="I521" s="343" t="e">
        <f t="shared" si="209"/>
        <v>#REF!</v>
      </c>
      <c r="J521" s="343" t="e">
        <f t="shared" si="209"/>
        <v>#REF!</v>
      </c>
      <c r="K521" s="343" t="e">
        <f t="shared" si="209"/>
        <v>#REF!</v>
      </c>
      <c r="L521" s="343">
        <f t="shared" si="209"/>
        <v>6712</v>
      </c>
      <c r="M521" s="343">
        <f t="shared" si="209"/>
        <v>6168.099999999999</v>
      </c>
      <c r="N521" s="339">
        <f t="shared" si="187"/>
        <v>91.89660309892729</v>
      </c>
    </row>
    <row r="522" spans="1:14" ht="18.75">
      <c r="A522" s="337" t="s">
        <v>569</v>
      </c>
      <c r="B522" s="338" t="s">
        <v>570</v>
      </c>
      <c r="C522" s="338" t="s">
        <v>285</v>
      </c>
      <c r="D522" s="338" t="s">
        <v>264</v>
      </c>
      <c r="E522" s="362"/>
      <c r="F522" s="360"/>
      <c r="G522" s="343" t="e">
        <f aca="true" t="shared" si="210" ref="G522:M522">G527+G530+G535+G540+G543+G546+G549</f>
        <v>#REF!</v>
      </c>
      <c r="H522" s="343" t="e">
        <f t="shared" si="210"/>
        <v>#REF!</v>
      </c>
      <c r="I522" s="343" t="e">
        <f t="shared" si="210"/>
        <v>#REF!</v>
      </c>
      <c r="J522" s="343" t="e">
        <f t="shared" si="210"/>
        <v>#REF!</v>
      </c>
      <c r="K522" s="343" t="e">
        <f t="shared" si="210"/>
        <v>#REF!</v>
      </c>
      <c r="L522" s="343">
        <f t="shared" si="210"/>
        <v>6712</v>
      </c>
      <c r="M522" s="343">
        <f t="shared" si="210"/>
        <v>6168.099999999999</v>
      </c>
      <c r="N522" s="339">
        <f t="shared" si="187"/>
        <v>91.89660309892729</v>
      </c>
    </row>
    <row r="523" spans="1:14" ht="56.25" hidden="1">
      <c r="A523" s="364" t="s">
        <v>571</v>
      </c>
      <c r="B523" s="344" t="s">
        <v>572</v>
      </c>
      <c r="C523" s="338" t="s">
        <v>285</v>
      </c>
      <c r="D523" s="338" t="s">
        <v>264</v>
      </c>
      <c r="E523" s="362"/>
      <c r="F523" s="360"/>
      <c r="G523" s="343">
        <f>G524</f>
        <v>0</v>
      </c>
      <c r="H523" s="343">
        <f aca="true" t="shared" si="211" ref="H523:M524">H524</f>
        <v>0</v>
      </c>
      <c r="I523" s="343">
        <f t="shared" si="211"/>
        <v>0</v>
      </c>
      <c r="J523" s="343">
        <f t="shared" si="211"/>
        <v>0</v>
      </c>
      <c r="K523" s="343">
        <f t="shared" si="211"/>
        <v>0</v>
      </c>
      <c r="L523" s="343">
        <f t="shared" si="211"/>
        <v>0</v>
      </c>
      <c r="M523" s="343">
        <f t="shared" si="211"/>
        <v>0</v>
      </c>
      <c r="N523" s="339" t="e">
        <f aca="true" t="shared" si="212" ref="N523:N586">M523/L523*100</f>
        <v>#DIV/0!</v>
      </c>
    </row>
    <row r="524" spans="1:14" ht="37.5" hidden="1">
      <c r="A524" s="337" t="s">
        <v>182</v>
      </c>
      <c r="B524" s="344" t="s">
        <v>572</v>
      </c>
      <c r="C524" s="338" t="s">
        <v>285</v>
      </c>
      <c r="D524" s="338" t="s">
        <v>264</v>
      </c>
      <c r="E524" s="338" t="s">
        <v>183</v>
      </c>
      <c r="F524" s="360"/>
      <c r="G524" s="343">
        <f>G525</f>
        <v>0</v>
      </c>
      <c r="H524" s="343">
        <f t="shared" si="211"/>
        <v>0</v>
      </c>
      <c r="I524" s="343">
        <f t="shared" si="211"/>
        <v>0</v>
      </c>
      <c r="J524" s="343">
        <f t="shared" si="211"/>
        <v>0</v>
      </c>
      <c r="K524" s="343">
        <f t="shared" si="211"/>
        <v>0</v>
      </c>
      <c r="L524" s="343">
        <f t="shared" si="211"/>
        <v>0</v>
      </c>
      <c r="M524" s="343">
        <f t="shared" si="211"/>
        <v>0</v>
      </c>
      <c r="N524" s="339" t="e">
        <f t="shared" si="212"/>
        <v>#DIV/0!</v>
      </c>
    </row>
    <row r="525" spans="1:14" ht="56.25" hidden="1">
      <c r="A525" s="337" t="s">
        <v>184</v>
      </c>
      <c r="B525" s="344" t="s">
        <v>572</v>
      </c>
      <c r="C525" s="338" t="s">
        <v>285</v>
      </c>
      <c r="D525" s="338" t="s">
        <v>264</v>
      </c>
      <c r="E525" s="338" t="s">
        <v>185</v>
      </c>
      <c r="F525" s="360"/>
      <c r="G525" s="343"/>
      <c r="H525" s="343"/>
      <c r="I525" s="343"/>
      <c r="J525" s="343"/>
      <c r="K525" s="343"/>
      <c r="L525" s="343"/>
      <c r="M525" s="343"/>
      <c r="N525" s="339" t="e">
        <f t="shared" si="212"/>
        <v>#DIV/0!</v>
      </c>
    </row>
    <row r="526" spans="1:14" ht="56.25" hidden="1">
      <c r="A526" s="341" t="s">
        <v>700</v>
      </c>
      <c r="B526" s="344" t="s">
        <v>572</v>
      </c>
      <c r="C526" s="338"/>
      <c r="D526" s="338"/>
      <c r="E526" s="338"/>
      <c r="F526" s="360">
        <v>908</v>
      </c>
      <c r="G526" s="343">
        <f aca="true" t="shared" si="213" ref="G526:M526">G523</f>
        <v>0</v>
      </c>
      <c r="H526" s="343">
        <f t="shared" si="213"/>
        <v>0</v>
      </c>
      <c r="I526" s="343">
        <f t="shared" si="213"/>
        <v>0</v>
      </c>
      <c r="J526" s="343">
        <f t="shared" si="213"/>
        <v>0</v>
      </c>
      <c r="K526" s="343">
        <f t="shared" si="213"/>
        <v>0</v>
      </c>
      <c r="L526" s="343">
        <f t="shared" si="213"/>
        <v>0</v>
      </c>
      <c r="M526" s="343">
        <f t="shared" si="213"/>
        <v>0</v>
      </c>
      <c r="N526" s="339" t="e">
        <f t="shared" si="212"/>
        <v>#DIV/0!</v>
      </c>
    </row>
    <row r="527" spans="1:14" ht="18.75">
      <c r="A527" s="341" t="s">
        <v>573</v>
      </c>
      <c r="B527" s="344" t="s">
        <v>574</v>
      </c>
      <c r="C527" s="338" t="s">
        <v>285</v>
      </c>
      <c r="D527" s="338" t="s">
        <v>264</v>
      </c>
      <c r="E527" s="338"/>
      <c r="F527" s="360"/>
      <c r="G527" s="343" t="e">
        <f>G528</f>
        <v>#REF!</v>
      </c>
      <c r="H527" s="343" t="e">
        <f aca="true" t="shared" si="214" ref="H527:M528">H528</f>
        <v>#REF!</v>
      </c>
      <c r="I527" s="343" t="e">
        <f t="shared" si="214"/>
        <v>#REF!</v>
      </c>
      <c r="J527" s="343" t="e">
        <f t="shared" si="214"/>
        <v>#REF!</v>
      </c>
      <c r="K527" s="343" t="e">
        <f t="shared" si="214"/>
        <v>#REF!</v>
      </c>
      <c r="L527" s="343">
        <f t="shared" si="214"/>
        <v>2407.7</v>
      </c>
      <c r="M527" s="343">
        <f t="shared" si="214"/>
        <v>2375.3</v>
      </c>
      <c r="N527" s="339">
        <f t="shared" si="212"/>
        <v>98.65431739834698</v>
      </c>
    </row>
    <row r="528" spans="1:14" ht="37.5">
      <c r="A528" s="350" t="s">
        <v>182</v>
      </c>
      <c r="B528" s="344" t="s">
        <v>574</v>
      </c>
      <c r="C528" s="338" t="s">
        <v>285</v>
      </c>
      <c r="D528" s="338" t="s">
        <v>264</v>
      </c>
      <c r="E528" s="338" t="s">
        <v>183</v>
      </c>
      <c r="F528" s="360"/>
      <c r="G528" s="343" t="e">
        <f>G529</f>
        <v>#REF!</v>
      </c>
      <c r="H528" s="343" t="e">
        <f t="shared" si="214"/>
        <v>#REF!</v>
      </c>
      <c r="I528" s="343" t="e">
        <f t="shared" si="214"/>
        <v>#REF!</v>
      </c>
      <c r="J528" s="343" t="e">
        <f t="shared" si="214"/>
        <v>#REF!</v>
      </c>
      <c r="K528" s="343" t="e">
        <f t="shared" si="214"/>
        <v>#REF!</v>
      </c>
      <c r="L528" s="343">
        <f t="shared" si="214"/>
        <v>2407.7</v>
      </c>
      <c r="M528" s="343">
        <f t="shared" si="214"/>
        <v>2375.3</v>
      </c>
      <c r="N528" s="339">
        <f t="shared" si="212"/>
        <v>98.65431739834698</v>
      </c>
    </row>
    <row r="529" spans="1:14" ht="56.25">
      <c r="A529" s="350" t="s">
        <v>184</v>
      </c>
      <c r="B529" s="344" t="s">
        <v>574</v>
      </c>
      <c r="C529" s="338" t="s">
        <v>285</v>
      </c>
      <c r="D529" s="338" t="s">
        <v>264</v>
      </c>
      <c r="E529" s="338" t="s">
        <v>185</v>
      </c>
      <c r="F529" s="360"/>
      <c r="G529" s="343" t="e">
        <f>#REF!</f>
        <v>#REF!</v>
      </c>
      <c r="H529" s="343" t="e">
        <f>#REF!</f>
        <v>#REF!</v>
      </c>
      <c r="I529" s="343" t="e">
        <f>#REF!</f>
        <v>#REF!</v>
      </c>
      <c r="J529" s="343" t="e">
        <f>#REF!</f>
        <v>#REF!</v>
      </c>
      <c r="K529" s="343" t="e">
        <f>#REF!</f>
        <v>#REF!</v>
      </c>
      <c r="L529" s="343">
        <f>'Прил.№4 ведомств.'!G933</f>
        <v>2407.7</v>
      </c>
      <c r="M529" s="343">
        <f>'Прил.№4 ведомств.'!H933</f>
        <v>2375.3</v>
      </c>
      <c r="N529" s="339">
        <f t="shared" si="212"/>
        <v>98.65431739834698</v>
      </c>
    </row>
    <row r="530" spans="1:14" ht="18.75">
      <c r="A530" s="341" t="s">
        <v>575</v>
      </c>
      <c r="B530" s="344" t="s">
        <v>576</v>
      </c>
      <c r="C530" s="338" t="s">
        <v>285</v>
      </c>
      <c r="D530" s="338" t="s">
        <v>264</v>
      </c>
      <c r="E530" s="338"/>
      <c r="F530" s="360"/>
      <c r="G530" s="343" t="e">
        <f>G531</f>
        <v>#REF!</v>
      </c>
      <c r="H530" s="343" t="e">
        <f aca="true" t="shared" si="215" ref="H530:M531">H531</f>
        <v>#REF!</v>
      </c>
      <c r="I530" s="343" t="e">
        <f t="shared" si="215"/>
        <v>#REF!</v>
      </c>
      <c r="J530" s="343" t="e">
        <f t="shared" si="215"/>
        <v>#REF!</v>
      </c>
      <c r="K530" s="343" t="e">
        <f t="shared" si="215"/>
        <v>#REF!</v>
      </c>
      <c r="L530" s="343">
        <f>L531+L533</f>
        <v>83.1</v>
      </c>
      <c r="M530" s="343">
        <f>M531+M533</f>
        <v>83</v>
      </c>
      <c r="N530" s="339">
        <f t="shared" si="212"/>
        <v>99.87966305655837</v>
      </c>
    </row>
    <row r="531" spans="1:14" ht="37.5">
      <c r="A531" s="350" t="s">
        <v>182</v>
      </c>
      <c r="B531" s="344" t="s">
        <v>576</v>
      </c>
      <c r="C531" s="338" t="s">
        <v>285</v>
      </c>
      <c r="D531" s="338" t="s">
        <v>264</v>
      </c>
      <c r="E531" s="338" t="s">
        <v>183</v>
      </c>
      <c r="F531" s="360"/>
      <c r="G531" s="343" t="e">
        <f>G532</f>
        <v>#REF!</v>
      </c>
      <c r="H531" s="343" t="e">
        <f t="shared" si="215"/>
        <v>#REF!</v>
      </c>
      <c r="I531" s="343" t="e">
        <f t="shared" si="215"/>
        <v>#REF!</v>
      </c>
      <c r="J531" s="343" t="e">
        <f t="shared" si="215"/>
        <v>#REF!</v>
      </c>
      <c r="K531" s="343" t="e">
        <f t="shared" si="215"/>
        <v>#REF!</v>
      </c>
      <c r="L531" s="343">
        <f t="shared" si="215"/>
        <v>42.5</v>
      </c>
      <c r="M531" s="343">
        <f t="shared" si="215"/>
        <v>42.5</v>
      </c>
      <c r="N531" s="339">
        <f t="shared" si="212"/>
        <v>100</v>
      </c>
    </row>
    <row r="532" spans="1:14" ht="56.25">
      <c r="A532" s="350" t="s">
        <v>184</v>
      </c>
      <c r="B532" s="344" t="s">
        <v>576</v>
      </c>
      <c r="C532" s="338" t="s">
        <v>285</v>
      </c>
      <c r="D532" s="338" t="s">
        <v>264</v>
      </c>
      <c r="E532" s="338" t="s">
        <v>185</v>
      </c>
      <c r="F532" s="360"/>
      <c r="G532" s="343" t="e">
        <f>#REF!</f>
        <v>#REF!</v>
      </c>
      <c r="H532" s="343" t="e">
        <f>#REF!</f>
        <v>#REF!</v>
      </c>
      <c r="I532" s="343" t="e">
        <f>#REF!</f>
        <v>#REF!</v>
      </c>
      <c r="J532" s="343" t="e">
        <f>#REF!</f>
        <v>#REF!</v>
      </c>
      <c r="K532" s="343" t="e">
        <f>#REF!</f>
        <v>#REF!</v>
      </c>
      <c r="L532" s="343">
        <f>'Прил.№4 ведомств.'!G936</f>
        <v>42.5</v>
      </c>
      <c r="M532" s="343">
        <f>'Прил.№4 ведомств.'!H936</f>
        <v>42.5</v>
      </c>
      <c r="N532" s="339">
        <f t="shared" si="212"/>
        <v>100</v>
      </c>
    </row>
    <row r="533" spans="1:14" ht="18.75">
      <c r="A533" s="337" t="s">
        <v>186</v>
      </c>
      <c r="B533" s="344" t="s">
        <v>576</v>
      </c>
      <c r="C533" s="338" t="s">
        <v>285</v>
      </c>
      <c r="D533" s="338" t="s">
        <v>264</v>
      </c>
      <c r="E533" s="338" t="s">
        <v>196</v>
      </c>
      <c r="F533" s="360"/>
      <c r="G533" s="343"/>
      <c r="H533" s="343"/>
      <c r="I533" s="343"/>
      <c r="J533" s="343"/>
      <c r="K533" s="343"/>
      <c r="L533" s="343">
        <f>L534</f>
        <v>40.6</v>
      </c>
      <c r="M533" s="343">
        <f>M534</f>
        <v>40.5</v>
      </c>
      <c r="N533" s="339">
        <f t="shared" si="212"/>
        <v>99.75369458128078</v>
      </c>
    </row>
    <row r="534" spans="1:14" ht="18.75">
      <c r="A534" s="340" t="s">
        <v>197</v>
      </c>
      <c r="B534" s="344" t="s">
        <v>576</v>
      </c>
      <c r="C534" s="338" t="s">
        <v>285</v>
      </c>
      <c r="D534" s="338" t="s">
        <v>264</v>
      </c>
      <c r="E534" s="338" t="s">
        <v>198</v>
      </c>
      <c r="F534" s="360"/>
      <c r="G534" s="343"/>
      <c r="H534" s="343"/>
      <c r="I534" s="343"/>
      <c r="J534" s="343"/>
      <c r="K534" s="343"/>
      <c r="L534" s="343">
        <f>'Прил.№4 ведомств.'!G938</f>
        <v>40.6</v>
      </c>
      <c r="M534" s="343">
        <f>'Прил.№4 ведомств.'!H938</f>
        <v>40.5</v>
      </c>
      <c r="N534" s="339">
        <f t="shared" si="212"/>
        <v>99.75369458128078</v>
      </c>
    </row>
    <row r="535" spans="1:14" ht="18.75">
      <c r="A535" s="341" t="s">
        <v>577</v>
      </c>
      <c r="B535" s="344" t="s">
        <v>578</v>
      </c>
      <c r="C535" s="338" t="s">
        <v>285</v>
      </c>
      <c r="D535" s="338" t="s">
        <v>264</v>
      </c>
      <c r="E535" s="338"/>
      <c r="F535" s="360"/>
      <c r="G535" s="343" t="e">
        <f>G536</f>
        <v>#REF!</v>
      </c>
      <c r="H535" s="343" t="e">
        <f aca="true" t="shared" si="216" ref="H535:M536">H536</f>
        <v>#REF!</v>
      </c>
      <c r="I535" s="343" t="e">
        <f t="shared" si="216"/>
        <v>#REF!</v>
      </c>
      <c r="J535" s="343" t="e">
        <f t="shared" si="216"/>
        <v>#REF!</v>
      </c>
      <c r="K535" s="343" t="e">
        <f t="shared" si="216"/>
        <v>#REF!</v>
      </c>
      <c r="L535" s="343">
        <f>L536+L538</f>
        <v>1093.8</v>
      </c>
      <c r="M535" s="343">
        <f>M536+M538</f>
        <v>1093.7</v>
      </c>
      <c r="N535" s="339">
        <f t="shared" si="212"/>
        <v>99.99085756079722</v>
      </c>
    </row>
    <row r="536" spans="1:14" ht="37.5">
      <c r="A536" s="350" t="s">
        <v>182</v>
      </c>
      <c r="B536" s="344" t="s">
        <v>578</v>
      </c>
      <c r="C536" s="338" t="s">
        <v>285</v>
      </c>
      <c r="D536" s="338" t="s">
        <v>264</v>
      </c>
      <c r="E536" s="338" t="s">
        <v>183</v>
      </c>
      <c r="F536" s="360"/>
      <c r="G536" s="343" t="e">
        <f>G537</f>
        <v>#REF!</v>
      </c>
      <c r="H536" s="343" t="e">
        <f t="shared" si="216"/>
        <v>#REF!</v>
      </c>
      <c r="I536" s="343" t="e">
        <f t="shared" si="216"/>
        <v>#REF!</v>
      </c>
      <c r="J536" s="343" t="e">
        <f t="shared" si="216"/>
        <v>#REF!</v>
      </c>
      <c r="K536" s="343" t="e">
        <f t="shared" si="216"/>
        <v>#REF!</v>
      </c>
      <c r="L536" s="343">
        <f t="shared" si="216"/>
        <v>1093</v>
      </c>
      <c r="M536" s="343">
        <f t="shared" si="216"/>
        <v>1093</v>
      </c>
      <c r="N536" s="339">
        <f t="shared" si="212"/>
        <v>100</v>
      </c>
    </row>
    <row r="537" spans="1:14" ht="56.25">
      <c r="A537" s="350" t="s">
        <v>184</v>
      </c>
      <c r="B537" s="344" t="s">
        <v>578</v>
      </c>
      <c r="C537" s="338" t="s">
        <v>285</v>
      </c>
      <c r="D537" s="338" t="s">
        <v>264</v>
      </c>
      <c r="E537" s="338" t="s">
        <v>185</v>
      </c>
      <c r="F537" s="360"/>
      <c r="G537" s="343" t="e">
        <f>#REF!</f>
        <v>#REF!</v>
      </c>
      <c r="H537" s="343" t="e">
        <f>#REF!</f>
        <v>#REF!</v>
      </c>
      <c r="I537" s="343" t="e">
        <f>#REF!</f>
        <v>#REF!</v>
      </c>
      <c r="J537" s="343" t="e">
        <f>#REF!</f>
        <v>#REF!</v>
      </c>
      <c r="K537" s="343" t="e">
        <f>#REF!</f>
        <v>#REF!</v>
      </c>
      <c r="L537" s="343">
        <f>'Прил.№4 ведомств.'!G941</f>
        <v>1093</v>
      </c>
      <c r="M537" s="343">
        <f>'Прил.№4 ведомств.'!H941</f>
        <v>1093</v>
      </c>
      <c r="N537" s="339">
        <f t="shared" si="212"/>
        <v>100</v>
      </c>
    </row>
    <row r="538" spans="1:14" ht="18.75">
      <c r="A538" s="337" t="s">
        <v>186</v>
      </c>
      <c r="B538" s="344" t="s">
        <v>578</v>
      </c>
      <c r="C538" s="338" t="s">
        <v>285</v>
      </c>
      <c r="D538" s="338" t="s">
        <v>264</v>
      </c>
      <c r="E538" s="338" t="s">
        <v>196</v>
      </c>
      <c r="F538" s="360"/>
      <c r="G538" s="343"/>
      <c r="H538" s="343"/>
      <c r="I538" s="343"/>
      <c r="J538" s="343"/>
      <c r="K538" s="343"/>
      <c r="L538" s="343">
        <f>L539</f>
        <v>0.8</v>
      </c>
      <c r="M538" s="343">
        <f>M539</f>
        <v>0.7</v>
      </c>
      <c r="N538" s="339">
        <f t="shared" si="212"/>
        <v>87.49999999999999</v>
      </c>
    </row>
    <row r="539" spans="1:14" ht="18.75">
      <c r="A539" s="340" t="s">
        <v>793</v>
      </c>
      <c r="B539" s="344" t="s">
        <v>578</v>
      </c>
      <c r="C539" s="338" t="s">
        <v>285</v>
      </c>
      <c r="D539" s="338" t="s">
        <v>264</v>
      </c>
      <c r="E539" s="338" t="s">
        <v>189</v>
      </c>
      <c r="F539" s="360"/>
      <c r="G539" s="343"/>
      <c r="H539" s="343"/>
      <c r="I539" s="343"/>
      <c r="J539" s="343"/>
      <c r="K539" s="343"/>
      <c r="L539" s="343">
        <f>'Прил.№4 ведомств.'!G943</f>
        <v>0.8</v>
      </c>
      <c r="M539" s="343">
        <f>'Прил.№4 ведомств.'!H943</f>
        <v>0.7</v>
      </c>
      <c r="N539" s="339">
        <f t="shared" si="212"/>
        <v>87.49999999999999</v>
      </c>
    </row>
    <row r="540" spans="1:14" ht="18.75">
      <c r="A540" s="341" t="s">
        <v>579</v>
      </c>
      <c r="B540" s="344" t="s">
        <v>580</v>
      </c>
      <c r="C540" s="338" t="s">
        <v>285</v>
      </c>
      <c r="D540" s="338" t="s">
        <v>264</v>
      </c>
      <c r="E540" s="338"/>
      <c r="F540" s="360"/>
      <c r="G540" s="343" t="e">
        <f>G541</f>
        <v>#REF!</v>
      </c>
      <c r="H540" s="343" t="e">
        <f aca="true" t="shared" si="217" ref="H540:M541">H541</f>
        <v>#REF!</v>
      </c>
      <c r="I540" s="343" t="e">
        <f t="shared" si="217"/>
        <v>#REF!</v>
      </c>
      <c r="J540" s="343" t="e">
        <f t="shared" si="217"/>
        <v>#REF!</v>
      </c>
      <c r="K540" s="343" t="e">
        <f t="shared" si="217"/>
        <v>#REF!</v>
      </c>
      <c r="L540" s="343">
        <f t="shared" si="217"/>
        <v>1452.4</v>
      </c>
      <c r="M540" s="343">
        <f t="shared" si="217"/>
        <v>941.7</v>
      </c>
      <c r="N540" s="339">
        <f t="shared" si="212"/>
        <v>64.83751032773341</v>
      </c>
    </row>
    <row r="541" spans="1:14" ht="37.5">
      <c r="A541" s="350" t="s">
        <v>182</v>
      </c>
      <c r="B541" s="344" t="s">
        <v>580</v>
      </c>
      <c r="C541" s="338" t="s">
        <v>285</v>
      </c>
      <c r="D541" s="338" t="s">
        <v>264</v>
      </c>
      <c r="E541" s="338" t="s">
        <v>183</v>
      </c>
      <c r="F541" s="360"/>
      <c r="G541" s="343" t="e">
        <f>G542</f>
        <v>#REF!</v>
      </c>
      <c r="H541" s="343" t="e">
        <f t="shared" si="217"/>
        <v>#REF!</v>
      </c>
      <c r="I541" s="343" t="e">
        <f t="shared" si="217"/>
        <v>#REF!</v>
      </c>
      <c r="J541" s="343" t="e">
        <f t="shared" si="217"/>
        <v>#REF!</v>
      </c>
      <c r="K541" s="343" t="e">
        <f t="shared" si="217"/>
        <v>#REF!</v>
      </c>
      <c r="L541" s="343">
        <f t="shared" si="217"/>
        <v>1452.4</v>
      </c>
      <c r="M541" s="343">
        <f t="shared" si="217"/>
        <v>941.7</v>
      </c>
      <c r="N541" s="339">
        <f t="shared" si="212"/>
        <v>64.83751032773341</v>
      </c>
    </row>
    <row r="542" spans="1:14" ht="56.25">
      <c r="A542" s="350" t="s">
        <v>184</v>
      </c>
      <c r="B542" s="344" t="s">
        <v>580</v>
      </c>
      <c r="C542" s="338" t="s">
        <v>285</v>
      </c>
      <c r="D542" s="338" t="s">
        <v>264</v>
      </c>
      <c r="E542" s="338" t="s">
        <v>185</v>
      </c>
      <c r="F542" s="360"/>
      <c r="G542" s="343" t="e">
        <f>#REF!</f>
        <v>#REF!</v>
      </c>
      <c r="H542" s="343" t="e">
        <f>#REF!</f>
        <v>#REF!</v>
      </c>
      <c r="I542" s="343" t="e">
        <f>#REF!</f>
        <v>#REF!</v>
      </c>
      <c r="J542" s="343" t="e">
        <f>#REF!</f>
        <v>#REF!</v>
      </c>
      <c r="K542" s="343" t="e">
        <f>#REF!</f>
        <v>#REF!</v>
      </c>
      <c r="L542" s="343">
        <f>'Прил.№4 ведомств.'!G946</f>
        <v>1452.4</v>
      </c>
      <c r="M542" s="343">
        <f>'Прил.№4 ведомств.'!H946</f>
        <v>941.7</v>
      </c>
      <c r="N542" s="339">
        <f t="shared" si="212"/>
        <v>64.83751032773341</v>
      </c>
    </row>
    <row r="543" spans="1:14" ht="18.75">
      <c r="A543" s="341" t="s">
        <v>581</v>
      </c>
      <c r="B543" s="344" t="s">
        <v>582</v>
      </c>
      <c r="C543" s="338" t="s">
        <v>285</v>
      </c>
      <c r="D543" s="338" t="s">
        <v>264</v>
      </c>
      <c r="E543" s="338"/>
      <c r="F543" s="360"/>
      <c r="G543" s="343" t="e">
        <f>G544</f>
        <v>#REF!</v>
      </c>
      <c r="H543" s="343" t="e">
        <f aca="true" t="shared" si="218" ref="H543:M544">H544</f>
        <v>#REF!</v>
      </c>
      <c r="I543" s="343" t="e">
        <f t="shared" si="218"/>
        <v>#REF!</v>
      </c>
      <c r="J543" s="343" t="e">
        <f t="shared" si="218"/>
        <v>#REF!</v>
      </c>
      <c r="K543" s="343" t="e">
        <f t="shared" si="218"/>
        <v>#REF!</v>
      </c>
      <c r="L543" s="343">
        <f t="shared" si="218"/>
        <v>131</v>
      </c>
      <c r="M543" s="343">
        <f t="shared" si="218"/>
        <v>130.4</v>
      </c>
      <c r="N543" s="339">
        <f t="shared" si="212"/>
        <v>99.54198473282443</v>
      </c>
    </row>
    <row r="544" spans="1:14" ht="37.5">
      <c r="A544" s="350" t="s">
        <v>182</v>
      </c>
      <c r="B544" s="344" t="s">
        <v>582</v>
      </c>
      <c r="C544" s="338" t="s">
        <v>285</v>
      </c>
      <c r="D544" s="338" t="s">
        <v>264</v>
      </c>
      <c r="E544" s="338" t="s">
        <v>183</v>
      </c>
      <c r="F544" s="360"/>
      <c r="G544" s="343" t="e">
        <f>G545</f>
        <v>#REF!</v>
      </c>
      <c r="H544" s="343" t="e">
        <f t="shared" si="218"/>
        <v>#REF!</v>
      </c>
      <c r="I544" s="343" t="e">
        <f t="shared" si="218"/>
        <v>#REF!</v>
      </c>
      <c r="J544" s="343" t="e">
        <f t="shared" si="218"/>
        <v>#REF!</v>
      </c>
      <c r="K544" s="343" t="e">
        <f t="shared" si="218"/>
        <v>#REF!</v>
      </c>
      <c r="L544" s="343">
        <f t="shared" si="218"/>
        <v>131</v>
      </c>
      <c r="M544" s="343">
        <f t="shared" si="218"/>
        <v>130.4</v>
      </c>
      <c r="N544" s="339">
        <f t="shared" si="212"/>
        <v>99.54198473282443</v>
      </c>
    </row>
    <row r="545" spans="1:14" ht="56.25">
      <c r="A545" s="350" t="s">
        <v>184</v>
      </c>
      <c r="B545" s="344" t="s">
        <v>582</v>
      </c>
      <c r="C545" s="338" t="s">
        <v>285</v>
      </c>
      <c r="D545" s="338" t="s">
        <v>264</v>
      </c>
      <c r="E545" s="338" t="s">
        <v>185</v>
      </c>
      <c r="F545" s="360"/>
      <c r="G545" s="343" t="e">
        <f>#REF!</f>
        <v>#REF!</v>
      </c>
      <c r="H545" s="343" t="e">
        <f>#REF!</f>
        <v>#REF!</v>
      </c>
      <c r="I545" s="343" t="e">
        <f>#REF!</f>
        <v>#REF!</v>
      </c>
      <c r="J545" s="343" t="e">
        <f>#REF!</f>
        <v>#REF!</v>
      </c>
      <c r="K545" s="343" t="e">
        <f>#REF!</f>
        <v>#REF!</v>
      </c>
      <c r="L545" s="343">
        <f>'Прил.№4 ведомств.'!G949</f>
        <v>131</v>
      </c>
      <c r="M545" s="343">
        <f>'Прил.№4 ведомств.'!H949</f>
        <v>130.4</v>
      </c>
      <c r="N545" s="339">
        <f t="shared" si="212"/>
        <v>99.54198473282443</v>
      </c>
    </row>
    <row r="546" spans="1:14" ht="37.5" hidden="1">
      <c r="A546" s="352" t="s">
        <v>583</v>
      </c>
      <c r="B546" s="344" t="s">
        <v>584</v>
      </c>
      <c r="C546" s="338" t="s">
        <v>285</v>
      </c>
      <c r="D546" s="338" t="s">
        <v>264</v>
      </c>
      <c r="E546" s="338"/>
      <c r="F546" s="360"/>
      <c r="G546" s="343">
        <f>G547</f>
        <v>0</v>
      </c>
      <c r="H546" s="343">
        <f aca="true" t="shared" si="219" ref="H546:M547">H547</f>
        <v>0</v>
      </c>
      <c r="I546" s="343">
        <f t="shared" si="219"/>
        <v>0</v>
      </c>
      <c r="J546" s="343">
        <f t="shared" si="219"/>
        <v>0</v>
      </c>
      <c r="K546" s="343">
        <f t="shared" si="219"/>
        <v>0</v>
      </c>
      <c r="L546" s="343">
        <f t="shared" si="219"/>
        <v>0</v>
      </c>
      <c r="M546" s="343">
        <f t="shared" si="219"/>
        <v>0</v>
      </c>
      <c r="N546" s="339" t="e">
        <f t="shared" si="212"/>
        <v>#DIV/0!</v>
      </c>
    </row>
    <row r="547" spans="1:14" ht="37.5" hidden="1">
      <c r="A547" s="350" t="s">
        <v>182</v>
      </c>
      <c r="B547" s="344" t="s">
        <v>584</v>
      </c>
      <c r="C547" s="338" t="s">
        <v>285</v>
      </c>
      <c r="D547" s="338" t="s">
        <v>264</v>
      </c>
      <c r="E547" s="338"/>
      <c r="F547" s="360"/>
      <c r="G547" s="343">
        <f>G548</f>
        <v>0</v>
      </c>
      <c r="H547" s="343">
        <f t="shared" si="219"/>
        <v>0</v>
      </c>
      <c r="I547" s="343">
        <f t="shared" si="219"/>
        <v>0</v>
      </c>
      <c r="J547" s="343">
        <f t="shared" si="219"/>
        <v>0</v>
      </c>
      <c r="K547" s="343">
        <f t="shared" si="219"/>
        <v>0</v>
      </c>
      <c r="L547" s="343">
        <f t="shared" si="219"/>
        <v>0</v>
      </c>
      <c r="M547" s="343">
        <f t="shared" si="219"/>
        <v>0</v>
      </c>
      <c r="N547" s="339" t="e">
        <f t="shared" si="212"/>
        <v>#DIV/0!</v>
      </c>
    </row>
    <row r="548" spans="1:14" ht="56.25" hidden="1">
      <c r="A548" s="350" t="s">
        <v>184</v>
      </c>
      <c r="B548" s="344" t="s">
        <v>584</v>
      </c>
      <c r="C548" s="338" t="s">
        <v>285</v>
      </c>
      <c r="D548" s="338" t="s">
        <v>264</v>
      </c>
      <c r="E548" s="338"/>
      <c r="F548" s="360"/>
      <c r="G548" s="343"/>
      <c r="H548" s="343"/>
      <c r="I548" s="343"/>
      <c r="J548" s="343"/>
      <c r="K548" s="343"/>
      <c r="L548" s="343"/>
      <c r="M548" s="343"/>
      <c r="N548" s="339" t="e">
        <f t="shared" si="212"/>
        <v>#DIV/0!</v>
      </c>
    </row>
    <row r="549" spans="1:14" ht="18.75">
      <c r="A549" s="352" t="s">
        <v>585</v>
      </c>
      <c r="B549" s="344" t="s">
        <v>586</v>
      </c>
      <c r="C549" s="338" t="s">
        <v>285</v>
      </c>
      <c r="D549" s="338" t="s">
        <v>264</v>
      </c>
      <c r="E549" s="338"/>
      <c r="F549" s="360"/>
      <c r="G549" s="343" t="e">
        <f>G550</f>
        <v>#REF!</v>
      </c>
      <c r="H549" s="343" t="e">
        <f aca="true" t="shared" si="220" ref="H549:M550">H550</f>
        <v>#REF!</v>
      </c>
      <c r="I549" s="343" t="e">
        <f t="shared" si="220"/>
        <v>#REF!</v>
      </c>
      <c r="J549" s="343" t="e">
        <f t="shared" si="220"/>
        <v>#REF!</v>
      </c>
      <c r="K549" s="343" t="e">
        <f t="shared" si="220"/>
        <v>#REF!</v>
      </c>
      <c r="L549" s="343">
        <f t="shared" si="220"/>
        <v>1544</v>
      </c>
      <c r="M549" s="343">
        <f t="shared" si="220"/>
        <v>1544</v>
      </c>
      <c r="N549" s="339">
        <f t="shared" si="212"/>
        <v>100</v>
      </c>
    </row>
    <row r="550" spans="1:14" ht="37.5">
      <c r="A550" s="340" t="s">
        <v>182</v>
      </c>
      <c r="B550" s="344" t="s">
        <v>586</v>
      </c>
      <c r="C550" s="338" t="s">
        <v>285</v>
      </c>
      <c r="D550" s="338" t="s">
        <v>264</v>
      </c>
      <c r="E550" s="360">
        <v>200</v>
      </c>
      <c r="F550" s="363"/>
      <c r="G550" s="339" t="e">
        <f>G551</f>
        <v>#REF!</v>
      </c>
      <c r="H550" s="339" t="e">
        <f t="shared" si="220"/>
        <v>#REF!</v>
      </c>
      <c r="I550" s="339" t="e">
        <f t="shared" si="220"/>
        <v>#REF!</v>
      </c>
      <c r="J550" s="339" t="e">
        <f t="shared" si="220"/>
        <v>#REF!</v>
      </c>
      <c r="K550" s="339" t="e">
        <f t="shared" si="220"/>
        <v>#REF!</v>
      </c>
      <c r="L550" s="339">
        <f t="shared" si="220"/>
        <v>1544</v>
      </c>
      <c r="M550" s="339">
        <f t="shared" si="220"/>
        <v>1544</v>
      </c>
      <c r="N550" s="339">
        <f t="shared" si="212"/>
        <v>100</v>
      </c>
    </row>
    <row r="551" spans="1:14" ht="56.25">
      <c r="A551" s="340" t="s">
        <v>184</v>
      </c>
      <c r="B551" s="344" t="s">
        <v>586</v>
      </c>
      <c r="C551" s="338" t="s">
        <v>285</v>
      </c>
      <c r="D551" s="338" t="s">
        <v>264</v>
      </c>
      <c r="E551" s="360">
        <v>240</v>
      </c>
      <c r="F551" s="363"/>
      <c r="G551" s="339" t="e">
        <f>#REF!</f>
        <v>#REF!</v>
      </c>
      <c r="H551" s="339" t="e">
        <f>#REF!</f>
        <v>#REF!</v>
      </c>
      <c r="I551" s="339" t="e">
        <f>#REF!</f>
        <v>#REF!</v>
      </c>
      <c r="J551" s="339" t="e">
        <f>#REF!</f>
        <v>#REF!</v>
      </c>
      <c r="K551" s="339" t="e">
        <f>#REF!</f>
        <v>#REF!</v>
      </c>
      <c r="L551" s="339">
        <f>'Прил.№4 ведомств.'!G955</f>
        <v>1544</v>
      </c>
      <c r="M551" s="339">
        <f>'Прил.№4 ведомств.'!H955</f>
        <v>1544</v>
      </c>
      <c r="N551" s="339">
        <f t="shared" si="212"/>
        <v>100</v>
      </c>
    </row>
    <row r="552" spans="1:14" ht="56.25">
      <c r="A552" s="341" t="s">
        <v>700</v>
      </c>
      <c r="B552" s="344" t="s">
        <v>570</v>
      </c>
      <c r="C552" s="338"/>
      <c r="D552" s="338"/>
      <c r="E552" s="360"/>
      <c r="F552" s="360">
        <v>908</v>
      </c>
      <c r="G552" s="339" t="e">
        <f aca="true" t="shared" si="221" ref="G552:M552">G520</f>
        <v>#REF!</v>
      </c>
      <c r="H552" s="339" t="e">
        <f t="shared" si="221"/>
        <v>#REF!</v>
      </c>
      <c r="I552" s="339" t="e">
        <f t="shared" si="221"/>
        <v>#REF!</v>
      </c>
      <c r="J552" s="339" t="e">
        <f t="shared" si="221"/>
        <v>#REF!</v>
      </c>
      <c r="K552" s="339" t="e">
        <f t="shared" si="221"/>
        <v>#REF!</v>
      </c>
      <c r="L552" s="339">
        <f t="shared" si="221"/>
        <v>6712</v>
      </c>
      <c r="M552" s="339">
        <f t="shared" si="221"/>
        <v>6168.099999999999</v>
      </c>
      <c r="N552" s="339">
        <f t="shared" si="212"/>
        <v>91.89660309892729</v>
      </c>
    </row>
    <row r="553" spans="1:14" ht="75">
      <c r="A553" s="355" t="s">
        <v>385</v>
      </c>
      <c r="B553" s="370" t="s">
        <v>386</v>
      </c>
      <c r="C553" s="335"/>
      <c r="D553" s="335"/>
      <c r="E553" s="356"/>
      <c r="F553" s="356"/>
      <c r="G553" s="336" t="e">
        <f>G554</f>
        <v>#REF!</v>
      </c>
      <c r="H553" s="336" t="e">
        <f aca="true" t="shared" si="222" ref="H553:M553">H554</f>
        <v>#REF!</v>
      </c>
      <c r="I553" s="336" t="e">
        <f t="shared" si="222"/>
        <v>#REF!</v>
      </c>
      <c r="J553" s="336" t="e">
        <f t="shared" si="222"/>
        <v>#REF!</v>
      </c>
      <c r="K553" s="336" t="e">
        <f t="shared" si="222"/>
        <v>#REF!</v>
      </c>
      <c r="L553" s="336">
        <f t="shared" si="222"/>
        <v>180</v>
      </c>
      <c r="M553" s="336">
        <f t="shared" si="222"/>
        <v>128.79999999999998</v>
      </c>
      <c r="N553" s="336">
        <f t="shared" si="212"/>
        <v>71.55555555555554</v>
      </c>
    </row>
    <row r="554" spans="1:14" ht="18.75">
      <c r="A554" s="337" t="s">
        <v>168</v>
      </c>
      <c r="B554" s="344" t="s">
        <v>386</v>
      </c>
      <c r="C554" s="338" t="s">
        <v>169</v>
      </c>
      <c r="D554" s="338"/>
      <c r="E554" s="360"/>
      <c r="F554" s="360"/>
      <c r="G554" s="339" t="e">
        <f aca="true" t="shared" si="223" ref="G554:M554">G555+G595</f>
        <v>#REF!</v>
      </c>
      <c r="H554" s="339" t="e">
        <f t="shared" si="223"/>
        <v>#REF!</v>
      </c>
      <c r="I554" s="339" t="e">
        <f t="shared" si="223"/>
        <v>#REF!</v>
      </c>
      <c r="J554" s="339" t="e">
        <f t="shared" si="223"/>
        <v>#REF!</v>
      </c>
      <c r="K554" s="339" t="e">
        <f t="shared" si="223"/>
        <v>#REF!</v>
      </c>
      <c r="L554" s="339">
        <f t="shared" si="223"/>
        <v>180</v>
      </c>
      <c r="M554" s="339">
        <f t="shared" si="223"/>
        <v>128.79999999999998</v>
      </c>
      <c r="N554" s="339">
        <f t="shared" si="212"/>
        <v>71.55555555555554</v>
      </c>
    </row>
    <row r="555" spans="1:14" ht="18.75">
      <c r="A555" s="337" t="s">
        <v>190</v>
      </c>
      <c r="B555" s="344" t="s">
        <v>386</v>
      </c>
      <c r="C555" s="338" t="s">
        <v>169</v>
      </c>
      <c r="D555" s="338" t="s">
        <v>191</v>
      </c>
      <c r="E555" s="360"/>
      <c r="F555" s="360"/>
      <c r="G555" s="339" t="e">
        <f aca="true" t="shared" si="224" ref="G555:M555">G556+G559+G564+G567+G570+G573</f>
        <v>#REF!</v>
      </c>
      <c r="H555" s="339" t="e">
        <f t="shared" si="224"/>
        <v>#REF!</v>
      </c>
      <c r="I555" s="339" t="e">
        <f t="shared" si="224"/>
        <v>#REF!</v>
      </c>
      <c r="J555" s="339" t="e">
        <f t="shared" si="224"/>
        <v>#REF!</v>
      </c>
      <c r="K555" s="339" t="e">
        <f t="shared" si="224"/>
        <v>#REF!</v>
      </c>
      <c r="L555" s="339">
        <f t="shared" si="224"/>
        <v>120</v>
      </c>
      <c r="M555" s="339">
        <f t="shared" si="224"/>
        <v>117.6</v>
      </c>
      <c r="N555" s="339">
        <f t="shared" si="212"/>
        <v>98</v>
      </c>
    </row>
    <row r="556" spans="1:14" ht="37.5">
      <c r="A556" s="340" t="s">
        <v>387</v>
      </c>
      <c r="B556" s="344" t="s">
        <v>388</v>
      </c>
      <c r="C556" s="338" t="s">
        <v>169</v>
      </c>
      <c r="D556" s="338" t="s">
        <v>191</v>
      </c>
      <c r="E556" s="360"/>
      <c r="F556" s="360"/>
      <c r="G556" s="339" t="e">
        <f>G557</f>
        <v>#REF!</v>
      </c>
      <c r="H556" s="339" t="e">
        <f aca="true" t="shared" si="225" ref="H556:M557">H557</f>
        <v>#REF!</v>
      </c>
      <c r="I556" s="339" t="e">
        <f t="shared" si="225"/>
        <v>#REF!</v>
      </c>
      <c r="J556" s="339" t="e">
        <f t="shared" si="225"/>
        <v>#REF!</v>
      </c>
      <c r="K556" s="339" t="e">
        <f t="shared" si="225"/>
        <v>#REF!</v>
      </c>
      <c r="L556" s="339">
        <f t="shared" si="225"/>
        <v>100</v>
      </c>
      <c r="M556" s="339">
        <f t="shared" si="225"/>
        <v>100</v>
      </c>
      <c r="N556" s="339">
        <f t="shared" si="212"/>
        <v>100</v>
      </c>
    </row>
    <row r="557" spans="1:14" ht="37.5">
      <c r="A557" s="340" t="s">
        <v>182</v>
      </c>
      <c r="B557" s="344" t="s">
        <v>388</v>
      </c>
      <c r="C557" s="338" t="s">
        <v>169</v>
      </c>
      <c r="D557" s="338" t="s">
        <v>191</v>
      </c>
      <c r="E557" s="360">
        <v>200</v>
      </c>
      <c r="F557" s="360"/>
      <c r="G557" s="339" t="e">
        <f>G558</f>
        <v>#REF!</v>
      </c>
      <c r="H557" s="339" t="e">
        <f t="shared" si="225"/>
        <v>#REF!</v>
      </c>
      <c r="I557" s="339" t="e">
        <f t="shared" si="225"/>
        <v>#REF!</v>
      </c>
      <c r="J557" s="339" t="e">
        <f t="shared" si="225"/>
        <v>#REF!</v>
      </c>
      <c r="K557" s="339" t="e">
        <f t="shared" si="225"/>
        <v>#REF!</v>
      </c>
      <c r="L557" s="339">
        <f t="shared" si="225"/>
        <v>100</v>
      </c>
      <c r="M557" s="339">
        <f t="shared" si="225"/>
        <v>100</v>
      </c>
      <c r="N557" s="339">
        <f t="shared" si="212"/>
        <v>100</v>
      </c>
    </row>
    <row r="558" spans="1:14" ht="56.25">
      <c r="A558" s="340" t="s">
        <v>184</v>
      </c>
      <c r="B558" s="344" t="s">
        <v>388</v>
      </c>
      <c r="C558" s="338" t="s">
        <v>169</v>
      </c>
      <c r="D558" s="338" t="s">
        <v>191</v>
      </c>
      <c r="E558" s="360">
        <v>240</v>
      </c>
      <c r="F558" s="360"/>
      <c r="G558" s="339" t="e">
        <f>#REF!</f>
        <v>#REF!</v>
      </c>
      <c r="H558" s="339" t="e">
        <f>#REF!</f>
        <v>#REF!</v>
      </c>
      <c r="I558" s="339" t="e">
        <f>#REF!</f>
        <v>#REF!</v>
      </c>
      <c r="J558" s="339" t="e">
        <f>#REF!</f>
        <v>#REF!</v>
      </c>
      <c r="K558" s="339" t="e">
        <f>#REF!</f>
        <v>#REF!</v>
      </c>
      <c r="L558" s="339">
        <f>'Прил.№4 ведомств.'!G254</f>
        <v>100</v>
      </c>
      <c r="M558" s="339">
        <f>'Прил.№4 ведомств.'!H254</f>
        <v>100</v>
      </c>
      <c r="N558" s="339">
        <f t="shared" si="212"/>
        <v>100</v>
      </c>
    </row>
    <row r="559" spans="1:14" ht="75" hidden="1">
      <c r="A559" s="340" t="s">
        <v>528</v>
      </c>
      <c r="B559" s="344" t="s">
        <v>529</v>
      </c>
      <c r="C559" s="338" t="s">
        <v>169</v>
      </c>
      <c r="D559" s="338" t="s">
        <v>191</v>
      </c>
      <c r="E559" s="360"/>
      <c r="F559" s="360"/>
      <c r="G559" s="339">
        <f aca="true" t="shared" si="226" ref="G559:M559">G560+G562</f>
        <v>0</v>
      </c>
      <c r="H559" s="339">
        <f t="shared" si="226"/>
        <v>0</v>
      </c>
      <c r="I559" s="339" t="e">
        <f t="shared" si="226"/>
        <v>#REF!</v>
      </c>
      <c r="J559" s="339" t="e">
        <f t="shared" si="226"/>
        <v>#REF!</v>
      </c>
      <c r="K559" s="339" t="e">
        <f t="shared" si="226"/>
        <v>#REF!</v>
      </c>
      <c r="L559" s="339">
        <f t="shared" si="226"/>
        <v>0</v>
      </c>
      <c r="M559" s="339">
        <f t="shared" si="226"/>
        <v>0</v>
      </c>
      <c r="N559" s="339" t="e">
        <f t="shared" si="212"/>
        <v>#DIV/0!</v>
      </c>
    </row>
    <row r="560" spans="1:14" ht="112.5" hidden="1">
      <c r="A560" s="340" t="s">
        <v>178</v>
      </c>
      <c r="B560" s="344" t="s">
        <v>529</v>
      </c>
      <c r="C560" s="338" t="s">
        <v>169</v>
      </c>
      <c r="D560" s="338" t="s">
        <v>191</v>
      </c>
      <c r="E560" s="360">
        <v>100</v>
      </c>
      <c r="F560" s="360"/>
      <c r="G560" s="339">
        <f>G561</f>
        <v>0</v>
      </c>
      <c r="H560" s="339">
        <f aca="true" t="shared" si="227" ref="H560:M560">H561</f>
        <v>0</v>
      </c>
      <c r="I560" s="339">
        <f t="shared" si="227"/>
        <v>0</v>
      </c>
      <c r="J560" s="339" t="e">
        <f t="shared" si="227"/>
        <v>#REF!</v>
      </c>
      <c r="K560" s="339" t="e">
        <f t="shared" si="227"/>
        <v>#REF!</v>
      </c>
      <c r="L560" s="339">
        <f t="shared" si="227"/>
        <v>0</v>
      </c>
      <c r="M560" s="339">
        <f t="shared" si="227"/>
        <v>0</v>
      </c>
      <c r="N560" s="339" t="e">
        <f t="shared" si="212"/>
        <v>#DIV/0!</v>
      </c>
    </row>
    <row r="561" spans="1:14" ht="37.5" hidden="1">
      <c r="A561" s="340" t="s">
        <v>393</v>
      </c>
      <c r="B561" s="344" t="s">
        <v>529</v>
      </c>
      <c r="C561" s="338" t="s">
        <v>169</v>
      </c>
      <c r="D561" s="338" t="s">
        <v>191</v>
      </c>
      <c r="E561" s="360">
        <v>110</v>
      </c>
      <c r="F561" s="360"/>
      <c r="G561" s="339">
        <v>0</v>
      </c>
      <c r="H561" s="339">
        <v>0</v>
      </c>
      <c r="I561" s="339">
        <v>0</v>
      </c>
      <c r="J561" s="339" t="e">
        <f>#REF!</f>
        <v>#REF!</v>
      </c>
      <c r="K561" s="339" t="e">
        <f>#REF!</f>
        <v>#REF!</v>
      </c>
      <c r="L561" s="339">
        <f>'Прил.№4 ведомств.'!G761</f>
        <v>0</v>
      </c>
      <c r="M561" s="339">
        <f>'Прил.№4 ведомств.'!H761</f>
        <v>0</v>
      </c>
      <c r="N561" s="339" t="e">
        <f t="shared" si="212"/>
        <v>#DIV/0!</v>
      </c>
    </row>
    <row r="562" spans="1:14" ht="37.5" hidden="1">
      <c r="A562" s="340" t="s">
        <v>182</v>
      </c>
      <c r="B562" s="344" t="s">
        <v>529</v>
      </c>
      <c r="C562" s="338" t="s">
        <v>169</v>
      </c>
      <c r="D562" s="338" t="s">
        <v>191</v>
      </c>
      <c r="E562" s="360">
        <v>200</v>
      </c>
      <c r="F562" s="360"/>
      <c r="G562" s="339">
        <f>G563</f>
        <v>0</v>
      </c>
      <c r="H562" s="339">
        <f aca="true" t="shared" si="228" ref="H562:M562">H563</f>
        <v>0</v>
      </c>
      <c r="I562" s="339" t="e">
        <f t="shared" si="228"/>
        <v>#REF!</v>
      </c>
      <c r="J562" s="339" t="e">
        <f t="shared" si="228"/>
        <v>#REF!</v>
      </c>
      <c r="K562" s="339" t="e">
        <f t="shared" si="228"/>
        <v>#REF!</v>
      </c>
      <c r="L562" s="339">
        <f t="shared" si="228"/>
        <v>0</v>
      </c>
      <c r="M562" s="339">
        <f t="shared" si="228"/>
        <v>0</v>
      </c>
      <c r="N562" s="339" t="e">
        <f t="shared" si="212"/>
        <v>#DIV/0!</v>
      </c>
    </row>
    <row r="563" spans="1:14" ht="56.25" hidden="1">
      <c r="A563" s="340" t="s">
        <v>184</v>
      </c>
      <c r="B563" s="344" t="s">
        <v>529</v>
      </c>
      <c r="C563" s="338" t="s">
        <v>169</v>
      </c>
      <c r="D563" s="338" t="s">
        <v>191</v>
      </c>
      <c r="E563" s="360">
        <v>240</v>
      </c>
      <c r="F563" s="360"/>
      <c r="G563" s="339">
        <v>0</v>
      </c>
      <c r="H563" s="339">
        <v>0</v>
      </c>
      <c r="I563" s="339" t="e">
        <f>#REF!</f>
        <v>#REF!</v>
      </c>
      <c r="J563" s="339" t="e">
        <f>#REF!</f>
        <v>#REF!</v>
      </c>
      <c r="K563" s="339" t="e">
        <f>#REF!</f>
        <v>#REF!</v>
      </c>
      <c r="L563" s="339">
        <f>'Прил.№4 ведомств.'!G763</f>
        <v>0</v>
      </c>
      <c r="M563" s="339">
        <f>'Прил.№4 ведомств.'!H763</f>
        <v>0</v>
      </c>
      <c r="N563" s="339" t="e">
        <f t="shared" si="212"/>
        <v>#DIV/0!</v>
      </c>
    </row>
    <row r="564" spans="1:14" ht="37.5">
      <c r="A564" s="340" t="s">
        <v>389</v>
      </c>
      <c r="B564" s="344" t="s">
        <v>390</v>
      </c>
      <c r="C564" s="338" t="s">
        <v>169</v>
      </c>
      <c r="D564" s="338" t="s">
        <v>191</v>
      </c>
      <c r="E564" s="360"/>
      <c r="F564" s="360"/>
      <c r="G564" s="339">
        <f>G565</f>
        <v>20</v>
      </c>
      <c r="H564" s="339">
        <f aca="true" t="shared" si="229" ref="H564:M565">H565</f>
        <v>20</v>
      </c>
      <c r="I564" s="339" t="e">
        <f t="shared" si="229"/>
        <v>#REF!</v>
      </c>
      <c r="J564" s="339" t="e">
        <f t="shared" si="229"/>
        <v>#REF!</v>
      </c>
      <c r="K564" s="339" t="e">
        <f t="shared" si="229"/>
        <v>#REF!</v>
      </c>
      <c r="L564" s="339">
        <f t="shared" si="229"/>
        <v>20</v>
      </c>
      <c r="M564" s="339">
        <f t="shared" si="229"/>
        <v>17.6</v>
      </c>
      <c r="N564" s="339">
        <f t="shared" si="212"/>
        <v>88.00000000000001</v>
      </c>
    </row>
    <row r="565" spans="1:14" ht="37.5">
      <c r="A565" s="340" t="s">
        <v>182</v>
      </c>
      <c r="B565" s="344" t="s">
        <v>390</v>
      </c>
      <c r="C565" s="338" t="s">
        <v>169</v>
      </c>
      <c r="D565" s="338" t="s">
        <v>191</v>
      </c>
      <c r="E565" s="360">
        <v>200</v>
      </c>
      <c r="F565" s="360"/>
      <c r="G565" s="339">
        <f>G566</f>
        <v>20</v>
      </c>
      <c r="H565" s="339">
        <f t="shared" si="229"/>
        <v>20</v>
      </c>
      <c r="I565" s="339" t="e">
        <f t="shared" si="229"/>
        <v>#REF!</v>
      </c>
      <c r="J565" s="339" t="e">
        <f t="shared" si="229"/>
        <v>#REF!</v>
      </c>
      <c r="K565" s="339" t="e">
        <f t="shared" si="229"/>
        <v>#REF!</v>
      </c>
      <c r="L565" s="339">
        <f t="shared" si="229"/>
        <v>20</v>
      </c>
      <c r="M565" s="339">
        <f t="shared" si="229"/>
        <v>17.6</v>
      </c>
      <c r="N565" s="339">
        <f t="shared" si="212"/>
        <v>88.00000000000001</v>
      </c>
    </row>
    <row r="566" spans="1:14" ht="56.25">
      <c r="A566" s="340" t="s">
        <v>184</v>
      </c>
      <c r="B566" s="344" t="s">
        <v>390</v>
      </c>
      <c r="C566" s="338" t="s">
        <v>169</v>
      </c>
      <c r="D566" s="338" t="s">
        <v>191</v>
      </c>
      <c r="E566" s="360">
        <v>240</v>
      </c>
      <c r="F566" s="360"/>
      <c r="G566" s="339">
        <v>20</v>
      </c>
      <c r="H566" s="339">
        <v>20</v>
      </c>
      <c r="I566" s="339" t="e">
        <f>#REF!</f>
        <v>#REF!</v>
      </c>
      <c r="J566" s="339" t="e">
        <f>#REF!</f>
        <v>#REF!</v>
      </c>
      <c r="K566" s="339" t="e">
        <f>#REF!</f>
        <v>#REF!</v>
      </c>
      <c r="L566" s="339">
        <f>'Прил.№4 ведомств.'!G257</f>
        <v>20</v>
      </c>
      <c r="M566" s="339">
        <f>'Прил.№4 ведомств.'!H257</f>
        <v>17.6</v>
      </c>
      <c r="N566" s="339">
        <f t="shared" si="212"/>
        <v>88.00000000000001</v>
      </c>
    </row>
    <row r="567" spans="1:14" ht="75" hidden="1">
      <c r="A567" s="350" t="s">
        <v>918</v>
      </c>
      <c r="B567" s="344" t="s">
        <v>915</v>
      </c>
      <c r="C567" s="338" t="s">
        <v>169</v>
      </c>
      <c r="D567" s="338" t="s">
        <v>191</v>
      </c>
      <c r="E567" s="360"/>
      <c r="F567" s="360"/>
      <c r="G567" s="339">
        <f>G568</f>
        <v>0</v>
      </c>
      <c r="H567" s="339">
        <f aca="true" t="shared" si="230" ref="H567:M568">H568</f>
        <v>0</v>
      </c>
      <c r="I567" s="339" t="e">
        <f t="shared" si="230"/>
        <v>#REF!</v>
      </c>
      <c r="J567" s="339" t="e">
        <f t="shared" si="230"/>
        <v>#REF!</v>
      </c>
      <c r="K567" s="339" t="e">
        <f t="shared" si="230"/>
        <v>#REF!</v>
      </c>
      <c r="L567" s="339">
        <f t="shared" si="230"/>
        <v>0</v>
      </c>
      <c r="M567" s="339">
        <f t="shared" si="230"/>
        <v>0</v>
      </c>
      <c r="N567" s="339" t="e">
        <f t="shared" si="212"/>
        <v>#DIV/0!</v>
      </c>
    </row>
    <row r="568" spans="1:14" ht="37.5" hidden="1">
      <c r="A568" s="340" t="s">
        <v>182</v>
      </c>
      <c r="B568" s="344" t="s">
        <v>915</v>
      </c>
      <c r="C568" s="344" t="s">
        <v>169</v>
      </c>
      <c r="D568" s="344" t="s">
        <v>191</v>
      </c>
      <c r="E568" s="344" t="s">
        <v>183</v>
      </c>
      <c r="F568" s="344"/>
      <c r="G568" s="339">
        <f>G569</f>
        <v>0</v>
      </c>
      <c r="H568" s="339">
        <f t="shared" si="230"/>
        <v>0</v>
      </c>
      <c r="I568" s="339" t="e">
        <f t="shared" si="230"/>
        <v>#REF!</v>
      </c>
      <c r="J568" s="339" t="e">
        <f t="shared" si="230"/>
        <v>#REF!</v>
      </c>
      <c r="K568" s="339" t="e">
        <f t="shared" si="230"/>
        <v>#REF!</v>
      </c>
      <c r="L568" s="339">
        <f t="shared" si="230"/>
        <v>0</v>
      </c>
      <c r="M568" s="339">
        <f t="shared" si="230"/>
        <v>0</v>
      </c>
      <c r="N568" s="339" t="e">
        <f t="shared" si="212"/>
        <v>#DIV/0!</v>
      </c>
    </row>
    <row r="569" spans="1:14" ht="56.25" hidden="1">
      <c r="A569" s="340" t="s">
        <v>184</v>
      </c>
      <c r="B569" s="344" t="s">
        <v>915</v>
      </c>
      <c r="C569" s="344" t="s">
        <v>169</v>
      </c>
      <c r="D569" s="344" t="s">
        <v>191</v>
      </c>
      <c r="E569" s="344" t="s">
        <v>185</v>
      </c>
      <c r="F569" s="344"/>
      <c r="G569" s="339">
        <v>0</v>
      </c>
      <c r="H569" s="339">
        <v>0</v>
      </c>
      <c r="I569" s="339" t="e">
        <f>#REF!</f>
        <v>#REF!</v>
      </c>
      <c r="J569" s="339" t="e">
        <f>#REF!</f>
        <v>#REF!</v>
      </c>
      <c r="K569" s="339" t="e">
        <f>#REF!</f>
        <v>#REF!</v>
      </c>
      <c r="L569" s="339">
        <f>'Прил.№4 ведомств.'!G260</f>
        <v>0</v>
      </c>
      <c r="M569" s="339">
        <f>'Прил.№4 ведомств.'!H260</f>
        <v>0</v>
      </c>
      <c r="N569" s="339" t="e">
        <f t="shared" si="212"/>
        <v>#DIV/0!</v>
      </c>
    </row>
    <row r="570" spans="1:14" ht="56.25" hidden="1">
      <c r="A570" s="340" t="s">
        <v>757</v>
      </c>
      <c r="B570" s="344" t="s">
        <v>920</v>
      </c>
      <c r="C570" s="338" t="s">
        <v>169</v>
      </c>
      <c r="D570" s="338" t="s">
        <v>191</v>
      </c>
      <c r="E570" s="360"/>
      <c r="F570" s="344"/>
      <c r="G570" s="339">
        <f>G571</f>
        <v>105</v>
      </c>
      <c r="H570" s="339">
        <f aca="true" t="shared" si="231" ref="H570:M571">H571</f>
        <v>105</v>
      </c>
      <c r="I570" s="339">
        <f t="shared" si="231"/>
        <v>0</v>
      </c>
      <c r="J570" s="339">
        <f t="shared" si="231"/>
        <v>0</v>
      </c>
      <c r="K570" s="339">
        <f t="shared" si="231"/>
        <v>0</v>
      </c>
      <c r="L570" s="339">
        <f t="shared" si="231"/>
        <v>0</v>
      </c>
      <c r="M570" s="339">
        <f t="shared" si="231"/>
        <v>0</v>
      </c>
      <c r="N570" s="339" t="e">
        <f t="shared" si="212"/>
        <v>#DIV/0!</v>
      </c>
    </row>
    <row r="571" spans="1:14" ht="37.5" hidden="1">
      <c r="A571" s="340" t="s">
        <v>182</v>
      </c>
      <c r="B571" s="344" t="s">
        <v>920</v>
      </c>
      <c r="C571" s="338" t="s">
        <v>169</v>
      </c>
      <c r="D571" s="338" t="s">
        <v>191</v>
      </c>
      <c r="E571" s="360">
        <v>200</v>
      </c>
      <c r="F571" s="344"/>
      <c r="G571" s="339">
        <f>G572</f>
        <v>105</v>
      </c>
      <c r="H571" s="339">
        <f t="shared" si="231"/>
        <v>105</v>
      </c>
      <c r="I571" s="339">
        <f t="shared" si="231"/>
        <v>0</v>
      </c>
      <c r="J571" s="339">
        <f t="shared" si="231"/>
        <v>0</v>
      </c>
      <c r="K571" s="339">
        <f t="shared" si="231"/>
        <v>0</v>
      </c>
      <c r="L571" s="339">
        <f t="shared" si="231"/>
        <v>0</v>
      </c>
      <c r="M571" s="339">
        <f t="shared" si="231"/>
        <v>0</v>
      </c>
      <c r="N571" s="339" t="e">
        <f t="shared" si="212"/>
        <v>#DIV/0!</v>
      </c>
    </row>
    <row r="572" spans="1:14" ht="56.25" hidden="1">
      <c r="A572" s="340" t="s">
        <v>184</v>
      </c>
      <c r="B572" s="344" t="s">
        <v>920</v>
      </c>
      <c r="C572" s="338" t="s">
        <v>169</v>
      </c>
      <c r="D572" s="338" t="s">
        <v>191</v>
      </c>
      <c r="E572" s="360">
        <v>240</v>
      </c>
      <c r="F572" s="344"/>
      <c r="G572" s="339">
        <v>105</v>
      </c>
      <c r="H572" s="339">
        <v>105</v>
      </c>
      <c r="I572" s="339">
        <v>0</v>
      </c>
      <c r="J572" s="339">
        <v>0</v>
      </c>
      <c r="K572" s="339">
        <v>0</v>
      </c>
      <c r="L572" s="339">
        <v>0</v>
      </c>
      <c r="M572" s="339">
        <v>0</v>
      </c>
      <c r="N572" s="339" t="e">
        <f t="shared" si="212"/>
        <v>#DIV/0!</v>
      </c>
    </row>
    <row r="573" spans="1:14" ht="37.5" hidden="1">
      <c r="A573" s="350" t="s">
        <v>919</v>
      </c>
      <c r="B573" s="344" t="s">
        <v>916</v>
      </c>
      <c r="C573" s="344" t="s">
        <v>169</v>
      </c>
      <c r="D573" s="344" t="s">
        <v>191</v>
      </c>
      <c r="E573" s="344"/>
      <c r="F573" s="344"/>
      <c r="G573" s="339">
        <f>G574</f>
        <v>0</v>
      </c>
      <c r="H573" s="339">
        <f aca="true" t="shared" si="232" ref="H573:M574">H574</f>
        <v>0</v>
      </c>
      <c r="I573" s="339" t="e">
        <f t="shared" si="232"/>
        <v>#REF!</v>
      </c>
      <c r="J573" s="339" t="e">
        <f t="shared" si="232"/>
        <v>#REF!</v>
      </c>
      <c r="K573" s="339" t="e">
        <f t="shared" si="232"/>
        <v>#REF!</v>
      </c>
      <c r="L573" s="339">
        <f t="shared" si="232"/>
        <v>0</v>
      </c>
      <c r="M573" s="339">
        <f t="shared" si="232"/>
        <v>0</v>
      </c>
      <c r="N573" s="339" t="e">
        <f t="shared" si="212"/>
        <v>#DIV/0!</v>
      </c>
    </row>
    <row r="574" spans="1:14" ht="37.5" hidden="1">
      <c r="A574" s="340" t="s">
        <v>182</v>
      </c>
      <c r="B574" s="344" t="s">
        <v>916</v>
      </c>
      <c r="C574" s="344" t="s">
        <v>169</v>
      </c>
      <c r="D574" s="344" t="s">
        <v>191</v>
      </c>
      <c r="E574" s="344" t="s">
        <v>183</v>
      </c>
      <c r="F574" s="344"/>
      <c r="G574" s="339">
        <f>G575</f>
        <v>0</v>
      </c>
      <c r="H574" s="339">
        <f t="shared" si="232"/>
        <v>0</v>
      </c>
      <c r="I574" s="339" t="e">
        <f t="shared" si="232"/>
        <v>#REF!</v>
      </c>
      <c r="J574" s="339" t="e">
        <f t="shared" si="232"/>
        <v>#REF!</v>
      </c>
      <c r="K574" s="339" t="e">
        <f t="shared" si="232"/>
        <v>#REF!</v>
      </c>
      <c r="L574" s="339">
        <f t="shared" si="232"/>
        <v>0</v>
      </c>
      <c r="M574" s="339">
        <f t="shared" si="232"/>
        <v>0</v>
      </c>
      <c r="N574" s="339" t="e">
        <f t="shared" si="212"/>
        <v>#DIV/0!</v>
      </c>
    </row>
    <row r="575" spans="1:14" ht="56.25" hidden="1">
      <c r="A575" s="340" t="s">
        <v>184</v>
      </c>
      <c r="B575" s="344" t="s">
        <v>916</v>
      </c>
      <c r="C575" s="344" t="s">
        <v>169</v>
      </c>
      <c r="D575" s="344" t="s">
        <v>191</v>
      </c>
      <c r="E575" s="344" t="s">
        <v>185</v>
      </c>
      <c r="F575" s="344"/>
      <c r="G575" s="339">
        <v>0</v>
      </c>
      <c r="H575" s="339">
        <v>0</v>
      </c>
      <c r="I575" s="339" t="e">
        <f>#REF!</f>
        <v>#REF!</v>
      </c>
      <c r="J575" s="339" t="e">
        <f>#REF!</f>
        <v>#REF!</v>
      </c>
      <c r="K575" s="339" t="e">
        <f>#REF!</f>
        <v>#REF!</v>
      </c>
      <c r="L575" s="339">
        <f>'Прил.№4 ведомств.'!G266</f>
        <v>0</v>
      </c>
      <c r="M575" s="339">
        <f>'Прил.№4 ведомств.'!H266</f>
        <v>0</v>
      </c>
      <c r="N575" s="339" t="e">
        <f t="shared" si="212"/>
        <v>#DIV/0!</v>
      </c>
    </row>
    <row r="576" spans="1:14" ht="56.25">
      <c r="A576" s="341" t="s">
        <v>312</v>
      </c>
      <c r="B576" s="344" t="s">
        <v>386</v>
      </c>
      <c r="C576" s="338" t="s">
        <v>169</v>
      </c>
      <c r="D576" s="338" t="s">
        <v>191</v>
      </c>
      <c r="E576" s="360"/>
      <c r="F576" s="360">
        <v>903</v>
      </c>
      <c r="G576" s="339" t="e">
        <f aca="true" t="shared" si="233" ref="G576:M576">G556+G564+G567+G570+G573</f>
        <v>#REF!</v>
      </c>
      <c r="H576" s="339" t="e">
        <f t="shared" si="233"/>
        <v>#REF!</v>
      </c>
      <c r="I576" s="339" t="e">
        <f t="shared" si="233"/>
        <v>#REF!</v>
      </c>
      <c r="J576" s="339" t="e">
        <f t="shared" si="233"/>
        <v>#REF!</v>
      </c>
      <c r="K576" s="339" t="e">
        <f t="shared" si="233"/>
        <v>#REF!</v>
      </c>
      <c r="L576" s="339">
        <f t="shared" si="233"/>
        <v>120</v>
      </c>
      <c r="M576" s="339">
        <f t="shared" si="233"/>
        <v>117.6</v>
      </c>
      <c r="N576" s="339">
        <f t="shared" si="212"/>
        <v>98</v>
      </c>
    </row>
    <row r="577" spans="1:14" ht="18.75">
      <c r="A577" s="337" t="s">
        <v>190</v>
      </c>
      <c r="B577" s="344" t="s">
        <v>386</v>
      </c>
      <c r="C577" s="338" t="s">
        <v>169</v>
      </c>
      <c r="D577" s="338" t="s">
        <v>191</v>
      </c>
      <c r="E577" s="360"/>
      <c r="F577" s="360"/>
      <c r="G577" s="339">
        <f>G581+G586+G589</f>
        <v>20</v>
      </c>
      <c r="H577" s="339">
        <f>H581+H586+H589</f>
        <v>20</v>
      </c>
      <c r="I577" s="339" t="e">
        <f>I581+I586+I589</f>
        <v>#REF!</v>
      </c>
      <c r="J577" s="339" t="e">
        <f>J581+J586+J589</f>
        <v>#REF!</v>
      </c>
      <c r="K577" s="339" t="e">
        <f>K581+K586+K589</f>
        <v>#REF!</v>
      </c>
      <c r="L577" s="339">
        <f>L581+L586+L589+L578+L592</f>
        <v>60</v>
      </c>
      <c r="M577" s="339">
        <f>M581+M586+M589+M578+M592</f>
        <v>11.2</v>
      </c>
      <c r="N577" s="339">
        <f t="shared" si="212"/>
        <v>18.666666666666664</v>
      </c>
    </row>
    <row r="578" spans="1:14" ht="37.5">
      <c r="A578" s="340" t="s">
        <v>387</v>
      </c>
      <c r="B578" s="344" t="s">
        <v>388</v>
      </c>
      <c r="C578" s="338" t="s">
        <v>169</v>
      </c>
      <c r="D578" s="338" t="s">
        <v>191</v>
      </c>
      <c r="E578" s="360"/>
      <c r="F578" s="360"/>
      <c r="G578" s="339">
        <f>G579</f>
        <v>0</v>
      </c>
      <c r="H578" s="339">
        <f aca="true" t="shared" si="234" ref="H578:M579">H579</f>
        <v>0</v>
      </c>
      <c r="I578" s="339" t="e">
        <f t="shared" si="234"/>
        <v>#REF!</v>
      </c>
      <c r="J578" s="339" t="e">
        <f t="shared" si="234"/>
        <v>#REF!</v>
      </c>
      <c r="K578" s="339" t="e">
        <f t="shared" si="234"/>
        <v>#REF!</v>
      </c>
      <c r="L578" s="339">
        <f t="shared" si="234"/>
        <v>50</v>
      </c>
      <c r="M578" s="339">
        <f t="shared" si="234"/>
        <v>11.2</v>
      </c>
      <c r="N578" s="339">
        <f t="shared" si="212"/>
        <v>22.4</v>
      </c>
    </row>
    <row r="579" spans="1:14" ht="37.5">
      <c r="A579" s="340" t="s">
        <v>182</v>
      </c>
      <c r="B579" s="344" t="s">
        <v>388</v>
      </c>
      <c r="C579" s="338" t="s">
        <v>169</v>
      </c>
      <c r="D579" s="338" t="s">
        <v>191</v>
      </c>
      <c r="E579" s="360">
        <v>200</v>
      </c>
      <c r="F579" s="360"/>
      <c r="G579" s="339">
        <f>G580</f>
        <v>0</v>
      </c>
      <c r="H579" s="339">
        <f t="shared" si="234"/>
        <v>0</v>
      </c>
      <c r="I579" s="339" t="e">
        <f t="shared" si="234"/>
        <v>#REF!</v>
      </c>
      <c r="J579" s="339" t="e">
        <f t="shared" si="234"/>
        <v>#REF!</v>
      </c>
      <c r="K579" s="339" t="e">
        <f t="shared" si="234"/>
        <v>#REF!</v>
      </c>
      <c r="L579" s="339">
        <f t="shared" si="234"/>
        <v>50</v>
      </c>
      <c r="M579" s="339">
        <f t="shared" si="234"/>
        <v>11.2</v>
      </c>
      <c r="N579" s="339">
        <f t="shared" si="212"/>
        <v>22.4</v>
      </c>
    </row>
    <row r="580" spans="1:14" ht="56.25">
      <c r="A580" s="340" t="s">
        <v>184</v>
      </c>
      <c r="B580" s="344" t="s">
        <v>388</v>
      </c>
      <c r="C580" s="338" t="s">
        <v>169</v>
      </c>
      <c r="D580" s="338" t="s">
        <v>191</v>
      </c>
      <c r="E580" s="360">
        <v>240</v>
      </c>
      <c r="F580" s="360"/>
      <c r="G580" s="339">
        <v>0</v>
      </c>
      <c r="H580" s="339">
        <v>0</v>
      </c>
      <c r="I580" s="339" t="e">
        <f>#REF!</f>
        <v>#REF!</v>
      </c>
      <c r="J580" s="339" t="e">
        <f>#REF!</f>
        <v>#REF!</v>
      </c>
      <c r="K580" s="339" t="e">
        <f>#REF!</f>
        <v>#REF!</v>
      </c>
      <c r="L580" s="339">
        <f>'Прил.№4 ведомств.'!G584</f>
        <v>50</v>
      </c>
      <c r="M580" s="339">
        <f>'Прил.№4 ведомств.'!H584</f>
        <v>11.2</v>
      </c>
      <c r="N580" s="339">
        <f t="shared" si="212"/>
        <v>22.4</v>
      </c>
    </row>
    <row r="581" spans="1:14" ht="37.5" hidden="1">
      <c r="A581" s="340" t="s">
        <v>387</v>
      </c>
      <c r="B581" s="344" t="s">
        <v>529</v>
      </c>
      <c r="C581" s="338" t="s">
        <v>169</v>
      </c>
      <c r="D581" s="338" t="s">
        <v>191</v>
      </c>
      <c r="E581" s="360"/>
      <c r="F581" s="360"/>
      <c r="G581" s="339">
        <f aca="true" t="shared" si="235" ref="G581:M581">G584+G582</f>
        <v>20</v>
      </c>
      <c r="H581" s="339">
        <f t="shared" si="235"/>
        <v>20</v>
      </c>
      <c r="I581" s="339" t="e">
        <f t="shared" si="235"/>
        <v>#REF!</v>
      </c>
      <c r="J581" s="339" t="e">
        <f t="shared" si="235"/>
        <v>#REF!</v>
      </c>
      <c r="K581" s="339" t="e">
        <f t="shared" si="235"/>
        <v>#REF!</v>
      </c>
      <c r="L581" s="339">
        <f t="shared" si="235"/>
        <v>0</v>
      </c>
      <c r="M581" s="339">
        <f t="shared" si="235"/>
        <v>0</v>
      </c>
      <c r="N581" s="339" t="e">
        <f t="shared" si="212"/>
        <v>#DIV/0!</v>
      </c>
    </row>
    <row r="582" spans="1:14" ht="112.5" hidden="1">
      <c r="A582" s="340" t="s">
        <v>178</v>
      </c>
      <c r="B582" s="344" t="s">
        <v>529</v>
      </c>
      <c r="C582" s="338" t="s">
        <v>169</v>
      </c>
      <c r="D582" s="338" t="s">
        <v>191</v>
      </c>
      <c r="E582" s="360">
        <v>100</v>
      </c>
      <c r="F582" s="360"/>
      <c r="G582" s="339">
        <f>G583</f>
        <v>5</v>
      </c>
      <c r="H582" s="339">
        <f aca="true" t="shared" si="236" ref="H582:M582">H583</f>
        <v>5</v>
      </c>
      <c r="I582" s="339">
        <f t="shared" si="236"/>
        <v>0</v>
      </c>
      <c r="J582" s="339">
        <f t="shared" si="236"/>
        <v>0</v>
      </c>
      <c r="K582" s="339">
        <f t="shared" si="236"/>
        <v>0</v>
      </c>
      <c r="L582" s="339">
        <f t="shared" si="236"/>
        <v>0</v>
      </c>
      <c r="M582" s="339">
        <f t="shared" si="236"/>
        <v>0</v>
      </c>
      <c r="N582" s="339" t="e">
        <f t="shared" si="212"/>
        <v>#DIV/0!</v>
      </c>
    </row>
    <row r="583" spans="1:14" ht="37.5" hidden="1">
      <c r="A583" s="340" t="s">
        <v>393</v>
      </c>
      <c r="B583" s="344" t="s">
        <v>529</v>
      </c>
      <c r="C583" s="338" t="s">
        <v>169</v>
      </c>
      <c r="D583" s="338" t="s">
        <v>191</v>
      </c>
      <c r="E583" s="360">
        <v>110</v>
      </c>
      <c r="F583" s="360"/>
      <c r="G583" s="339">
        <v>5</v>
      </c>
      <c r="H583" s="339">
        <v>5</v>
      </c>
      <c r="I583" s="339">
        <v>0</v>
      </c>
      <c r="J583" s="339">
        <v>0</v>
      </c>
      <c r="K583" s="339">
        <v>0</v>
      </c>
      <c r="L583" s="339">
        <v>0</v>
      </c>
      <c r="M583" s="339">
        <v>0</v>
      </c>
      <c r="N583" s="339" t="e">
        <f t="shared" si="212"/>
        <v>#DIV/0!</v>
      </c>
    </row>
    <row r="584" spans="1:14" ht="37.5" hidden="1">
      <c r="A584" s="340" t="s">
        <v>182</v>
      </c>
      <c r="B584" s="344" t="s">
        <v>529</v>
      </c>
      <c r="C584" s="338" t="s">
        <v>169</v>
      </c>
      <c r="D584" s="338" t="s">
        <v>191</v>
      </c>
      <c r="E584" s="360">
        <v>200</v>
      </c>
      <c r="F584" s="360"/>
      <c r="G584" s="339">
        <f>G585</f>
        <v>15</v>
      </c>
      <c r="H584" s="339">
        <f aca="true" t="shared" si="237" ref="H584:M584">H585</f>
        <v>15</v>
      </c>
      <c r="I584" s="339" t="e">
        <f t="shared" si="237"/>
        <v>#REF!</v>
      </c>
      <c r="J584" s="339" t="e">
        <f t="shared" si="237"/>
        <v>#REF!</v>
      </c>
      <c r="K584" s="339" t="e">
        <f t="shared" si="237"/>
        <v>#REF!</v>
      </c>
      <c r="L584" s="339">
        <f t="shared" si="237"/>
        <v>0</v>
      </c>
      <c r="M584" s="339">
        <f t="shared" si="237"/>
        <v>0</v>
      </c>
      <c r="N584" s="339" t="e">
        <f t="shared" si="212"/>
        <v>#DIV/0!</v>
      </c>
    </row>
    <row r="585" spans="1:14" ht="56.25" hidden="1">
      <c r="A585" s="340" t="s">
        <v>184</v>
      </c>
      <c r="B585" s="344" t="s">
        <v>529</v>
      </c>
      <c r="C585" s="338" t="s">
        <v>169</v>
      </c>
      <c r="D585" s="338" t="s">
        <v>191</v>
      </c>
      <c r="E585" s="360">
        <v>240</v>
      </c>
      <c r="F585" s="360"/>
      <c r="G585" s="339">
        <v>15</v>
      </c>
      <c r="H585" s="339">
        <v>15</v>
      </c>
      <c r="I585" s="339" t="e">
        <f>#REF!</f>
        <v>#REF!</v>
      </c>
      <c r="J585" s="339" t="e">
        <f>#REF!</f>
        <v>#REF!</v>
      </c>
      <c r="K585" s="339" t="e">
        <f>#REF!</f>
        <v>#REF!</v>
      </c>
      <c r="L585" s="339">
        <f>'Прил.№4 ведомств.'!G419</f>
        <v>0</v>
      </c>
      <c r="M585" s="339">
        <f>'Прил.№4 ведомств.'!H419</f>
        <v>0</v>
      </c>
      <c r="N585" s="339" t="e">
        <f t="shared" si="212"/>
        <v>#DIV/0!</v>
      </c>
    </row>
    <row r="586" spans="1:14" ht="37.5" hidden="1">
      <c r="A586" s="340" t="s">
        <v>389</v>
      </c>
      <c r="B586" s="344" t="s">
        <v>390</v>
      </c>
      <c r="C586" s="338" t="s">
        <v>169</v>
      </c>
      <c r="D586" s="338" t="s">
        <v>191</v>
      </c>
      <c r="E586" s="360"/>
      <c r="F586" s="360"/>
      <c r="G586" s="339">
        <f>G587</f>
        <v>0</v>
      </c>
      <c r="H586" s="339">
        <f aca="true" t="shared" si="238" ref="H586:M587">H587</f>
        <v>0</v>
      </c>
      <c r="I586" s="339" t="e">
        <f t="shared" si="238"/>
        <v>#REF!</v>
      </c>
      <c r="J586" s="339" t="e">
        <f t="shared" si="238"/>
        <v>#REF!</v>
      </c>
      <c r="K586" s="339" t="e">
        <f t="shared" si="238"/>
        <v>#REF!</v>
      </c>
      <c r="L586" s="339">
        <f t="shared" si="238"/>
        <v>0</v>
      </c>
      <c r="M586" s="339">
        <f t="shared" si="238"/>
        <v>0</v>
      </c>
      <c r="N586" s="339" t="e">
        <f t="shared" si="212"/>
        <v>#DIV/0!</v>
      </c>
    </row>
    <row r="587" spans="1:14" ht="37.5" hidden="1">
      <c r="A587" s="340" t="s">
        <v>182</v>
      </c>
      <c r="B587" s="344" t="s">
        <v>390</v>
      </c>
      <c r="C587" s="338" t="s">
        <v>169</v>
      </c>
      <c r="D587" s="338" t="s">
        <v>191</v>
      </c>
      <c r="E587" s="360">
        <v>200</v>
      </c>
      <c r="F587" s="360"/>
      <c r="G587" s="339">
        <f>G588</f>
        <v>0</v>
      </c>
      <c r="H587" s="339">
        <f t="shared" si="238"/>
        <v>0</v>
      </c>
      <c r="I587" s="339" t="e">
        <f t="shared" si="238"/>
        <v>#REF!</v>
      </c>
      <c r="J587" s="339" t="e">
        <f t="shared" si="238"/>
        <v>#REF!</v>
      </c>
      <c r="K587" s="339" t="e">
        <f t="shared" si="238"/>
        <v>#REF!</v>
      </c>
      <c r="L587" s="339">
        <f t="shared" si="238"/>
        <v>0</v>
      </c>
      <c r="M587" s="339">
        <f t="shared" si="238"/>
        <v>0</v>
      </c>
      <c r="N587" s="339" t="e">
        <f aca="true" t="shared" si="239" ref="N587:N635">M587/L587*100</f>
        <v>#DIV/0!</v>
      </c>
    </row>
    <row r="588" spans="1:14" ht="56.25" hidden="1">
      <c r="A588" s="340" t="s">
        <v>184</v>
      </c>
      <c r="B588" s="344" t="s">
        <v>390</v>
      </c>
      <c r="C588" s="338" t="s">
        <v>169</v>
      </c>
      <c r="D588" s="338" t="s">
        <v>191</v>
      </c>
      <c r="E588" s="360">
        <v>240</v>
      </c>
      <c r="F588" s="360"/>
      <c r="G588" s="339">
        <v>0</v>
      </c>
      <c r="H588" s="339">
        <v>0</v>
      </c>
      <c r="I588" s="339" t="e">
        <f>#REF!</f>
        <v>#REF!</v>
      </c>
      <c r="J588" s="339" t="e">
        <f>#REF!</f>
        <v>#REF!</v>
      </c>
      <c r="K588" s="339" t="e">
        <f>#REF!</f>
        <v>#REF!</v>
      </c>
      <c r="L588" s="339">
        <f>'Прил.№4 ведомств.'!G425</f>
        <v>0</v>
      </c>
      <c r="M588" s="339">
        <f>'Прил.№4 ведомств.'!H425</f>
        <v>0</v>
      </c>
      <c r="N588" s="339" t="e">
        <f t="shared" si="239"/>
        <v>#DIV/0!</v>
      </c>
    </row>
    <row r="589" spans="1:14" ht="56.25" hidden="1">
      <c r="A589" s="340" t="s">
        <v>757</v>
      </c>
      <c r="B589" s="344" t="s">
        <v>758</v>
      </c>
      <c r="C589" s="338" t="s">
        <v>169</v>
      </c>
      <c r="D589" s="338" t="s">
        <v>191</v>
      </c>
      <c r="E589" s="360"/>
      <c r="F589" s="360"/>
      <c r="G589" s="339">
        <f>G590</f>
        <v>0</v>
      </c>
      <c r="H589" s="339">
        <f aca="true" t="shared" si="240" ref="H589:M590">H590</f>
        <v>0</v>
      </c>
      <c r="I589" s="339" t="e">
        <f t="shared" si="240"/>
        <v>#REF!</v>
      </c>
      <c r="J589" s="339" t="e">
        <f t="shared" si="240"/>
        <v>#REF!</v>
      </c>
      <c r="K589" s="339" t="e">
        <f t="shared" si="240"/>
        <v>#REF!</v>
      </c>
      <c r="L589" s="339">
        <f t="shared" si="240"/>
        <v>0</v>
      </c>
      <c r="M589" s="339">
        <f t="shared" si="240"/>
        <v>0</v>
      </c>
      <c r="N589" s="339" t="e">
        <f t="shared" si="239"/>
        <v>#DIV/0!</v>
      </c>
    </row>
    <row r="590" spans="1:14" ht="37.5" hidden="1">
      <c r="A590" s="340" t="s">
        <v>182</v>
      </c>
      <c r="B590" s="344" t="s">
        <v>758</v>
      </c>
      <c r="C590" s="338" t="s">
        <v>169</v>
      </c>
      <c r="D590" s="338" t="s">
        <v>191</v>
      </c>
      <c r="E590" s="360">
        <v>200</v>
      </c>
      <c r="F590" s="360"/>
      <c r="G590" s="339">
        <f>G591</f>
        <v>0</v>
      </c>
      <c r="H590" s="339">
        <f t="shared" si="240"/>
        <v>0</v>
      </c>
      <c r="I590" s="339" t="e">
        <f t="shared" si="240"/>
        <v>#REF!</v>
      </c>
      <c r="J590" s="339" t="e">
        <f t="shared" si="240"/>
        <v>#REF!</v>
      </c>
      <c r="K590" s="339" t="e">
        <f t="shared" si="240"/>
        <v>#REF!</v>
      </c>
      <c r="L590" s="339">
        <f t="shared" si="240"/>
        <v>0</v>
      </c>
      <c r="M590" s="339">
        <f t="shared" si="240"/>
        <v>0</v>
      </c>
      <c r="N590" s="339" t="e">
        <f t="shared" si="239"/>
        <v>#DIV/0!</v>
      </c>
    </row>
    <row r="591" spans="1:14" ht="56.25" hidden="1">
      <c r="A591" s="340" t="s">
        <v>184</v>
      </c>
      <c r="B591" s="344" t="s">
        <v>758</v>
      </c>
      <c r="C591" s="338" t="s">
        <v>169</v>
      </c>
      <c r="D591" s="338" t="s">
        <v>191</v>
      </c>
      <c r="E591" s="360">
        <v>240</v>
      </c>
      <c r="F591" s="360"/>
      <c r="G591" s="339">
        <v>0</v>
      </c>
      <c r="H591" s="339">
        <v>0</v>
      </c>
      <c r="I591" s="339" t="e">
        <f>#REF!</f>
        <v>#REF!</v>
      </c>
      <c r="J591" s="339" t="e">
        <f>#REF!</f>
        <v>#REF!</v>
      </c>
      <c r="K591" s="339" t="e">
        <f>#REF!</f>
        <v>#REF!</v>
      </c>
      <c r="L591" s="339">
        <f>'Прил.№4 ведомств.'!G431</f>
        <v>0</v>
      </c>
      <c r="M591" s="339">
        <f>'Прил.№4 ведомств.'!H431</f>
        <v>0</v>
      </c>
      <c r="N591" s="339" t="e">
        <f t="shared" si="239"/>
        <v>#DIV/0!</v>
      </c>
    </row>
    <row r="592" spans="1:14" ht="37.5">
      <c r="A592" s="350" t="s">
        <v>922</v>
      </c>
      <c r="B592" s="344" t="s">
        <v>921</v>
      </c>
      <c r="C592" s="338" t="s">
        <v>169</v>
      </c>
      <c r="D592" s="338" t="s">
        <v>191</v>
      </c>
      <c r="E592" s="360"/>
      <c r="F592" s="360"/>
      <c r="G592" s="339">
        <f>G593</f>
        <v>0</v>
      </c>
      <c r="H592" s="339">
        <f aca="true" t="shared" si="241" ref="H592:M593">H593</f>
        <v>0</v>
      </c>
      <c r="I592" s="339" t="e">
        <f t="shared" si="241"/>
        <v>#REF!</v>
      </c>
      <c r="J592" s="339" t="e">
        <f t="shared" si="241"/>
        <v>#REF!</v>
      </c>
      <c r="K592" s="339" t="e">
        <f t="shared" si="241"/>
        <v>#REF!</v>
      </c>
      <c r="L592" s="339">
        <f t="shared" si="241"/>
        <v>10</v>
      </c>
      <c r="M592" s="339">
        <f t="shared" si="241"/>
        <v>0</v>
      </c>
      <c r="N592" s="339">
        <f t="shared" si="239"/>
        <v>0</v>
      </c>
    </row>
    <row r="593" spans="1:14" ht="37.5">
      <c r="A593" s="340" t="s">
        <v>182</v>
      </c>
      <c r="B593" s="344" t="s">
        <v>921</v>
      </c>
      <c r="C593" s="338" t="s">
        <v>169</v>
      </c>
      <c r="D593" s="338" t="s">
        <v>191</v>
      </c>
      <c r="E593" s="360">
        <v>200</v>
      </c>
      <c r="F593" s="360"/>
      <c r="G593" s="339">
        <f>G594</f>
        <v>0</v>
      </c>
      <c r="H593" s="339">
        <f t="shared" si="241"/>
        <v>0</v>
      </c>
      <c r="I593" s="339" t="e">
        <f t="shared" si="241"/>
        <v>#REF!</v>
      </c>
      <c r="J593" s="339" t="e">
        <f t="shared" si="241"/>
        <v>#REF!</v>
      </c>
      <c r="K593" s="339" t="e">
        <f t="shared" si="241"/>
        <v>#REF!</v>
      </c>
      <c r="L593" s="339">
        <f t="shared" si="241"/>
        <v>10</v>
      </c>
      <c r="M593" s="339">
        <f t="shared" si="241"/>
        <v>0</v>
      </c>
      <c r="N593" s="339">
        <f t="shared" si="239"/>
        <v>0</v>
      </c>
    </row>
    <row r="594" spans="1:14" ht="56.25">
      <c r="A594" s="340" t="s">
        <v>184</v>
      </c>
      <c r="B594" s="344" t="s">
        <v>921</v>
      </c>
      <c r="C594" s="338" t="s">
        <v>169</v>
      </c>
      <c r="D594" s="338" t="s">
        <v>191</v>
      </c>
      <c r="E594" s="360">
        <v>240</v>
      </c>
      <c r="F594" s="360"/>
      <c r="G594" s="339">
        <v>0</v>
      </c>
      <c r="H594" s="339">
        <v>0</v>
      </c>
      <c r="I594" s="339" t="e">
        <f>#REF!</f>
        <v>#REF!</v>
      </c>
      <c r="J594" s="339" t="e">
        <f>#REF!</f>
        <v>#REF!</v>
      </c>
      <c r="K594" s="339" t="e">
        <f>#REF!</f>
        <v>#REF!</v>
      </c>
      <c r="L594" s="339">
        <f>'Прил.№4 ведомств.'!G587</f>
        <v>10</v>
      </c>
      <c r="M594" s="339">
        <f>'Прил.№4 ведомств.'!H587</f>
        <v>0</v>
      </c>
      <c r="N594" s="339">
        <f t="shared" si="239"/>
        <v>0</v>
      </c>
    </row>
    <row r="595" spans="1:14" ht="37.5">
      <c r="A595" s="341" t="s">
        <v>455</v>
      </c>
      <c r="B595" s="344" t="s">
        <v>386</v>
      </c>
      <c r="C595" s="338" t="s">
        <v>169</v>
      </c>
      <c r="D595" s="338" t="s">
        <v>191</v>
      </c>
      <c r="E595" s="360"/>
      <c r="F595" s="360">
        <v>906</v>
      </c>
      <c r="G595" s="339">
        <f>G581+G586+G589+G578+G592</f>
        <v>20</v>
      </c>
      <c r="H595" s="339">
        <f>H581+H586+H589+H578+H592</f>
        <v>20</v>
      </c>
      <c r="I595" s="339" t="e">
        <f>I581+I586+I589+I578+I592</f>
        <v>#REF!</v>
      </c>
      <c r="J595" s="339" t="e">
        <f>J581+J586+J589+J578+J592</f>
        <v>#REF!</v>
      </c>
      <c r="K595" s="339" t="e">
        <f>K581+K586+K589+K578+K592</f>
        <v>#REF!</v>
      </c>
      <c r="L595" s="339">
        <f>L577</f>
        <v>60</v>
      </c>
      <c r="M595" s="339">
        <f>M577</f>
        <v>11.2</v>
      </c>
      <c r="N595" s="339">
        <f t="shared" si="239"/>
        <v>18.666666666666664</v>
      </c>
    </row>
    <row r="596" spans="1:14" ht="75">
      <c r="A596" s="345" t="s">
        <v>797</v>
      </c>
      <c r="B596" s="370" t="s">
        <v>795</v>
      </c>
      <c r="C596" s="335"/>
      <c r="D596" s="335"/>
      <c r="E596" s="356"/>
      <c r="F596" s="356"/>
      <c r="G596" s="336" t="e">
        <f>G597+#REF!</f>
        <v>#REF!</v>
      </c>
      <c r="H596" s="336" t="e">
        <f>H597+#REF!</f>
        <v>#REF!</v>
      </c>
      <c r="I596" s="336" t="e">
        <f>I597+#REF!</f>
        <v>#REF!</v>
      </c>
      <c r="J596" s="336" t="e">
        <f>J597+#REF!</f>
        <v>#REF!</v>
      </c>
      <c r="K596" s="336" t="e">
        <f>K597+#REF!</f>
        <v>#REF!</v>
      </c>
      <c r="L596" s="336">
        <f>L597</f>
        <v>4725.1</v>
      </c>
      <c r="M596" s="336">
        <f>M597</f>
        <v>4574.1</v>
      </c>
      <c r="N596" s="336">
        <f t="shared" si="239"/>
        <v>96.80430043808596</v>
      </c>
    </row>
    <row r="597" spans="1:14" s="148" customFormat="1" ht="18.75">
      <c r="A597" s="337" t="s">
        <v>168</v>
      </c>
      <c r="B597" s="344" t="s">
        <v>795</v>
      </c>
      <c r="C597" s="338" t="s">
        <v>169</v>
      </c>
      <c r="D597" s="338"/>
      <c r="E597" s="360"/>
      <c r="F597" s="360"/>
      <c r="G597" s="339" t="e">
        <f>G598</f>
        <v>#REF!</v>
      </c>
      <c r="H597" s="339" t="e">
        <f>H598</f>
        <v>#REF!</v>
      </c>
      <c r="I597" s="339" t="e">
        <f>I598</f>
        <v>#REF!</v>
      </c>
      <c r="J597" s="339" t="e">
        <f>J598</f>
        <v>#REF!</v>
      </c>
      <c r="K597" s="339" t="e">
        <f>K598</f>
        <v>#REF!</v>
      </c>
      <c r="L597" s="339">
        <f>L598</f>
        <v>4725.1</v>
      </c>
      <c r="M597" s="339">
        <f>M598</f>
        <v>4574.1</v>
      </c>
      <c r="N597" s="339">
        <f t="shared" si="239"/>
        <v>96.80430043808596</v>
      </c>
    </row>
    <row r="598" spans="1:14" s="148" customFormat="1" ht="18.75">
      <c r="A598" s="337" t="s">
        <v>190</v>
      </c>
      <c r="B598" s="344" t="s">
        <v>795</v>
      </c>
      <c r="C598" s="338" t="s">
        <v>169</v>
      </c>
      <c r="D598" s="338" t="s">
        <v>191</v>
      </c>
      <c r="E598" s="360"/>
      <c r="F598" s="360"/>
      <c r="G598" s="339" t="e">
        <f>G599+#REF!</f>
        <v>#REF!</v>
      </c>
      <c r="H598" s="339" t="e">
        <f>H599+#REF!</f>
        <v>#REF!</v>
      </c>
      <c r="I598" s="339" t="e">
        <f>I599+#REF!</f>
        <v>#REF!</v>
      </c>
      <c r="J598" s="339" t="e">
        <f>J599+#REF!</f>
        <v>#REF!</v>
      </c>
      <c r="K598" s="339" t="e">
        <f>K599+#REF!</f>
        <v>#REF!</v>
      </c>
      <c r="L598" s="339">
        <f>L605+L609+L614+L618+L619+L620</f>
        <v>4725.1</v>
      </c>
      <c r="M598" s="339">
        <f>M605+M609+M614+M618+M619+M620</f>
        <v>4574.1</v>
      </c>
      <c r="N598" s="339">
        <f t="shared" si="239"/>
        <v>96.80430043808596</v>
      </c>
    </row>
    <row r="599" spans="1:14" ht="37.5">
      <c r="A599" s="350" t="s">
        <v>208</v>
      </c>
      <c r="B599" s="344" t="s">
        <v>925</v>
      </c>
      <c r="C599" s="338" t="s">
        <v>169</v>
      </c>
      <c r="D599" s="338" t="s">
        <v>191</v>
      </c>
      <c r="E599" s="360"/>
      <c r="F599" s="360"/>
      <c r="G599" s="339" t="e">
        <f>G600</f>
        <v>#REF!</v>
      </c>
      <c r="H599" s="339" t="e">
        <f aca="true" t="shared" si="242" ref="H599:M600">H600</f>
        <v>#REF!</v>
      </c>
      <c r="I599" s="339" t="e">
        <f t="shared" si="242"/>
        <v>#REF!</v>
      </c>
      <c r="J599" s="339" t="e">
        <f t="shared" si="242"/>
        <v>#REF!</v>
      </c>
      <c r="K599" s="339" t="e">
        <f t="shared" si="242"/>
        <v>#REF!</v>
      </c>
      <c r="L599" s="339">
        <f t="shared" si="242"/>
        <v>23</v>
      </c>
      <c r="M599" s="339">
        <f t="shared" si="242"/>
        <v>14.3</v>
      </c>
      <c r="N599" s="339">
        <f t="shared" si="239"/>
        <v>62.173913043478265</v>
      </c>
    </row>
    <row r="600" spans="1:14" ht="37.5">
      <c r="A600" s="340" t="s">
        <v>182</v>
      </c>
      <c r="B600" s="344" t="s">
        <v>925</v>
      </c>
      <c r="C600" s="338" t="s">
        <v>169</v>
      </c>
      <c r="D600" s="338" t="s">
        <v>191</v>
      </c>
      <c r="E600" s="360">
        <v>200</v>
      </c>
      <c r="F600" s="360"/>
      <c r="G600" s="339" t="e">
        <f>G601</f>
        <v>#REF!</v>
      </c>
      <c r="H600" s="339" t="e">
        <f t="shared" si="242"/>
        <v>#REF!</v>
      </c>
      <c r="I600" s="339" t="e">
        <f t="shared" si="242"/>
        <v>#REF!</v>
      </c>
      <c r="J600" s="339" t="e">
        <f t="shared" si="242"/>
        <v>#REF!</v>
      </c>
      <c r="K600" s="339" t="e">
        <f t="shared" si="242"/>
        <v>#REF!</v>
      </c>
      <c r="L600" s="339">
        <f t="shared" si="242"/>
        <v>23</v>
      </c>
      <c r="M600" s="339">
        <f t="shared" si="242"/>
        <v>14.3</v>
      </c>
      <c r="N600" s="339">
        <f t="shared" si="239"/>
        <v>62.173913043478265</v>
      </c>
    </row>
    <row r="601" spans="1:14" ht="56.25">
      <c r="A601" s="340" t="s">
        <v>184</v>
      </c>
      <c r="B601" s="344" t="s">
        <v>925</v>
      </c>
      <c r="C601" s="338" t="s">
        <v>169</v>
      </c>
      <c r="D601" s="338" t="s">
        <v>191</v>
      </c>
      <c r="E601" s="360">
        <v>240</v>
      </c>
      <c r="F601" s="360"/>
      <c r="G601" s="339" t="e">
        <f>#REF!</f>
        <v>#REF!</v>
      </c>
      <c r="H601" s="339" t="e">
        <f>#REF!</f>
        <v>#REF!</v>
      </c>
      <c r="I601" s="339" t="e">
        <f>#REF!</f>
        <v>#REF!</v>
      </c>
      <c r="J601" s="339" t="e">
        <f>#REF!</f>
        <v>#REF!</v>
      </c>
      <c r="K601" s="339" t="e">
        <f>#REF!</f>
        <v>#REF!</v>
      </c>
      <c r="L601" s="339">
        <f>'Прил.№4 ведомств.'!G100</f>
        <v>23</v>
      </c>
      <c r="M601" s="339">
        <f>'Прил.№4 ведомств.'!H100</f>
        <v>14.3</v>
      </c>
      <c r="N601" s="339">
        <f t="shared" si="239"/>
        <v>62.173913043478265</v>
      </c>
    </row>
    <row r="602" spans="1:14" ht="56.25">
      <c r="A602" s="371" t="s">
        <v>928</v>
      </c>
      <c r="B602" s="344" t="s">
        <v>927</v>
      </c>
      <c r="C602" s="338" t="s">
        <v>169</v>
      </c>
      <c r="D602" s="338" t="s">
        <v>191</v>
      </c>
      <c r="E602" s="360"/>
      <c r="F602" s="360"/>
      <c r="G602" s="339" t="e">
        <f>G603</f>
        <v>#REF!</v>
      </c>
      <c r="H602" s="339" t="e">
        <f aca="true" t="shared" si="243" ref="H602:M603">H603</f>
        <v>#REF!</v>
      </c>
      <c r="I602" s="339" t="e">
        <f t="shared" si="243"/>
        <v>#REF!</v>
      </c>
      <c r="J602" s="339" t="e">
        <f t="shared" si="243"/>
        <v>#REF!</v>
      </c>
      <c r="K602" s="339" t="e">
        <f t="shared" si="243"/>
        <v>#REF!</v>
      </c>
      <c r="L602" s="339">
        <f t="shared" si="243"/>
        <v>15</v>
      </c>
      <c r="M602" s="339">
        <f t="shared" si="243"/>
        <v>11</v>
      </c>
      <c r="N602" s="339">
        <f t="shared" si="239"/>
        <v>73.33333333333333</v>
      </c>
    </row>
    <row r="603" spans="1:14" ht="37.5">
      <c r="A603" s="340" t="s">
        <v>182</v>
      </c>
      <c r="B603" s="344" t="s">
        <v>927</v>
      </c>
      <c r="C603" s="338" t="s">
        <v>169</v>
      </c>
      <c r="D603" s="338" t="s">
        <v>191</v>
      </c>
      <c r="E603" s="360">
        <v>200</v>
      </c>
      <c r="F603" s="360"/>
      <c r="G603" s="339" t="e">
        <f>G604</f>
        <v>#REF!</v>
      </c>
      <c r="H603" s="339" t="e">
        <f t="shared" si="243"/>
        <v>#REF!</v>
      </c>
      <c r="I603" s="339" t="e">
        <f t="shared" si="243"/>
        <v>#REF!</v>
      </c>
      <c r="J603" s="339" t="e">
        <f t="shared" si="243"/>
        <v>#REF!</v>
      </c>
      <c r="K603" s="339" t="e">
        <f t="shared" si="243"/>
        <v>#REF!</v>
      </c>
      <c r="L603" s="339">
        <f t="shared" si="243"/>
        <v>15</v>
      </c>
      <c r="M603" s="339">
        <f t="shared" si="243"/>
        <v>11</v>
      </c>
      <c r="N603" s="339">
        <f t="shared" si="239"/>
        <v>73.33333333333333</v>
      </c>
    </row>
    <row r="604" spans="1:14" ht="56.25">
      <c r="A604" s="340" t="s">
        <v>184</v>
      </c>
      <c r="B604" s="344" t="s">
        <v>927</v>
      </c>
      <c r="C604" s="338" t="s">
        <v>169</v>
      </c>
      <c r="D604" s="338" t="s">
        <v>191</v>
      </c>
      <c r="E604" s="360">
        <v>240</v>
      </c>
      <c r="F604" s="360"/>
      <c r="G604" s="339" t="e">
        <f>#REF!</f>
        <v>#REF!</v>
      </c>
      <c r="H604" s="339" t="e">
        <f>#REF!</f>
        <v>#REF!</v>
      </c>
      <c r="I604" s="339" t="e">
        <f>#REF!</f>
        <v>#REF!</v>
      </c>
      <c r="J604" s="339" t="e">
        <f>#REF!</f>
        <v>#REF!</v>
      </c>
      <c r="K604" s="339" t="e">
        <f>#REF!</f>
        <v>#REF!</v>
      </c>
      <c r="L604" s="339">
        <f>'Прил.№4 ведомств.'!G106</f>
        <v>15</v>
      </c>
      <c r="M604" s="339">
        <f>'Прил.№4 ведомств.'!H106</f>
        <v>11</v>
      </c>
      <c r="N604" s="339">
        <f t="shared" si="239"/>
        <v>73.33333333333333</v>
      </c>
    </row>
    <row r="605" spans="1:14" ht="37.5">
      <c r="A605" s="337" t="s">
        <v>199</v>
      </c>
      <c r="B605" s="344" t="s">
        <v>795</v>
      </c>
      <c r="C605" s="338" t="s">
        <v>169</v>
      </c>
      <c r="D605" s="338" t="s">
        <v>191</v>
      </c>
      <c r="E605" s="360"/>
      <c r="F605" s="360">
        <v>902</v>
      </c>
      <c r="G605" s="339" t="e">
        <f>G597</f>
        <v>#REF!</v>
      </c>
      <c r="H605" s="339" t="e">
        <f>H597</f>
        <v>#REF!</v>
      </c>
      <c r="I605" s="339" t="e">
        <f>I597</f>
        <v>#REF!</v>
      </c>
      <c r="J605" s="339" t="e">
        <f>J597</f>
        <v>#REF!</v>
      </c>
      <c r="K605" s="339" t="e">
        <f>K597</f>
        <v>#REF!</v>
      </c>
      <c r="L605" s="339">
        <f>L599+L602</f>
        <v>38</v>
      </c>
      <c r="M605" s="339">
        <f>M599+M602</f>
        <v>25.3</v>
      </c>
      <c r="N605" s="339">
        <f t="shared" si="239"/>
        <v>66.57894736842105</v>
      </c>
    </row>
    <row r="606" spans="1:14" ht="37.5">
      <c r="A606" s="350" t="s">
        <v>208</v>
      </c>
      <c r="B606" s="344" t="s">
        <v>925</v>
      </c>
      <c r="C606" s="338" t="s">
        <v>169</v>
      </c>
      <c r="D606" s="338" t="s">
        <v>191</v>
      </c>
      <c r="E606" s="360"/>
      <c r="F606" s="360"/>
      <c r="G606" s="339"/>
      <c r="H606" s="339"/>
      <c r="I606" s="339"/>
      <c r="J606" s="339"/>
      <c r="K606" s="339"/>
      <c r="L606" s="339">
        <f>L607</f>
        <v>5</v>
      </c>
      <c r="M606" s="339">
        <f>M607</f>
        <v>0</v>
      </c>
      <c r="N606" s="339">
        <f t="shared" si="239"/>
        <v>0</v>
      </c>
    </row>
    <row r="607" spans="1:14" ht="37.5">
      <c r="A607" s="340" t="s">
        <v>182</v>
      </c>
      <c r="B607" s="344" t="s">
        <v>925</v>
      </c>
      <c r="C607" s="338" t="s">
        <v>169</v>
      </c>
      <c r="D607" s="338" t="s">
        <v>191</v>
      </c>
      <c r="E607" s="360">
        <v>200</v>
      </c>
      <c r="F607" s="360"/>
      <c r="G607" s="339"/>
      <c r="H607" s="339"/>
      <c r="I607" s="339"/>
      <c r="J607" s="339"/>
      <c r="K607" s="339"/>
      <c r="L607" s="339">
        <f>L608</f>
        <v>5</v>
      </c>
      <c r="M607" s="339">
        <f>M608</f>
        <v>0</v>
      </c>
      <c r="N607" s="339">
        <f t="shared" si="239"/>
        <v>0</v>
      </c>
    </row>
    <row r="608" spans="1:14" ht="56.25">
      <c r="A608" s="340" t="s">
        <v>184</v>
      </c>
      <c r="B608" s="344" t="s">
        <v>925</v>
      </c>
      <c r="C608" s="338" t="s">
        <v>169</v>
      </c>
      <c r="D608" s="338" t="s">
        <v>191</v>
      </c>
      <c r="E608" s="360">
        <v>240</v>
      </c>
      <c r="F608" s="360"/>
      <c r="G608" s="339"/>
      <c r="H608" s="339"/>
      <c r="I608" s="339"/>
      <c r="J608" s="339"/>
      <c r="K608" s="339"/>
      <c r="L608" s="339">
        <f>'Прил.№4 ведомств.'!G279</f>
        <v>5</v>
      </c>
      <c r="M608" s="339">
        <f>'Прил.№4 ведомств.'!H279</f>
        <v>0</v>
      </c>
      <c r="N608" s="339">
        <f t="shared" si="239"/>
        <v>0</v>
      </c>
    </row>
    <row r="609" spans="1:14" ht="56.25">
      <c r="A609" s="340" t="s">
        <v>312</v>
      </c>
      <c r="B609" s="344" t="s">
        <v>795</v>
      </c>
      <c r="C609" s="338" t="s">
        <v>169</v>
      </c>
      <c r="D609" s="338" t="s">
        <v>191</v>
      </c>
      <c r="E609" s="360"/>
      <c r="F609" s="360">
        <v>903</v>
      </c>
      <c r="G609" s="339"/>
      <c r="H609" s="339"/>
      <c r="I609" s="339"/>
      <c r="J609" s="339"/>
      <c r="K609" s="339"/>
      <c r="L609" s="339">
        <f>L606</f>
        <v>5</v>
      </c>
      <c r="M609" s="339">
        <f>M606</f>
        <v>0</v>
      </c>
      <c r="N609" s="339">
        <f t="shared" si="239"/>
        <v>0</v>
      </c>
    </row>
    <row r="610" spans="1:14" ht="37.5">
      <c r="A610" s="341" t="s">
        <v>929</v>
      </c>
      <c r="B610" s="344" t="s">
        <v>930</v>
      </c>
      <c r="C610" s="338" t="s">
        <v>169</v>
      </c>
      <c r="D610" s="338" t="s">
        <v>191</v>
      </c>
      <c r="E610" s="360"/>
      <c r="F610" s="360"/>
      <c r="G610" s="339"/>
      <c r="H610" s="339"/>
      <c r="I610" s="339"/>
      <c r="J610" s="339"/>
      <c r="K610" s="339"/>
      <c r="L610" s="339">
        <f aca="true" t="shared" si="244" ref="L610:M612">L611</f>
        <v>63.6</v>
      </c>
      <c r="M610" s="339">
        <f t="shared" si="244"/>
        <v>63.6</v>
      </c>
      <c r="N610" s="339">
        <f t="shared" si="239"/>
        <v>100</v>
      </c>
    </row>
    <row r="611" spans="1:14" ht="37.5">
      <c r="A611" s="341" t="s">
        <v>929</v>
      </c>
      <c r="B611" s="344" t="s">
        <v>930</v>
      </c>
      <c r="C611" s="338" t="s">
        <v>169</v>
      </c>
      <c r="D611" s="338" t="s">
        <v>191</v>
      </c>
      <c r="E611" s="360"/>
      <c r="F611" s="360"/>
      <c r="G611" s="339"/>
      <c r="H611" s="339"/>
      <c r="I611" s="339"/>
      <c r="J611" s="339"/>
      <c r="K611" s="339"/>
      <c r="L611" s="339">
        <f t="shared" si="244"/>
        <v>63.6</v>
      </c>
      <c r="M611" s="339">
        <f t="shared" si="244"/>
        <v>63.6</v>
      </c>
      <c r="N611" s="339">
        <f t="shared" si="239"/>
        <v>100</v>
      </c>
    </row>
    <row r="612" spans="1:14" ht="37.5">
      <c r="A612" s="340" t="s">
        <v>182</v>
      </c>
      <c r="B612" s="344" t="s">
        <v>930</v>
      </c>
      <c r="C612" s="338" t="s">
        <v>169</v>
      </c>
      <c r="D612" s="338" t="s">
        <v>191</v>
      </c>
      <c r="E612" s="360">
        <v>200</v>
      </c>
      <c r="F612" s="360"/>
      <c r="G612" s="339"/>
      <c r="H612" s="339"/>
      <c r="I612" s="339"/>
      <c r="J612" s="339"/>
      <c r="K612" s="339"/>
      <c r="L612" s="339">
        <f t="shared" si="244"/>
        <v>63.6</v>
      </c>
      <c r="M612" s="339">
        <f t="shared" si="244"/>
        <v>63.6</v>
      </c>
      <c r="N612" s="339">
        <f t="shared" si="239"/>
        <v>100</v>
      </c>
    </row>
    <row r="613" spans="1:14" ht="56.25">
      <c r="A613" s="340" t="s">
        <v>184</v>
      </c>
      <c r="B613" s="344" t="s">
        <v>930</v>
      </c>
      <c r="C613" s="338" t="s">
        <v>169</v>
      </c>
      <c r="D613" s="338" t="s">
        <v>191</v>
      </c>
      <c r="E613" s="360">
        <v>240</v>
      </c>
      <c r="F613" s="360"/>
      <c r="G613" s="339"/>
      <c r="H613" s="339"/>
      <c r="I613" s="339"/>
      <c r="J613" s="339"/>
      <c r="K613" s="339"/>
      <c r="L613" s="339">
        <f>'Прил.№4 ведомств.'!G1135</f>
        <v>63.6</v>
      </c>
      <c r="M613" s="339">
        <f>'Прил.№4 ведомств.'!H1135</f>
        <v>63.6</v>
      </c>
      <c r="N613" s="339">
        <f t="shared" si="239"/>
        <v>100</v>
      </c>
    </row>
    <row r="614" spans="1:14" ht="37.5">
      <c r="A614" s="341" t="s">
        <v>633</v>
      </c>
      <c r="B614" s="344" t="s">
        <v>795</v>
      </c>
      <c r="C614" s="338" t="s">
        <v>169</v>
      </c>
      <c r="D614" s="338" t="s">
        <v>191</v>
      </c>
      <c r="E614" s="360"/>
      <c r="F614" s="360">
        <v>913</v>
      </c>
      <c r="G614" s="339"/>
      <c r="H614" s="339"/>
      <c r="I614" s="339"/>
      <c r="J614" s="339"/>
      <c r="K614" s="339"/>
      <c r="L614" s="339">
        <f>L611</f>
        <v>63.6</v>
      </c>
      <c r="M614" s="339">
        <f>M611</f>
        <v>63.6</v>
      </c>
      <c r="N614" s="339">
        <f t="shared" si="239"/>
        <v>100</v>
      </c>
    </row>
    <row r="615" spans="1:14" ht="56.25">
      <c r="A615" s="341" t="s">
        <v>943</v>
      </c>
      <c r="B615" s="344" t="s">
        <v>944</v>
      </c>
      <c r="C615" s="338" t="s">
        <v>169</v>
      </c>
      <c r="D615" s="338" t="s">
        <v>191</v>
      </c>
      <c r="E615" s="360"/>
      <c r="F615" s="360"/>
      <c r="G615" s="339"/>
      <c r="H615" s="339"/>
      <c r="I615" s="339"/>
      <c r="J615" s="339"/>
      <c r="K615" s="339"/>
      <c r="L615" s="339">
        <f>L616</f>
        <v>4618.500000000001</v>
      </c>
      <c r="M615" s="339">
        <f>M616</f>
        <v>4485.2</v>
      </c>
      <c r="N615" s="339">
        <f t="shared" si="239"/>
        <v>97.11378153080003</v>
      </c>
    </row>
    <row r="616" spans="1:14" ht="56.25">
      <c r="A616" s="337" t="s">
        <v>323</v>
      </c>
      <c r="B616" s="344" t="s">
        <v>944</v>
      </c>
      <c r="C616" s="338" t="s">
        <v>169</v>
      </c>
      <c r="D616" s="338" t="s">
        <v>191</v>
      </c>
      <c r="E616" s="360">
        <v>600</v>
      </c>
      <c r="F616" s="360"/>
      <c r="G616" s="339"/>
      <c r="H616" s="339"/>
      <c r="I616" s="339"/>
      <c r="J616" s="339"/>
      <c r="K616" s="339"/>
      <c r="L616" s="339">
        <f>L617</f>
        <v>4618.500000000001</v>
      </c>
      <c r="M616" s="339">
        <f>M617</f>
        <v>4485.2</v>
      </c>
      <c r="N616" s="339">
        <f t="shared" si="239"/>
        <v>97.11378153080003</v>
      </c>
    </row>
    <row r="617" spans="1:14" ht="18.75">
      <c r="A617" s="349" t="s">
        <v>325</v>
      </c>
      <c r="B617" s="344" t="s">
        <v>944</v>
      </c>
      <c r="C617" s="338" t="s">
        <v>169</v>
      </c>
      <c r="D617" s="338" t="s">
        <v>191</v>
      </c>
      <c r="E617" s="360">
        <v>610</v>
      </c>
      <c r="F617" s="360"/>
      <c r="G617" s="339"/>
      <c r="H617" s="339"/>
      <c r="I617" s="339"/>
      <c r="J617" s="339"/>
      <c r="K617" s="339"/>
      <c r="L617" s="339">
        <f>L618+L619+L620</f>
        <v>4618.500000000001</v>
      </c>
      <c r="M617" s="339">
        <f>M618+M619+M620</f>
        <v>4485.2</v>
      </c>
      <c r="N617" s="339">
        <f t="shared" si="239"/>
        <v>97.11378153080003</v>
      </c>
    </row>
    <row r="618" spans="1:14" ht="56.25">
      <c r="A618" s="340" t="s">
        <v>312</v>
      </c>
      <c r="B618" s="344" t="s">
        <v>944</v>
      </c>
      <c r="C618" s="338" t="s">
        <v>169</v>
      </c>
      <c r="D618" s="338" t="s">
        <v>191</v>
      </c>
      <c r="E618" s="360"/>
      <c r="F618" s="360">
        <v>903</v>
      </c>
      <c r="G618" s="339"/>
      <c r="H618" s="339"/>
      <c r="I618" s="339"/>
      <c r="J618" s="339"/>
      <c r="K618" s="339"/>
      <c r="L618" s="339">
        <f>'Прил.№4 ведомств.'!G282</f>
        <v>2111.6000000000004</v>
      </c>
      <c r="M618" s="339">
        <f>'Прил.№4 ведомств.'!H282</f>
        <v>2103.3</v>
      </c>
      <c r="N618" s="339">
        <f t="shared" si="239"/>
        <v>99.60693313127486</v>
      </c>
    </row>
    <row r="619" spans="1:14" ht="37.5">
      <c r="A619" s="341" t="s">
        <v>455</v>
      </c>
      <c r="B619" s="344" t="s">
        <v>944</v>
      </c>
      <c r="C619" s="338" t="s">
        <v>169</v>
      </c>
      <c r="D619" s="338" t="s">
        <v>191</v>
      </c>
      <c r="E619" s="360"/>
      <c r="F619" s="360">
        <v>906</v>
      </c>
      <c r="G619" s="339"/>
      <c r="H619" s="339"/>
      <c r="I619" s="339"/>
      <c r="J619" s="339"/>
      <c r="K619" s="339"/>
      <c r="L619" s="339">
        <f>'Прил.№4 ведомств.'!G596</f>
        <v>1638.3</v>
      </c>
      <c r="M619" s="339">
        <f>'Прил.№4 ведомств.'!H596</f>
        <v>1596</v>
      </c>
      <c r="N619" s="339">
        <f t="shared" si="239"/>
        <v>97.41805530122689</v>
      </c>
    </row>
    <row r="620" spans="1:14" ht="37.5">
      <c r="A620" s="341" t="s">
        <v>532</v>
      </c>
      <c r="B620" s="344" t="s">
        <v>944</v>
      </c>
      <c r="C620" s="338" t="s">
        <v>169</v>
      </c>
      <c r="D620" s="338" t="s">
        <v>191</v>
      </c>
      <c r="E620" s="360"/>
      <c r="F620" s="360">
        <v>907</v>
      </c>
      <c r="G620" s="339"/>
      <c r="H620" s="339"/>
      <c r="I620" s="339"/>
      <c r="J620" s="339"/>
      <c r="K620" s="339"/>
      <c r="L620" s="339">
        <f>'Прил.№4 ведомств.'!G788</f>
        <v>868.6</v>
      </c>
      <c r="M620" s="339">
        <f>'Прил.№4 ведомств.'!H788</f>
        <v>785.9</v>
      </c>
      <c r="N620" s="339">
        <f t="shared" si="239"/>
        <v>90.47893161409164</v>
      </c>
    </row>
    <row r="621" spans="1:14" ht="93.75">
      <c r="A621" s="355" t="s">
        <v>999</v>
      </c>
      <c r="B621" s="370" t="s">
        <v>801</v>
      </c>
      <c r="C621" s="335"/>
      <c r="D621" s="335"/>
      <c r="E621" s="356"/>
      <c r="F621" s="356"/>
      <c r="G621" s="336" t="e">
        <f>G622</f>
        <v>#REF!</v>
      </c>
      <c r="H621" s="336" t="e">
        <f aca="true" t="shared" si="245" ref="H621:M625">H622</f>
        <v>#REF!</v>
      </c>
      <c r="I621" s="336" t="e">
        <f t="shared" si="245"/>
        <v>#REF!</v>
      </c>
      <c r="J621" s="336" t="e">
        <f t="shared" si="245"/>
        <v>#REF!</v>
      </c>
      <c r="K621" s="336" t="e">
        <f t="shared" si="245"/>
        <v>#REF!</v>
      </c>
      <c r="L621" s="336">
        <f t="shared" si="245"/>
        <v>1979.6</v>
      </c>
      <c r="M621" s="336">
        <f t="shared" si="245"/>
        <v>1979.5</v>
      </c>
      <c r="N621" s="336">
        <f t="shared" si="239"/>
        <v>99.99494847443928</v>
      </c>
    </row>
    <row r="622" spans="1:14" ht="18.75">
      <c r="A622" s="340" t="s">
        <v>442</v>
      </c>
      <c r="B622" s="344" t="s">
        <v>801</v>
      </c>
      <c r="C622" s="338" t="s">
        <v>285</v>
      </c>
      <c r="D622" s="338"/>
      <c r="E622" s="360"/>
      <c r="F622" s="360"/>
      <c r="G622" s="339" t="e">
        <f>G623</f>
        <v>#REF!</v>
      </c>
      <c r="H622" s="339" t="e">
        <f t="shared" si="245"/>
        <v>#REF!</v>
      </c>
      <c r="I622" s="339" t="e">
        <f t="shared" si="245"/>
        <v>#REF!</v>
      </c>
      <c r="J622" s="339" t="e">
        <f t="shared" si="245"/>
        <v>#REF!</v>
      </c>
      <c r="K622" s="339" t="e">
        <f t="shared" si="245"/>
        <v>#REF!</v>
      </c>
      <c r="L622" s="339">
        <f t="shared" si="245"/>
        <v>1979.6</v>
      </c>
      <c r="M622" s="339">
        <f t="shared" si="245"/>
        <v>1979.5</v>
      </c>
      <c r="N622" s="339">
        <f t="shared" si="239"/>
        <v>99.99494847443928</v>
      </c>
    </row>
    <row r="623" spans="1:14" ht="18.75">
      <c r="A623" s="340" t="s">
        <v>593</v>
      </c>
      <c r="B623" s="344" t="s">
        <v>801</v>
      </c>
      <c r="C623" s="338" t="s">
        <v>285</v>
      </c>
      <c r="D623" s="338" t="s">
        <v>266</v>
      </c>
      <c r="E623" s="360"/>
      <c r="F623" s="360"/>
      <c r="G623" s="339" t="e">
        <f>G624</f>
        <v>#REF!</v>
      </c>
      <c r="H623" s="339" t="e">
        <f t="shared" si="245"/>
        <v>#REF!</v>
      </c>
      <c r="I623" s="339" t="e">
        <f t="shared" si="245"/>
        <v>#REF!</v>
      </c>
      <c r="J623" s="339" t="e">
        <f t="shared" si="245"/>
        <v>#REF!</v>
      </c>
      <c r="K623" s="339" t="e">
        <f t="shared" si="245"/>
        <v>#REF!</v>
      </c>
      <c r="L623" s="339">
        <f t="shared" si="245"/>
        <v>1979.6</v>
      </c>
      <c r="M623" s="339">
        <f t="shared" si="245"/>
        <v>1979.5</v>
      </c>
      <c r="N623" s="339">
        <f t="shared" si="239"/>
        <v>99.99494847443928</v>
      </c>
    </row>
    <row r="624" spans="1:14" ht="57" customHeight="1">
      <c r="A624" s="372" t="s">
        <v>771</v>
      </c>
      <c r="B624" s="344" t="s">
        <v>1028</v>
      </c>
      <c r="C624" s="338" t="s">
        <v>285</v>
      </c>
      <c r="D624" s="338" t="s">
        <v>266</v>
      </c>
      <c r="E624" s="360"/>
      <c r="F624" s="360"/>
      <c r="G624" s="339" t="e">
        <f>G625</f>
        <v>#REF!</v>
      </c>
      <c r="H624" s="339" t="e">
        <f t="shared" si="245"/>
        <v>#REF!</v>
      </c>
      <c r="I624" s="339" t="e">
        <f t="shared" si="245"/>
        <v>#REF!</v>
      </c>
      <c r="J624" s="339" t="e">
        <f t="shared" si="245"/>
        <v>#REF!</v>
      </c>
      <c r="K624" s="339" t="e">
        <f t="shared" si="245"/>
        <v>#REF!</v>
      </c>
      <c r="L624" s="339">
        <f t="shared" si="245"/>
        <v>1979.6</v>
      </c>
      <c r="M624" s="339">
        <f t="shared" si="245"/>
        <v>1979.5</v>
      </c>
      <c r="N624" s="339">
        <f t="shared" si="239"/>
        <v>99.99494847443928</v>
      </c>
    </row>
    <row r="625" spans="1:14" ht="37.5">
      <c r="A625" s="340" t="s">
        <v>182</v>
      </c>
      <c r="B625" s="344" t="s">
        <v>1028</v>
      </c>
      <c r="C625" s="338" t="s">
        <v>285</v>
      </c>
      <c r="D625" s="338" t="s">
        <v>266</v>
      </c>
      <c r="E625" s="360">
        <v>200</v>
      </c>
      <c r="F625" s="360"/>
      <c r="G625" s="339" t="e">
        <f>G626</f>
        <v>#REF!</v>
      </c>
      <c r="H625" s="339" t="e">
        <f t="shared" si="245"/>
        <v>#REF!</v>
      </c>
      <c r="I625" s="339" t="e">
        <f t="shared" si="245"/>
        <v>#REF!</v>
      </c>
      <c r="J625" s="339" t="e">
        <f t="shared" si="245"/>
        <v>#REF!</v>
      </c>
      <c r="K625" s="339" t="e">
        <f t="shared" si="245"/>
        <v>#REF!</v>
      </c>
      <c r="L625" s="339">
        <f t="shared" si="245"/>
        <v>1979.6</v>
      </c>
      <c r="M625" s="339">
        <f t="shared" si="245"/>
        <v>1979.5</v>
      </c>
      <c r="N625" s="339">
        <f t="shared" si="239"/>
        <v>99.99494847443928</v>
      </c>
    </row>
    <row r="626" spans="1:14" ht="56.25">
      <c r="A626" s="340" t="s">
        <v>184</v>
      </c>
      <c r="B626" s="344" t="s">
        <v>1028</v>
      </c>
      <c r="C626" s="338" t="s">
        <v>285</v>
      </c>
      <c r="D626" s="338" t="s">
        <v>266</v>
      </c>
      <c r="E626" s="360">
        <v>240</v>
      </c>
      <c r="F626" s="360"/>
      <c r="G626" s="339" t="e">
        <f>#REF!</f>
        <v>#REF!</v>
      </c>
      <c r="H626" s="339" t="e">
        <f>#REF!</f>
        <v>#REF!</v>
      </c>
      <c r="I626" s="339" t="e">
        <f>#REF!</f>
        <v>#REF!</v>
      </c>
      <c r="J626" s="339" t="e">
        <f>#REF!</f>
        <v>#REF!</v>
      </c>
      <c r="K626" s="339" t="e">
        <f>#REF!</f>
        <v>#REF!</v>
      </c>
      <c r="L626" s="339">
        <f>'Прил.№4 ведомств.'!G1036</f>
        <v>1979.6</v>
      </c>
      <c r="M626" s="339">
        <f>'Прил.№4 ведомств.'!H1036</f>
        <v>1979.5</v>
      </c>
      <c r="N626" s="339">
        <f t="shared" si="239"/>
        <v>99.99494847443928</v>
      </c>
    </row>
    <row r="627" spans="1:14" ht="56.25">
      <c r="A627" s="341" t="s">
        <v>700</v>
      </c>
      <c r="B627" s="344" t="s">
        <v>801</v>
      </c>
      <c r="C627" s="338" t="s">
        <v>285</v>
      </c>
      <c r="D627" s="338" t="s">
        <v>266</v>
      </c>
      <c r="E627" s="360"/>
      <c r="F627" s="360">
        <v>908</v>
      </c>
      <c r="G627" s="339" t="e">
        <f aca="true" t="shared" si="246" ref="G627:M627">G621</f>
        <v>#REF!</v>
      </c>
      <c r="H627" s="339" t="e">
        <f t="shared" si="246"/>
        <v>#REF!</v>
      </c>
      <c r="I627" s="339" t="e">
        <f t="shared" si="246"/>
        <v>#REF!</v>
      </c>
      <c r="J627" s="339" t="e">
        <f t="shared" si="246"/>
        <v>#REF!</v>
      </c>
      <c r="K627" s="339" t="e">
        <f t="shared" si="246"/>
        <v>#REF!</v>
      </c>
      <c r="L627" s="339">
        <f t="shared" si="246"/>
        <v>1979.6</v>
      </c>
      <c r="M627" s="339">
        <f t="shared" si="246"/>
        <v>1979.5</v>
      </c>
      <c r="N627" s="339">
        <f t="shared" si="239"/>
        <v>99.99494847443928</v>
      </c>
    </row>
    <row r="628" spans="1:14" s="259" customFormat="1" ht="93.75">
      <c r="A628" s="334" t="s">
        <v>946</v>
      </c>
      <c r="B628" s="370" t="s">
        <v>951</v>
      </c>
      <c r="C628" s="335"/>
      <c r="D628" s="335"/>
      <c r="E628" s="356"/>
      <c r="F628" s="356"/>
      <c r="G628" s="336"/>
      <c r="H628" s="336"/>
      <c r="I628" s="336"/>
      <c r="J628" s="336"/>
      <c r="K628" s="336"/>
      <c r="L628" s="336">
        <f aca="true" t="shared" si="247" ref="L628:M632">L629</f>
        <v>67</v>
      </c>
      <c r="M628" s="336">
        <f t="shared" si="247"/>
        <v>43.7</v>
      </c>
      <c r="N628" s="336">
        <f t="shared" si="239"/>
        <v>65.22388059701493</v>
      </c>
    </row>
    <row r="629" spans="1:14" ht="18.75">
      <c r="A629" s="341" t="s">
        <v>168</v>
      </c>
      <c r="B629" s="344" t="s">
        <v>951</v>
      </c>
      <c r="C629" s="338" t="s">
        <v>169</v>
      </c>
      <c r="D629" s="338"/>
      <c r="E629" s="360"/>
      <c r="F629" s="360"/>
      <c r="G629" s="339"/>
      <c r="H629" s="339"/>
      <c r="I629" s="339"/>
      <c r="J629" s="339"/>
      <c r="K629" s="339"/>
      <c r="L629" s="339">
        <f t="shared" si="247"/>
        <v>67</v>
      </c>
      <c r="M629" s="339">
        <f t="shared" si="247"/>
        <v>43.7</v>
      </c>
      <c r="N629" s="339">
        <f t="shared" si="239"/>
        <v>65.22388059701493</v>
      </c>
    </row>
    <row r="630" spans="1:14" ht="18.75">
      <c r="A630" s="341" t="s">
        <v>190</v>
      </c>
      <c r="B630" s="344" t="s">
        <v>951</v>
      </c>
      <c r="C630" s="338" t="s">
        <v>169</v>
      </c>
      <c r="D630" s="338" t="s">
        <v>191</v>
      </c>
      <c r="E630" s="360"/>
      <c r="F630" s="360"/>
      <c r="G630" s="339"/>
      <c r="H630" s="339"/>
      <c r="I630" s="339"/>
      <c r="J630" s="339"/>
      <c r="K630" s="339"/>
      <c r="L630" s="339">
        <f t="shared" si="247"/>
        <v>67</v>
      </c>
      <c r="M630" s="339">
        <f t="shared" si="247"/>
        <v>43.7</v>
      </c>
      <c r="N630" s="339">
        <f t="shared" si="239"/>
        <v>65.22388059701493</v>
      </c>
    </row>
    <row r="631" spans="1:14" ht="37.5">
      <c r="A631" s="341" t="s">
        <v>800</v>
      </c>
      <c r="B631" s="344" t="s">
        <v>947</v>
      </c>
      <c r="C631" s="338" t="s">
        <v>169</v>
      </c>
      <c r="D631" s="338" t="s">
        <v>191</v>
      </c>
      <c r="E631" s="360"/>
      <c r="F631" s="360"/>
      <c r="G631" s="339"/>
      <c r="H631" s="339"/>
      <c r="I631" s="339"/>
      <c r="J631" s="339"/>
      <c r="K631" s="339"/>
      <c r="L631" s="339">
        <f t="shared" si="247"/>
        <v>67</v>
      </c>
      <c r="M631" s="339">
        <f t="shared" si="247"/>
        <v>43.7</v>
      </c>
      <c r="N631" s="339">
        <f t="shared" si="239"/>
        <v>65.22388059701493</v>
      </c>
    </row>
    <row r="632" spans="1:14" ht="37.5">
      <c r="A632" s="341" t="s">
        <v>182</v>
      </c>
      <c r="B632" s="344" t="s">
        <v>947</v>
      </c>
      <c r="C632" s="338" t="s">
        <v>169</v>
      </c>
      <c r="D632" s="338" t="s">
        <v>191</v>
      </c>
      <c r="E632" s="360">
        <v>200</v>
      </c>
      <c r="F632" s="360"/>
      <c r="G632" s="339"/>
      <c r="H632" s="339"/>
      <c r="I632" s="339"/>
      <c r="J632" s="339"/>
      <c r="K632" s="339"/>
      <c r="L632" s="339">
        <f t="shared" si="247"/>
        <v>67</v>
      </c>
      <c r="M632" s="339">
        <f t="shared" si="247"/>
        <v>43.7</v>
      </c>
      <c r="N632" s="339">
        <f t="shared" si="239"/>
        <v>65.22388059701493</v>
      </c>
    </row>
    <row r="633" spans="1:14" ht="56.25">
      <c r="A633" s="341" t="s">
        <v>184</v>
      </c>
      <c r="B633" s="344" t="s">
        <v>947</v>
      </c>
      <c r="C633" s="338" t="s">
        <v>169</v>
      </c>
      <c r="D633" s="338" t="s">
        <v>191</v>
      </c>
      <c r="E633" s="360">
        <v>240</v>
      </c>
      <c r="F633" s="360"/>
      <c r="G633" s="339"/>
      <c r="H633" s="339"/>
      <c r="I633" s="339"/>
      <c r="J633" s="339"/>
      <c r="K633" s="339"/>
      <c r="L633" s="339">
        <f>'Прил.№4 ведомств.'!G544</f>
        <v>67</v>
      </c>
      <c r="M633" s="339">
        <f>'Прил.№4 ведомств.'!H544</f>
        <v>43.7</v>
      </c>
      <c r="N633" s="339">
        <f t="shared" si="239"/>
        <v>65.22388059701493</v>
      </c>
    </row>
    <row r="634" spans="1:14" ht="56.25">
      <c r="A634" s="341" t="s">
        <v>439</v>
      </c>
      <c r="B634" s="344" t="s">
        <v>951</v>
      </c>
      <c r="C634" s="338" t="s">
        <v>169</v>
      </c>
      <c r="D634" s="338" t="s">
        <v>191</v>
      </c>
      <c r="E634" s="360"/>
      <c r="F634" s="360">
        <v>905</v>
      </c>
      <c r="G634" s="339"/>
      <c r="H634" s="339"/>
      <c r="I634" s="339"/>
      <c r="J634" s="339"/>
      <c r="K634" s="339"/>
      <c r="L634" s="339">
        <f>L628</f>
        <v>67</v>
      </c>
      <c r="M634" s="339">
        <f>M628</f>
        <v>43.7</v>
      </c>
      <c r="N634" s="339">
        <f t="shared" si="239"/>
        <v>65.22388059701493</v>
      </c>
    </row>
    <row r="635" spans="1:14" ht="18.75">
      <c r="A635" s="363" t="s">
        <v>734</v>
      </c>
      <c r="B635" s="363"/>
      <c r="C635" s="363"/>
      <c r="D635" s="373"/>
      <c r="E635" s="373"/>
      <c r="F635" s="363"/>
      <c r="G635" s="374" t="e">
        <f>G10+G19+G105+G237+G250+G269+G276+G300+G362+G460+G467+G504+G520+G553+G596+G621</f>
        <v>#REF!</v>
      </c>
      <c r="H635" s="374" t="e">
        <f>H10+H19+H105+H237+H250+H269+H276+H300+H362+H460+H467+H504+H520+H553+H596+H621</f>
        <v>#REF!</v>
      </c>
      <c r="I635" s="374" t="e">
        <f>I10+I19+I105+I237+I250+I269+I276+I300+I362+I460+I467+I504+I520+I553+I596+I621</f>
        <v>#REF!</v>
      </c>
      <c r="J635" s="374" t="e">
        <f>J10+J19+J105+J237+J250+J269+J276+J300+J362+J460+J467+J504+J520+J553+J596+J621</f>
        <v>#REF!</v>
      </c>
      <c r="K635" s="374" t="e">
        <f>K10+K19+K105+K237+K250+K269+K276+K300+K362+K460+K467+K504+K520+K553+K596+K621</f>
        <v>#REF!</v>
      </c>
      <c r="L635" s="374">
        <f>L10+L19+L105+L237+L250+L269+L276+L300+L362+L460+L467+L504+L520+L553+L596+L621+L628</f>
        <v>241760.4</v>
      </c>
      <c r="M635" s="374">
        <f>M10+M19+M105+M237+M250+M269+M276+M300+M362+M460+M467+M504+M520+M553+M596+M621+M628</f>
        <v>236299.2</v>
      </c>
      <c r="N635" s="336">
        <f t="shared" si="239"/>
        <v>97.74106925699991</v>
      </c>
    </row>
  </sheetData>
  <mergeCells count="1">
    <mergeCell ref="A5:N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1" customWidth="1"/>
  </cols>
  <sheetData>
    <row r="1" spans="4:6" ht="15.75">
      <c r="D1" s="1"/>
      <c r="F1" s="59" t="s">
        <v>693</v>
      </c>
    </row>
    <row r="2" spans="4:6" ht="15.75">
      <c r="D2" s="1"/>
      <c r="F2" s="59" t="s">
        <v>644</v>
      </c>
    </row>
    <row r="3" spans="4:6" ht="15.75">
      <c r="D3" s="1"/>
      <c r="F3" s="59" t="s">
        <v>828</v>
      </c>
    </row>
    <row r="4" spans="4:7" ht="15.75">
      <c r="D4" s="1"/>
      <c r="E4" s="1"/>
      <c r="F4" s="73"/>
      <c r="G4" s="74"/>
    </row>
    <row r="5" spans="1:7" ht="38.25" customHeight="1">
      <c r="A5" s="407" t="s">
        <v>804</v>
      </c>
      <c r="B5" s="407"/>
      <c r="C5" s="407"/>
      <c r="D5" s="407"/>
      <c r="E5" s="407"/>
      <c r="F5" s="407"/>
      <c r="G5" s="407"/>
    </row>
    <row r="6" spans="1:7" ht="16.5">
      <c r="A6" s="205"/>
      <c r="B6" s="205"/>
      <c r="C6" s="205"/>
      <c r="D6" s="205"/>
      <c r="E6" s="205"/>
      <c r="F6" s="205"/>
      <c r="G6" s="205"/>
    </row>
    <row r="7" spans="1:7" ht="15.75">
      <c r="A7" s="73"/>
      <c r="B7" s="73"/>
      <c r="C7" s="73"/>
      <c r="D7" s="73"/>
      <c r="E7" s="76"/>
      <c r="F7" s="76"/>
      <c r="G7" s="77" t="s">
        <v>2</v>
      </c>
    </row>
    <row r="8" spans="1:7" ht="31.5">
      <c r="A8" s="78" t="s">
        <v>645</v>
      </c>
      <c r="B8" s="78" t="s">
        <v>694</v>
      </c>
      <c r="C8" s="78" t="s">
        <v>695</v>
      </c>
      <c r="D8" s="78" t="s">
        <v>696</v>
      </c>
      <c r="E8" s="78" t="s">
        <v>697</v>
      </c>
      <c r="F8" s="78" t="s">
        <v>698</v>
      </c>
      <c r="G8" s="6" t="s">
        <v>5</v>
      </c>
    </row>
    <row r="9" spans="1:7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7" ht="78.75">
      <c r="A10" s="64" t="s">
        <v>699</v>
      </c>
      <c r="B10" s="8" t="s">
        <v>562</v>
      </c>
      <c r="C10" s="8"/>
      <c r="D10" s="8"/>
      <c r="E10" s="8"/>
      <c r="F10" s="8"/>
      <c r="G10" s="4" t="e">
        <f>G13</f>
        <v>#REF!</v>
      </c>
    </row>
    <row r="11" spans="1:7" ht="15.75">
      <c r="A11" s="31" t="s">
        <v>283</v>
      </c>
      <c r="B11" s="42" t="s">
        <v>562</v>
      </c>
      <c r="C11" s="42" t="s">
        <v>201</v>
      </c>
      <c r="D11" s="42"/>
      <c r="E11" s="42"/>
      <c r="F11" s="42"/>
      <c r="G11" s="7" t="e">
        <f>G12</f>
        <v>#REF!</v>
      </c>
    </row>
    <row r="12" spans="1:7" ht="31.5">
      <c r="A12" s="31" t="s">
        <v>560</v>
      </c>
      <c r="B12" s="42" t="s">
        <v>562</v>
      </c>
      <c r="C12" s="42" t="s">
        <v>201</v>
      </c>
      <c r="D12" s="42" t="s">
        <v>270</v>
      </c>
      <c r="E12" s="42"/>
      <c r="F12" s="42"/>
      <c r="G12" s="7" t="e">
        <f>G13</f>
        <v>#REF!</v>
      </c>
    </row>
    <row r="13" spans="1:7" ht="15.75">
      <c r="A13" s="31" t="s">
        <v>563</v>
      </c>
      <c r="B13" s="42" t="s">
        <v>564</v>
      </c>
      <c r="C13" s="42" t="s">
        <v>201</v>
      </c>
      <c r="D13" s="42" t="s">
        <v>270</v>
      </c>
      <c r="E13" s="42"/>
      <c r="F13" s="42"/>
      <c r="G13" s="7" t="e">
        <f>G14+G16</f>
        <v>#REF!</v>
      </c>
    </row>
    <row r="14" spans="1:7" ht="47.25">
      <c r="A14" s="31" t="s">
        <v>182</v>
      </c>
      <c r="B14" s="42" t="s">
        <v>564</v>
      </c>
      <c r="C14" s="42" t="s">
        <v>201</v>
      </c>
      <c r="D14" s="42" t="s">
        <v>270</v>
      </c>
      <c r="E14" s="42" t="s">
        <v>183</v>
      </c>
      <c r="F14" s="42"/>
      <c r="G14" s="7" t="e">
        <f>G15</f>
        <v>#REF!</v>
      </c>
    </row>
    <row r="15" spans="1:8" ht="47.25">
      <c r="A15" s="31" t="s">
        <v>184</v>
      </c>
      <c r="B15" s="42" t="s">
        <v>564</v>
      </c>
      <c r="C15" s="42" t="s">
        <v>201</v>
      </c>
      <c r="D15" s="42" t="s">
        <v>270</v>
      </c>
      <c r="E15" s="42" t="s">
        <v>185</v>
      </c>
      <c r="F15" s="42"/>
      <c r="G15" s="7" t="e">
        <f>#REF!</f>
        <v>#REF!</v>
      </c>
      <c r="H15" s="137"/>
    </row>
    <row r="16" spans="1:7" ht="15.75">
      <c r="A16" s="26" t="s">
        <v>186</v>
      </c>
      <c r="B16" s="42" t="s">
        <v>564</v>
      </c>
      <c r="C16" s="42" t="s">
        <v>201</v>
      </c>
      <c r="D16" s="42" t="s">
        <v>270</v>
      </c>
      <c r="E16" s="42" t="s">
        <v>196</v>
      </c>
      <c r="F16" s="42"/>
      <c r="G16" s="7" t="e">
        <f>G17</f>
        <v>#REF!</v>
      </c>
    </row>
    <row r="17" spans="1:8" ht="31.5">
      <c r="A17" s="26" t="s">
        <v>188</v>
      </c>
      <c r="B17" s="42" t="s">
        <v>564</v>
      </c>
      <c r="C17" s="42" t="s">
        <v>201</v>
      </c>
      <c r="D17" s="42" t="s">
        <v>270</v>
      </c>
      <c r="E17" s="42" t="s">
        <v>189</v>
      </c>
      <c r="F17" s="42"/>
      <c r="G17" s="7" t="e">
        <f>#REF!</f>
        <v>#REF!</v>
      </c>
      <c r="H17" s="137"/>
    </row>
    <row r="18" spans="1:7" ht="47.25">
      <c r="A18" s="47" t="s">
        <v>700</v>
      </c>
      <c r="B18" s="42" t="s">
        <v>562</v>
      </c>
      <c r="C18" s="42" t="s">
        <v>201</v>
      </c>
      <c r="D18" s="42" t="s">
        <v>270</v>
      </c>
      <c r="E18" s="42"/>
      <c r="F18" s="42" t="s">
        <v>701</v>
      </c>
      <c r="G18" s="7" t="e">
        <f>G13</f>
        <v>#REF!</v>
      </c>
    </row>
    <row r="19" spans="1:7" ht="78.75">
      <c r="A19" s="64" t="s">
        <v>394</v>
      </c>
      <c r="B19" s="8" t="s">
        <v>395</v>
      </c>
      <c r="C19" s="8"/>
      <c r="D19" s="8"/>
      <c r="E19" s="8"/>
      <c r="F19" s="8"/>
      <c r="G19" s="68" t="e">
        <f>G20+G32+G39+G46+G55+G62+G69+G95</f>
        <v>#REF!</v>
      </c>
    </row>
    <row r="20" spans="1:7" ht="47.25">
      <c r="A20" s="64" t="s">
        <v>702</v>
      </c>
      <c r="B20" s="8" t="s">
        <v>397</v>
      </c>
      <c r="C20" s="8"/>
      <c r="D20" s="8"/>
      <c r="E20" s="8"/>
      <c r="F20" s="8"/>
      <c r="G20" s="68" t="e">
        <f>G21</f>
        <v>#REF!</v>
      </c>
    </row>
    <row r="21" spans="1:7" ht="15.75">
      <c r="A21" s="47" t="s">
        <v>294</v>
      </c>
      <c r="B21" s="42" t="s">
        <v>397</v>
      </c>
      <c r="C21" s="42" t="s">
        <v>295</v>
      </c>
      <c r="D21" s="42"/>
      <c r="E21" s="42"/>
      <c r="F21" s="42"/>
      <c r="G21" s="11" t="e">
        <f>G22</f>
        <v>#REF!</v>
      </c>
    </row>
    <row r="22" spans="1:7" ht="15.75">
      <c r="A22" s="47" t="s">
        <v>303</v>
      </c>
      <c r="B22" s="42" t="s">
        <v>397</v>
      </c>
      <c r="C22" s="42" t="s">
        <v>295</v>
      </c>
      <c r="D22" s="42" t="s">
        <v>266</v>
      </c>
      <c r="E22" s="42"/>
      <c r="F22" s="42"/>
      <c r="G22" s="11" t="e">
        <f>G23+G28</f>
        <v>#REF!</v>
      </c>
    </row>
    <row r="23" spans="1:7" ht="47.25">
      <c r="A23" s="31" t="s">
        <v>208</v>
      </c>
      <c r="B23" s="42" t="s">
        <v>703</v>
      </c>
      <c r="C23" s="42" t="s">
        <v>295</v>
      </c>
      <c r="D23" s="42" t="s">
        <v>266</v>
      </c>
      <c r="E23" s="42"/>
      <c r="F23" s="42"/>
      <c r="G23" s="11" t="e">
        <f>G26</f>
        <v>#REF!</v>
      </c>
    </row>
    <row r="24" spans="1:7" ht="110.25" hidden="1">
      <c r="A24" s="26" t="s">
        <v>178</v>
      </c>
      <c r="B24" s="42" t="s">
        <v>703</v>
      </c>
      <c r="C24" s="42" t="s">
        <v>295</v>
      </c>
      <c r="D24" s="42" t="s">
        <v>266</v>
      </c>
      <c r="E24" s="42" t="s">
        <v>179</v>
      </c>
      <c r="F24" s="42"/>
      <c r="G24" s="11">
        <f>G25</f>
        <v>0</v>
      </c>
    </row>
    <row r="25" spans="1:7" ht="47.25" hidden="1">
      <c r="A25" s="26" t="s">
        <v>180</v>
      </c>
      <c r="B25" s="42" t="s">
        <v>703</v>
      </c>
      <c r="C25" s="42" t="s">
        <v>295</v>
      </c>
      <c r="D25" s="42" t="s">
        <v>266</v>
      </c>
      <c r="E25" s="42" t="s">
        <v>181</v>
      </c>
      <c r="F25" s="42"/>
      <c r="G25" s="11"/>
    </row>
    <row r="26" spans="1:7" ht="47.25">
      <c r="A26" s="31" t="s">
        <v>182</v>
      </c>
      <c r="B26" s="42" t="s">
        <v>703</v>
      </c>
      <c r="C26" s="42" t="s">
        <v>295</v>
      </c>
      <c r="D26" s="42" t="s">
        <v>266</v>
      </c>
      <c r="E26" s="42" t="s">
        <v>183</v>
      </c>
      <c r="F26" s="42"/>
      <c r="G26" s="11" t="e">
        <f>G27</f>
        <v>#REF!</v>
      </c>
    </row>
    <row r="27" spans="1:7" ht="47.25">
      <c r="A27" s="31" t="s">
        <v>184</v>
      </c>
      <c r="B27" s="42" t="s">
        <v>703</v>
      </c>
      <c r="C27" s="42" t="s">
        <v>295</v>
      </c>
      <c r="D27" s="42" t="s">
        <v>266</v>
      </c>
      <c r="E27" s="42" t="s">
        <v>185</v>
      </c>
      <c r="F27" s="42"/>
      <c r="G27" s="7" t="e">
        <f>#REF!</f>
        <v>#REF!</v>
      </c>
    </row>
    <row r="28" spans="1:7" ht="47.25">
      <c r="A28" s="26" t="s">
        <v>401</v>
      </c>
      <c r="B28" s="21" t="s">
        <v>402</v>
      </c>
      <c r="C28" s="42" t="s">
        <v>295</v>
      </c>
      <c r="D28" s="42" t="s">
        <v>266</v>
      </c>
      <c r="E28" s="42"/>
      <c r="F28" s="42"/>
      <c r="G28" s="11" t="e">
        <f>G29</f>
        <v>#REF!</v>
      </c>
    </row>
    <row r="29" spans="1:7" ht="63">
      <c r="A29" s="26" t="s">
        <v>323</v>
      </c>
      <c r="B29" s="21" t="s">
        <v>402</v>
      </c>
      <c r="C29" s="42" t="s">
        <v>295</v>
      </c>
      <c r="D29" s="42" t="s">
        <v>266</v>
      </c>
      <c r="E29" s="42" t="s">
        <v>324</v>
      </c>
      <c r="F29" s="42"/>
      <c r="G29" s="11" t="e">
        <f>G30</f>
        <v>#REF!</v>
      </c>
    </row>
    <row r="30" spans="1:8" ht="15.75">
      <c r="A30" s="26" t="s">
        <v>325</v>
      </c>
      <c r="B30" s="21" t="s">
        <v>402</v>
      </c>
      <c r="C30" s="42" t="s">
        <v>295</v>
      </c>
      <c r="D30" s="42" t="s">
        <v>266</v>
      </c>
      <c r="E30" s="42" t="s">
        <v>326</v>
      </c>
      <c r="F30" s="42"/>
      <c r="G30" s="11" t="e">
        <f>#REF!</f>
        <v>#REF!</v>
      </c>
      <c r="H30" s="137"/>
    </row>
    <row r="31" spans="1:7" ht="63">
      <c r="A31" s="47" t="s">
        <v>312</v>
      </c>
      <c r="B31" s="21" t="s">
        <v>397</v>
      </c>
      <c r="C31" s="42" t="s">
        <v>295</v>
      </c>
      <c r="D31" s="42" t="s">
        <v>266</v>
      </c>
      <c r="E31" s="42"/>
      <c r="F31" s="42" t="s">
        <v>704</v>
      </c>
      <c r="G31" s="7" t="e">
        <f>G20</f>
        <v>#REF!</v>
      </c>
    </row>
    <row r="32" spans="1:7" ht="47.25">
      <c r="A32" s="64" t="s">
        <v>705</v>
      </c>
      <c r="B32" s="8" t="s">
        <v>404</v>
      </c>
      <c r="C32" s="8"/>
      <c r="D32" s="8"/>
      <c r="E32" s="8"/>
      <c r="F32" s="8"/>
      <c r="G32" s="68" t="e">
        <f>G33</f>
        <v>#REF!</v>
      </c>
    </row>
    <row r="33" spans="1:7" ht="15.75">
      <c r="A33" s="47" t="s">
        <v>294</v>
      </c>
      <c r="B33" s="42" t="s">
        <v>404</v>
      </c>
      <c r="C33" s="42" t="s">
        <v>295</v>
      </c>
      <c r="D33" s="42"/>
      <c r="E33" s="42"/>
      <c r="F33" s="42"/>
      <c r="G33" s="11" t="e">
        <f>G34</f>
        <v>#REF!</v>
      </c>
    </row>
    <row r="34" spans="1:7" ht="15.75">
      <c r="A34" s="47" t="s">
        <v>303</v>
      </c>
      <c r="B34" s="42" t="s">
        <v>404</v>
      </c>
      <c r="C34" s="42" t="s">
        <v>295</v>
      </c>
      <c r="D34" s="42" t="s">
        <v>266</v>
      </c>
      <c r="E34" s="42"/>
      <c r="F34" s="42"/>
      <c r="G34" s="11" t="e">
        <f>G35</f>
        <v>#REF!</v>
      </c>
    </row>
    <row r="35" spans="1:7" ht="31.5">
      <c r="A35" s="26" t="s">
        <v>686</v>
      </c>
      <c r="B35" s="21" t="s">
        <v>687</v>
      </c>
      <c r="C35" s="42" t="s">
        <v>295</v>
      </c>
      <c r="D35" s="42" t="s">
        <v>266</v>
      </c>
      <c r="E35" s="42"/>
      <c r="F35" s="42"/>
      <c r="G35" s="11" t="e">
        <f>G36</f>
        <v>#REF!</v>
      </c>
    </row>
    <row r="36" spans="1:7" ht="31.5">
      <c r="A36" s="31" t="s">
        <v>299</v>
      </c>
      <c r="B36" s="21" t="s">
        <v>687</v>
      </c>
      <c r="C36" s="42" t="s">
        <v>295</v>
      </c>
      <c r="D36" s="42" t="s">
        <v>266</v>
      </c>
      <c r="E36" s="42" t="s">
        <v>300</v>
      </c>
      <c r="F36" s="42"/>
      <c r="G36" s="11" t="e">
        <f>G37</f>
        <v>#REF!</v>
      </c>
    </row>
    <row r="37" spans="1:7" ht="47.25">
      <c r="A37" s="31" t="s">
        <v>301</v>
      </c>
      <c r="B37" s="21" t="s">
        <v>687</v>
      </c>
      <c r="C37" s="42" t="s">
        <v>295</v>
      </c>
      <c r="D37" s="42" t="s">
        <v>266</v>
      </c>
      <c r="E37" s="42" t="s">
        <v>302</v>
      </c>
      <c r="F37" s="42"/>
      <c r="G37" s="11" t="e">
        <f>#REF!</f>
        <v>#REF!</v>
      </c>
    </row>
    <row r="38" spans="1:7" ht="63">
      <c r="A38" s="47" t="s">
        <v>312</v>
      </c>
      <c r="B38" s="21" t="s">
        <v>404</v>
      </c>
      <c r="C38" s="42" t="s">
        <v>295</v>
      </c>
      <c r="D38" s="42" t="s">
        <v>266</v>
      </c>
      <c r="E38" s="42"/>
      <c r="F38" s="42" t="s">
        <v>704</v>
      </c>
      <c r="G38" s="11" t="e">
        <f>G32</f>
        <v>#REF!</v>
      </c>
    </row>
    <row r="39" spans="1:7" ht="47.25">
      <c r="A39" s="64" t="s">
        <v>706</v>
      </c>
      <c r="B39" s="8" t="s">
        <v>407</v>
      </c>
      <c r="C39" s="8"/>
      <c r="D39" s="8"/>
      <c r="E39" s="8"/>
      <c r="F39" s="8"/>
      <c r="G39" s="68" t="e">
        <f>G40</f>
        <v>#REF!</v>
      </c>
    </row>
    <row r="40" spans="1:7" ht="15.75">
      <c r="A40" s="47" t="s">
        <v>294</v>
      </c>
      <c r="B40" s="42" t="s">
        <v>407</v>
      </c>
      <c r="C40" s="42" t="s">
        <v>295</v>
      </c>
      <c r="D40" s="42"/>
      <c r="E40" s="42"/>
      <c r="F40" s="42"/>
      <c r="G40" s="11" t="e">
        <f>G41</f>
        <v>#REF!</v>
      </c>
    </row>
    <row r="41" spans="1:7" ht="15.75">
      <c r="A41" s="47" t="s">
        <v>303</v>
      </c>
      <c r="B41" s="42" t="s">
        <v>407</v>
      </c>
      <c r="C41" s="42" t="s">
        <v>295</v>
      </c>
      <c r="D41" s="42" t="s">
        <v>266</v>
      </c>
      <c r="E41" s="42"/>
      <c r="F41" s="42"/>
      <c r="G41" s="11" t="e">
        <f>G42</f>
        <v>#REF!</v>
      </c>
    </row>
    <row r="42" spans="1:7" ht="47.25">
      <c r="A42" s="31" t="s">
        <v>208</v>
      </c>
      <c r="B42" s="42" t="s">
        <v>707</v>
      </c>
      <c r="C42" s="42" t="s">
        <v>295</v>
      </c>
      <c r="D42" s="42" t="s">
        <v>266</v>
      </c>
      <c r="E42" s="42"/>
      <c r="F42" s="42"/>
      <c r="G42" s="11" t="e">
        <f>G43</f>
        <v>#REF!</v>
      </c>
    </row>
    <row r="43" spans="1:7" ht="31.5">
      <c r="A43" s="31" t="s">
        <v>299</v>
      </c>
      <c r="B43" s="42" t="s">
        <v>707</v>
      </c>
      <c r="C43" s="42" t="s">
        <v>295</v>
      </c>
      <c r="D43" s="42" t="s">
        <v>266</v>
      </c>
      <c r="E43" s="42" t="s">
        <v>300</v>
      </c>
      <c r="F43" s="42"/>
      <c r="G43" s="11" t="e">
        <f>G44</f>
        <v>#REF!</v>
      </c>
    </row>
    <row r="44" spans="1:7" ht="31.5">
      <c r="A44" s="31" t="s">
        <v>399</v>
      </c>
      <c r="B44" s="42" t="s">
        <v>707</v>
      </c>
      <c r="C44" s="42" t="s">
        <v>295</v>
      </c>
      <c r="D44" s="42" t="s">
        <v>266</v>
      </c>
      <c r="E44" s="42" t="s">
        <v>400</v>
      </c>
      <c r="F44" s="42"/>
      <c r="G44" s="11" t="e">
        <f>#REF!</f>
        <v>#REF!</v>
      </c>
    </row>
    <row r="45" spans="1:7" ht="63">
      <c r="A45" s="47" t="s">
        <v>312</v>
      </c>
      <c r="B45" s="42" t="s">
        <v>407</v>
      </c>
      <c r="C45" s="42" t="s">
        <v>295</v>
      </c>
      <c r="D45" s="42" t="s">
        <v>266</v>
      </c>
      <c r="E45" s="42"/>
      <c r="F45" s="42" t="s">
        <v>704</v>
      </c>
      <c r="G45" s="11" t="e">
        <f>G39</f>
        <v>#REF!</v>
      </c>
    </row>
    <row r="46" spans="1:7" ht="31.5">
      <c r="A46" s="64" t="s">
        <v>708</v>
      </c>
      <c r="B46" s="8" t="s">
        <v>410</v>
      </c>
      <c r="C46" s="8"/>
      <c r="D46" s="8"/>
      <c r="E46" s="8"/>
      <c r="F46" s="8"/>
      <c r="G46" s="68" t="e">
        <f>G47</f>
        <v>#REF!</v>
      </c>
    </row>
    <row r="47" spans="1:7" ht="15.75">
      <c r="A47" s="47" t="s">
        <v>294</v>
      </c>
      <c r="B47" s="42" t="s">
        <v>410</v>
      </c>
      <c r="C47" s="42" t="s">
        <v>295</v>
      </c>
      <c r="D47" s="42"/>
      <c r="E47" s="42"/>
      <c r="F47" s="42"/>
      <c r="G47" s="11" t="e">
        <f>G48</f>
        <v>#REF!</v>
      </c>
    </row>
    <row r="48" spans="1:7" ht="15.75">
      <c r="A48" s="47" t="s">
        <v>303</v>
      </c>
      <c r="B48" s="42" t="s">
        <v>410</v>
      </c>
      <c r="C48" s="42" t="s">
        <v>295</v>
      </c>
      <c r="D48" s="42" t="s">
        <v>266</v>
      </c>
      <c r="E48" s="42"/>
      <c r="F48" s="42"/>
      <c r="G48" s="11" t="e">
        <f>G49</f>
        <v>#REF!</v>
      </c>
    </row>
    <row r="49" spans="1:7" ht="47.25">
      <c r="A49" s="31" t="s">
        <v>208</v>
      </c>
      <c r="B49" s="42" t="s">
        <v>709</v>
      </c>
      <c r="C49" s="42" t="s">
        <v>295</v>
      </c>
      <c r="D49" s="42" t="s">
        <v>266</v>
      </c>
      <c r="E49" s="42"/>
      <c r="F49" s="42"/>
      <c r="G49" s="11" t="e">
        <f>G50+G52</f>
        <v>#REF!</v>
      </c>
    </row>
    <row r="50" spans="1:7" ht="47.25">
      <c r="A50" s="31" t="s">
        <v>182</v>
      </c>
      <c r="B50" s="42" t="s">
        <v>709</v>
      </c>
      <c r="C50" s="42" t="s">
        <v>295</v>
      </c>
      <c r="D50" s="42" t="s">
        <v>266</v>
      </c>
      <c r="E50" s="42" t="s">
        <v>183</v>
      </c>
      <c r="F50" s="42"/>
      <c r="G50" s="11" t="e">
        <f>G51</f>
        <v>#REF!</v>
      </c>
    </row>
    <row r="51" spans="1:7" ht="47.25">
      <c r="A51" s="31" t="s">
        <v>184</v>
      </c>
      <c r="B51" s="42" t="s">
        <v>709</v>
      </c>
      <c r="C51" s="42" t="s">
        <v>295</v>
      </c>
      <c r="D51" s="42" t="s">
        <v>266</v>
      </c>
      <c r="E51" s="42" t="s">
        <v>185</v>
      </c>
      <c r="F51" s="42"/>
      <c r="G51" s="11" t="e">
        <f>#REF!</f>
        <v>#REF!</v>
      </c>
    </row>
    <row r="52" spans="1:7" ht="31.5">
      <c r="A52" s="31" t="s">
        <v>299</v>
      </c>
      <c r="B52" s="42" t="s">
        <v>709</v>
      </c>
      <c r="C52" s="42" t="s">
        <v>295</v>
      </c>
      <c r="D52" s="42" t="s">
        <v>266</v>
      </c>
      <c r="E52" s="42" t="s">
        <v>300</v>
      </c>
      <c r="F52" s="42"/>
      <c r="G52" s="11" t="e">
        <f>G53</f>
        <v>#REF!</v>
      </c>
    </row>
    <row r="53" spans="1:7" ht="31.5">
      <c r="A53" s="31" t="s">
        <v>399</v>
      </c>
      <c r="B53" s="42" t="s">
        <v>709</v>
      </c>
      <c r="C53" s="42" t="s">
        <v>295</v>
      </c>
      <c r="D53" s="42" t="s">
        <v>266</v>
      </c>
      <c r="E53" s="42" t="s">
        <v>400</v>
      </c>
      <c r="F53" s="42"/>
      <c r="G53" s="11" t="e">
        <f>#REF!</f>
        <v>#REF!</v>
      </c>
    </row>
    <row r="54" spans="1:7" ht="63">
      <c r="A54" s="47" t="s">
        <v>312</v>
      </c>
      <c r="B54" s="42" t="s">
        <v>410</v>
      </c>
      <c r="C54" s="42" t="s">
        <v>295</v>
      </c>
      <c r="D54" s="42" t="s">
        <v>266</v>
      </c>
      <c r="E54" s="42"/>
      <c r="F54" s="42" t="s">
        <v>704</v>
      </c>
      <c r="G54" s="11" t="e">
        <f>G46</f>
        <v>#REF!</v>
      </c>
    </row>
    <row r="55" spans="1:7" ht="47.25">
      <c r="A55" s="64" t="s">
        <v>710</v>
      </c>
      <c r="B55" s="8" t="s">
        <v>413</v>
      </c>
      <c r="C55" s="8"/>
      <c r="D55" s="8"/>
      <c r="E55" s="8"/>
      <c r="F55" s="8"/>
      <c r="G55" s="68" t="e">
        <f>G56</f>
        <v>#REF!</v>
      </c>
    </row>
    <row r="56" spans="1:7" ht="15.75">
      <c r="A56" s="47" t="s">
        <v>294</v>
      </c>
      <c r="B56" s="42" t="s">
        <v>413</v>
      </c>
      <c r="C56" s="42" t="s">
        <v>295</v>
      </c>
      <c r="D56" s="42"/>
      <c r="E56" s="42"/>
      <c r="F56" s="42"/>
      <c r="G56" s="11" t="e">
        <f>G57</f>
        <v>#REF!</v>
      </c>
    </row>
    <row r="57" spans="1:7" ht="21.75" customHeight="1">
      <c r="A57" s="47" t="s">
        <v>303</v>
      </c>
      <c r="B57" s="42" t="s">
        <v>413</v>
      </c>
      <c r="C57" s="42" t="s">
        <v>295</v>
      </c>
      <c r="D57" s="42" t="s">
        <v>266</v>
      </c>
      <c r="E57" s="42"/>
      <c r="F57" s="42"/>
      <c r="G57" s="11" t="e">
        <f>G58</f>
        <v>#REF!</v>
      </c>
    </row>
    <row r="58" spans="1:7" ht="47.25">
      <c r="A58" s="31" t="s">
        <v>208</v>
      </c>
      <c r="B58" s="42" t="s">
        <v>711</v>
      </c>
      <c r="C58" s="42" t="s">
        <v>295</v>
      </c>
      <c r="D58" s="42" t="s">
        <v>266</v>
      </c>
      <c r="E58" s="42"/>
      <c r="F58" s="42"/>
      <c r="G58" s="11" t="e">
        <f>G59</f>
        <v>#REF!</v>
      </c>
    </row>
    <row r="59" spans="1:7" ht="31.5">
      <c r="A59" s="31" t="s">
        <v>299</v>
      </c>
      <c r="B59" s="42" t="s">
        <v>711</v>
      </c>
      <c r="C59" s="42" t="s">
        <v>295</v>
      </c>
      <c r="D59" s="42" t="s">
        <v>266</v>
      </c>
      <c r="E59" s="42" t="s">
        <v>300</v>
      </c>
      <c r="F59" s="42"/>
      <c r="G59" s="11" t="e">
        <f>G60</f>
        <v>#REF!</v>
      </c>
    </row>
    <row r="60" spans="1:7" ht="31.5">
      <c r="A60" s="31" t="s">
        <v>399</v>
      </c>
      <c r="B60" s="42" t="s">
        <v>711</v>
      </c>
      <c r="C60" s="42" t="s">
        <v>295</v>
      </c>
      <c r="D60" s="42" t="s">
        <v>266</v>
      </c>
      <c r="E60" s="42" t="s">
        <v>400</v>
      </c>
      <c r="F60" s="42"/>
      <c r="G60" s="11" t="e">
        <f>#REF!</f>
        <v>#REF!</v>
      </c>
    </row>
    <row r="61" spans="1:7" ht="63">
      <c r="A61" s="47" t="s">
        <v>312</v>
      </c>
      <c r="B61" s="42" t="s">
        <v>413</v>
      </c>
      <c r="C61" s="42" t="s">
        <v>295</v>
      </c>
      <c r="D61" s="42" t="s">
        <v>266</v>
      </c>
      <c r="E61" s="42"/>
      <c r="F61" s="42" t="s">
        <v>704</v>
      </c>
      <c r="G61" s="11" t="e">
        <f>G55</f>
        <v>#REF!</v>
      </c>
    </row>
    <row r="62" spans="1:7" ht="78.75">
      <c r="A62" s="64" t="s">
        <v>415</v>
      </c>
      <c r="B62" s="8" t="s">
        <v>416</v>
      </c>
      <c r="C62" s="8"/>
      <c r="D62" s="8"/>
      <c r="E62" s="8"/>
      <c r="F62" s="8"/>
      <c r="G62" s="68" t="e">
        <f>G63</f>
        <v>#REF!</v>
      </c>
    </row>
    <row r="63" spans="1:7" ht="15.75">
      <c r="A63" s="47" t="s">
        <v>294</v>
      </c>
      <c r="B63" s="42" t="s">
        <v>416</v>
      </c>
      <c r="C63" s="42" t="s">
        <v>295</v>
      </c>
      <c r="D63" s="42"/>
      <c r="E63" s="42"/>
      <c r="F63" s="42"/>
      <c r="G63" s="11" t="e">
        <f>G64</f>
        <v>#REF!</v>
      </c>
    </row>
    <row r="64" spans="1:7" ht="15.75">
      <c r="A64" s="47" t="s">
        <v>303</v>
      </c>
      <c r="B64" s="42" t="s">
        <v>416</v>
      </c>
      <c r="C64" s="42" t="s">
        <v>295</v>
      </c>
      <c r="D64" s="42" t="s">
        <v>266</v>
      </c>
      <c r="E64" s="42"/>
      <c r="F64" s="42"/>
      <c r="G64" s="11" t="e">
        <f>G65</f>
        <v>#REF!</v>
      </c>
    </row>
    <row r="65" spans="1:7" ht="42.75" customHeight="1">
      <c r="A65" s="31" t="s">
        <v>208</v>
      </c>
      <c r="B65" s="42" t="s">
        <v>712</v>
      </c>
      <c r="C65" s="42" t="s">
        <v>295</v>
      </c>
      <c r="D65" s="42" t="s">
        <v>266</v>
      </c>
      <c r="E65" s="42"/>
      <c r="F65" s="42"/>
      <c r="G65" s="11" t="e">
        <f>G66</f>
        <v>#REF!</v>
      </c>
    </row>
    <row r="66" spans="1:7" ht="47.25">
      <c r="A66" s="31" t="s">
        <v>182</v>
      </c>
      <c r="B66" s="42" t="s">
        <v>712</v>
      </c>
      <c r="C66" s="42" t="s">
        <v>295</v>
      </c>
      <c r="D66" s="42" t="s">
        <v>266</v>
      </c>
      <c r="E66" s="42" t="s">
        <v>183</v>
      </c>
      <c r="F66" s="42"/>
      <c r="G66" s="11" t="e">
        <f>G67</f>
        <v>#REF!</v>
      </c>
    </row>
    <row r="67" spans="1:7" ht="47.25">
      <c r="A67" s="31" t="s">
        <v>184</v>
      </c>
      <c r="B67" s="42" t="s">
        <v>712</v>
      </c>
      <c r="C67" s="42" t="s">
        <v>295</v>
      </c>
      <c r="D67" s="42" t="s">
        <v>266</v>
      </c>
      <c r="E67" s="42" t="s">
        <v>185</v>
      </c>
      <c r="F67" s="42"/>
      <c r="G67" s="11" t="e">
        <f>#REF!</f>
        <v>#REF!</v>
      </c>
    </row>
    <row r="68" spans="1:7" ht="63">
      <c r="A68" s="47" t="s">
        <v>312</v>
      </c>
      <c r="B68" s="42" t="s">
        <v>416</v>
      </c>
      <c r="C68" s="42" t="s">
        <v>295</v>
      </c>
      <c r="D68" s="42" t="s">
        <v>266</v>
      </c>
      <c r="E68" s="42"/>
      <c r="F68" s="42" t="s">
        <v>704</v>
      </c>
      <c r="G68" s="11" t="e">
        <f>G62</f>
        <v>#REF!</v>
      </c>
    </row>
    <row r="69" spans="1:7" ht="94.5">
      <c r="A69" s="43" t="s">
        <v>418</v>
      </c>
      <c r="B69" s="8" t="s">
        <v>419</v>
      </c>
      <c r="C69" s="8"/>
      <c r="D69" s="8"/>
      <c r="E69" s="8"/>
      <c r="F69" s="8"/>
      <c r="G69" s="68" t="e">
        <f>G70</f>
        <v>#REF!</v>
      </c>
    </row>
    <row r="70" spans="1:7" ht="15.75">
      <c r="A70" s="47" t="s">
        <v>294</v>
      </c>
      <c r="B70" s="42" t="s">
        <v>419</v>
      </c>
      <c r="C70" s="42" t="s">
        <v>295</v>
      </c>
      <c r="D70" s="42"/>
      <c r="E70" s="42"/>
      <c r="F70" s="42"/>
      <c r="G70" s="11" t="e">
        <f>G71</f>
        <v>#REF!</v>
      </c>
    </row>
    <row r="71" spans="1:7" ht="15.75">
      <c r="A71" s="47" t="s">
        <v>303</v>
      </c>
      <c r="B71" s="42" t="s">
        <v>419</v>
      </c>
      <c r="C71" s="42" t="s">
        <v>295</v>
      </c>
      <c r="D71" s="42" t="s">
        <v>266</v>
      </c>
      <c r="E71" s="42"/>
      <c r="F71" s="42"/>
      <c r="G71" s="11" t="e">
        <f>G72+G90+G81+G85+G77</f>
        <v>#REF!</v>
      </c>
    </row>
    <row r="72" spans="1:7" ht="45" customHeight="1">
      <c r="A72" s="31" t="s">
        <v>208</v>
      </c>
      <c r="B72" s="42" t="s">
        <v>421</v>
      </c>
      <c r="C72" s="42" t="s">
        <v>295</v>
      </c>
      <c r="D72" s="42" t="s">
        <v>266</v>
      </c>
      <c r="E72" s="42"/>
      <c r="F72" s="42"/>
      <c r="G72" s="11" t="e">
        <f>G75+G73</f>
        <v>#REF!</v>
      </c>
    </row>
    <row r="73" spans="1:7" ht="47.25" hidden="1">
      <c r="A73" s="31" t="s">
        <v>182</v>
      </c>
      <c r="B73" s="42" t="s">
        <v>419</v>
      </c>
      <c r="C73" s="42" t="s">
        <v>295</v>
      </c>
      <c r="D73" s="42" t="s">
        <v>266</v>
      </c>
      <c r="E73" s="42" t="s">
        <v>183</v>
      </c>
      <c r="F73" s="42"/>
      <c r="G73" s="11">
        <f>G74</f>
        <v>0</v>
      </c>
    </row>
    <row r="74" spans="1:7" ht="47.25" hidden="1">
      <c r="A74" s="31" t="s">
        <v>184</v>
      </c>
      <c r="B74" s="42" t="s">
        <v>419</v>
      </c>
      <c r="C74" s="42" t="s">
        <v>295</v>
      </c>
      <c r="D74" s="42" t="s">
        <v>266</v>
      </c>
      <c r="E74" s="42" t="s">
        <v>185</v>
      </c>
      <c r="F74" s="42"/>
      <c r="G74" s="11"/>
    </row>
    <row r="75" spans="1:7" ht="63">
      <c r="A75" s="26" t="s">
        <v>323</v>
      </c>
      <c r="B75" s="42" t="s">
        <v>421</v>
      </c>
      <c r="C75" s="42" t="s">
        <v>295</v>
      </c>
      <c r="D75" s="42" t="s">
        <v>266</v>
      </c>
      <c r="E75" s="42" t="s">
        <v>324</v>
      </c>
      <c r="F75" s="42"/>
      <c r="G75" s="11" t="e">
        <f>G76</f>
        <v>#REF!</v>
      </c>
    </row>
    <row r="76" spans="1:7" ht="72.75" customHeight="1">
      <c r="A76" s="26" t="s">
        <v>422</v>
      </c>
      <c r="B76" s="42" t="s">
        <v>421</v>
      </c>
      <c r="C76" s="42" t="s">
        <v>295</v>
      </c>
      <c r="D76" s="42" t="s">
        <v>266</v>
      </c>
      <c r="E76" s="42" t="s">
        <v>423</v>
      </c>
      <c r="F76" s="42"/>
      <c r="G76" s="11" t="e">
        <f>#REF!</f>
        <v>#REF!</v>
      </c>
    </row>
    <row r="77" spans="1:7" ht="63">
      <c r="A77" s="26" t="s">
        <v>426</v>
      </c>
      <c r="B77" s="21" t="s">
        <v>427</v>
      </c>
      <c r="C77" s="42" t="s">
        <v>295</v>
      </c>
      <c r="D77" s="42" t="s">
        <v>266</v>
      </c>
      <c r="E77" s="42"/>
      <c r="F77" s="42"/>
      <c r="G77" s="11" t="e">
        <f>G78</f>
        <v>#REF!</v>
      </c>
    </row>
    <row r="78" spans="1:7" ht="31.5">
      <c r="A78" s="26" t="s">
        <v>299</v>
      </c>
      <c r="B78" s="21" t="s">
        <v>427</v>
      </c>
      <c r="C78" s="42" t="s">
        <v>295</v>
      </c>
      <c r="D78" s="42" t="s">
        <v>266</v>
      </c>
      <c r="E78" s="42" t="s">
        <v>300</v>
      </c>
      <c r="F78" s="42"/>
      <c r="G78" s="11" t="e">
        <f>G79</f>
        <v>#REF!</v>
      </c>
    </row>
    <row r="79" spans="1:7" ht="47.25">
      <c r="A79" s="26" t="s">
        <v>301</v>
      </c>
      <c r="B79" s="21" t="s">
        <v>427</v>
      </c>
      <c r="C79" s="42" t="s">
        <v>295</v>
      </c>
      <c r="D79" s="42" t="s">
        <v>266</v>
      </c>
      <c r="E79" s="42" t="s">
        <v>302</v>
      </c>
      <c r="F79" s="42"/>
      <c r="G79" s="11" t="e">
        <f>#REF!</f>
        <v>#REF!</v>
      </c>
    </row>
    <row r="80" spans="1:7" ht="63">
      <c r="A80" s="47" t="s">
        <v>312</v>
      </c>
      <c r="B80" s="21" t="s">
        <v>419</v>
      </c>
      <c r="C80" s="42" t="s">
        <v>295</v>
      </c>
      <c r="D80" s="42" t="s">
        <v>266</v>
      </c>
      <c r="E80" s="42"/>
      <c r="F80" s="10" t="s">
        <v>704</v>
      </c>
      <c r="G80" s="11" t="e">
        <f>G69</f>
        <v>#REF!</v>
      </c>
    </row>
    <row r="81" spans="1:7" ht="173.25" hidden="1">
      <c r="A81" s="26" t="s">
        <v>424</v>
      </c>
      <c r="B81" s="21" t="s">
        <v>425</v>
      </c>
      <c r="C81" s="42" t="s">
        <v>295</v>
      </c>
      <c r="D81" s="42" t="s">
        <v>266</v>
      </c>
      <c r="E81" s="42"/>
      <c r="F81" s="10"/>
      <c r="G81" s="11">
        <f>G82</f>
        <v>0</v>
      </c>
    </row>
    <row r="82" spans="1:7" ht="15.75" hidden="1">
      <c r="A82" s="26" t="s">
        <v>186</v>
      </c>
      <c r="B82" s="21" t="s">
        <v>425</v>
      </c>
      <c r="C82" s="42" t="s">
        <v>295</v>
      </c>
      <c r="D82" s="42" t="s">
        <v>266</v>
      </c>
      <c r="E82" s="42" t="s">
        <v>196</v>
      </c>
      <c r="F82" s="10"/>
      <c r="G82" s="11">
        <f>G83</f>
        <v>0</v>
      </c>
    </row>
    <row r="83" spans="1:7" ht="78.75" hidden="1">
      <c r="A83" s="26" t="s">
        <v>235</v>
      </c>
      <c r="B83" s="21" t="s">
        <v>425</v>
      </c>
      <c r="C83" s="42" t="s">
        <v>295</v>
      </c>
      <c r="D83" s="42" t="s">
        <v>266</v>
      </c>
      <c r="E83" s="42" t="s">
        <v>211</v>
      </c>
      <c r="F83" s="10"/>
      <c r="G83" s="11"/>
    </row>
    <row r="84" spans="1:7" ht="63" hidden="1">
      <c r="A84" s="47" t="s">
        <v>312</v>
      </c>
      <c r="B84" s="21" t="s">
        <v>425</v>
      </c>
      <c r="C84" s="42" t="s">
        <v>295</v>
      </c>
      <c r="D84" s="42" t="s">
        <v>266</v>
      </c>
      <c r="E84" s="42"/>
      <c r="F84" s="10" t="s">
        <v>704</v>
      </c>
      <c r="G84" s="11">
        <f>G83</f>
        <v>0</v>
      </c>
    </row>
    <row r="85" spans="1:7" ht="63" hidden="1">
      <c r="A85" s="26" t="s">
        <v>426</v>
      </c>
      <c r="B85" s="21" t="s">
        <v>427</v>
      </c>
      <c r="C85" s="42" t="s">
        <v>295</v>
      </c>
      <c r="D85" s="42" t="s">
        <v>266</v>
      </c>
      <c r="E85" s="42"/>
      <c r="F85" s="10"/>
      <c r="G85" s="11">
        <f>G86</f>
        <v>0</v>
      </c>
    </row>
    <row r="86" spans="1:7" ht="31.5" hidden="1">
      <c r="A86" s="31" t="s">
        <v>299</v>
      </c>
      <c r="B86" s="21" t="s">
        <v>427</v>
      </c>
      <c r="C86" s="42" t="s">
        <v>295</v>
      </c>
      <c r="D86" s="42" t="s">
        <v>266</v>
      </c>
      <c r="E86" s="42" t="s">
        <v>300</v>
      </c>
      <c r="F86" s="10"/>
      <c r="G86" s="11">
        <f>G87</f>
        <v>0</v>
      </c>
    </row>
    <row r="87" spans="1:7" ht="47.25" hidden="1">
      <c r="A87" s="31" t="s">
        <v>301</v>
      </c>
      <c r="B87" s="21" t="s">
        <v>427</v>
      </c>
      <c r="C87" s="42" t="s">
        <v>295</v>
      </c>
      <c r="D87" s="42" t="s">
        <v>266</v>
      </c>
      <c r="E87" s="42" t="s">
        <v>302</v>
      </c>
      <c r="F87" s="10"/>
      <c r="G87" s="11"/>
    </row>
    <row r="88" spans="1:7" ht="63" hidden="1">
      <c r="A88" s="47" t="s">
        <v>312</v>
      </c>
      <c r="B88" s="21" t="s">
        <v>427</v>
      </c>
      <c r="C88" s="42" t="s">
        <v>295</v>
      </c>
      <c r="D88" s="42" t="s">
        <v>266</v>
      </c>
      <c r="E88" s="42"/>
      <c r="F88" s="10" t="s">
        <v>704</v>
      </c>
      <c r="G88" s="11">
        <f>G85</f>
        <v>0</v>
      </c>
    </row>
    <row r="89" spans="1:7" ht="47.25" hidden="1">
      <c r="A89" s="31" t="s">
        <v>428</v>
      </c>
      <c r="B89" s="21" t="s">
        <v>429</v>
      </c>
      <c r="C89" s="42" t="s">
        <v>295</v>
      </c>
      <c r="D89" s="42" t="s">
        <v>266</v>
      </c>
      <c r="E89" s="42"/>
      <c r="F89" s="42"/>
      <c r="G89" s="11">
        <f>G90</f>
        <v>0</v>
      </c>
    </row>
    <row r="90" spans="1:7" ht="47.25" hidden="1">
      <c r="A90" s="31" t="s">
        <v>182</v>
      </c>
      <c r="B90" s="21" t="s">
        <v>429</v>
      </c>
      <c r="C90" s="42" t="s">
        <v>295</v>
      </c>
      <c r="D90" s="42" t="s">
        <v>266</v>
      </c>
      <c r="E90" s="42" t="s">
        <v>183</v>
      </c>
      <c r="F90" s="42"/>
      <c r="G90" s="11">
        <f>G91</f>
        <v>0</v>
      </c>
    </row>
    <row r="91" spans="1:7" ht="47.25" hidden="1">
      <c r="A91" s="31" t="s">
        <v>184</v>
      </c>
      <c r="B91" s="21" t="s">
        <v>429</v>
      </c>
      <c r="C91" s="42" t="s">
        <v>295</v>
      </c>
      <c r="D91" s="42" t="s">
        <v>266</v>
      </c>
      <c r="E91" s="42" t="s">
        <v>185</v>
      </c>
      <c r="F91" s="42"/>
      <c r="G91" s="11">
        <v>0</v>
      </c>
    </row>
    <row r="92" spans="1:7" ht="15.75" hidden="1">
      <c r="A92" s="31" t="s">
        <v>186</v>
      </c>
      <c r="B92" s="21" t="s">
        <v>429</v>
      </c>
      <c r="C92" s="42" t="s">
        <v>295</v>
      </c>
      <c r="D92" s="42" t="s">
        <v>266</v>
      </c>
      <c r="E92" s="42" t="s">
        <v>196</v>
      </c>
      <c r="F92" s="42"/>
      <c r="G92" s="11"/>
    </row>
    <row r="93" spans="1:7" ht="78.75" hidden="1">
      <c r="A93" s="31" t="s">
        <v>235</v>
      </c>
      <c r="B93" s="21" t="s">
        <v>429</v>
      </c>
      <c r="C93" s="42" t="s">
        <v>295</v>
      </c>
      <c r="D93" s="42" t="s">
        <v>266</v>
      </c>
      <c r="E93" s="42" t="s">
        <v>211</v>
      </c>
      <c r="F93" s="42"/>
      <c r="G93" s="11"/>
    </row>
    <row r="94" spans="1:7" ht="63" hidden="1">
      <c r="A94" s="47" t="s">
        <v>312</v>
      </c>
      <c r="B94" s="21" t="s">
        <v>429</v>
      </c>
      <c r="C94" s="42" t="s">
        <v>295</v>
      </c>
      <c r="D94" s="42" t="s">
        <v>266</v>
      </c>
      <c r="E94" s="42"/>
      <c r="F94" s="10" t="s">
        <v>704</v>
      </c>
      <c r="G94" s="11">
        <f>G89</f>
        <v>0</v>
      </c>
    </row>
    <row r="95" spans="1:7" ht="141.75">
      <c r="A95" s="43" t="s">
        <v>431</v>
      </c>
      <c r="B95" s="8" t="s">
        <v>432</v>
      </c>
      <c r="C95" s="8"/>
      <c r="D95" s="8"/>
      <c r="E95" s="8"/>
      <c r="F95" s="9"/>
      <c r="G95" s="68" t="e">
        <f>G96</f>
        <v>#REF!</v>
      </c>
    </row>
    <row r="96" spans="1:7" ht="15.75">
      <c r="A96" s="47" t="s">
        <v>294</v>
      </c>
      <c r="B96" s="42" t="s">
        <v>432</v>
      </c>
      <c r="C96" s="42" t="s">
        <v>295</v>
      </c>
      <c r="D96" s="42"/>
      <c r="E96" s="42"/>
      <c r="F96" s="10"/>
      <c r="G96" s="11" t="e">
        <f>G97</f>
        <v>#REF!</v>
      </c>
    </row>
    <row r="97" spans="1:7" ht="24.75" customHeight="1">
      <c r="A97" s="47" t="s">
        <v>303</v>
      </c>
      <c r="B97" s="42" t="s">
        <v>432</v>
      </c>
      <c r="C97" s="42" t="s">
        <v>295</v>
      </c>
      <c r="D97" s="42" t="s">
        <v>266</v>
      </c>
      <c r="E97" s="42"/>
      <c r="F97" s="10"/>
      <c r="G97" s="11" t="e">
        <f>G98</f>
        <v>#REF!</v>
      </c>
    </row>
    <row r="98" spans="1:7" ht="47.25">
      <c r="A98" s="31" t="s">
        <v>208</v>
      </c>
      <c r="B98" s="42" t="s">
        <v>433</v>
      </c>
      <c r="C98" s="42" t="s">
        <v>295</v>
      </c>
      <c r="D98" s="42" t="s">
        <v>266</v>
      </c>
      <c r="E98" s="42"/>
      <c r="F98" s="10"/>
      <c r="G98" s="11" t="e">
        <f>G99</f>
        <v>#REF!</v>
      </c>
    </row>
    <row r="99" spans="1:7" ht="47.25">
      <c r="A99" s="31" t="s">
        <v>182</v>
      </c>
      <c r="B99" s="42" t="s">
        <v>433</v>
      </c>
      <c r="C99" s="42" t="s">
        <v>295</v>
      </c>
      <c r="D99" s="42" t="s">
        <v>266</v>
      </c>
      <c r="E99" s="42" t="s">
        <v>183</v>
      </c>
      <c r="F99" s="10"/>
      <c r="G99" s="11" t="e">
        <f>G100</f>
        <v>#REF!</v>
      </c>
    </row>
    <row r="100" spans="1:7" ht="47.25">
      <c r="A100" s="31" t="s">
        <v>184</v>
      </c>
      <c r="B100" s="42" t="s">
        <v>433</v>
      </c>
      <c r="C100" s="42" t="s">
        <v>295</v>
      </c>
      <c r="D100" s="42" t="s">
        <v>266</v>
      </c>
      <c r="E100" s="42" t="s">
        <v>185</v>
      </c>
      <c r="F100" s="10"/>
      <c r="G100" s="11" t="e">
        <f>#REF!</f>
        <v>#REF!</v>
      </c>
    </row>
    <row r="101" spans="1:7" ht="63">
      <c r="A101" s="47" t="s">
        <v>312</v>
      </c>
      <c r="B101" s="42" t="s">
        <v>432</v>
      </c>
      <c r="C101" s="42" t="s">
        <v>295</v>
      </c>
      <c r="D101" s="42" t="s">
        <v>266</v>
      </c>
      <c r="E101" s="42"/>
      <c r="F101" s="10" t="s">
        <v>704</v>
      </c>
      <c r="G101" s="11" t="e">
        <f>G95</f>
        <v>#REF!</v>
      </c>
    </row>
    <row r="102" spans="1:7" ht="63">
      <c r="A102" s="64" t="s">
        <v>478</v>
      </c>
      <c r="B102" s="8" t="s">
        <v>458</v>
      </c>
      <c r="C102" s="8"/>
      <c r="D102" s="8"/>
      <c r="E102" s="8"/>
      <c r="F102" s="8"/>
      <c r="G102" s="68" t="e">
        <f>G103+G118+G163+G188+G210</f>
        <v>#REF!</v>
      </c>
    </row>
    <row r="103" spans="1:7" ht="47.25">
      <c r="A103" s="43" t="s">
        <v>459</v>
      </c>
      <c r="B103" s="8" t="s">
        <v>460</v>
      </c>
      <c r="C103" s="8"/>
      <c r="D103" s="8"/>
      <c r="E103" s="8"/>
      <c r="F103" s="8"/>
      <c r="G103" s="68" t="e">
        <f>G104</f>
        <v>#REF!</v>
      </c>
    </row>
    <row r="104" spans="1:7" ht="15.75">
      <c r="A104" s="31" t="s">
        <v>314</v>
      </c>
      <c r="B104" s="42" t="s">
        <v>460</v>
      </c>
      <c r="C104" s="42" t="s">
        <v>315</v>
      </c>
      <c r="D104" s="42"/>
      <c r="E104" s="42"/>
      <c r="F104" s="42"/>
      <c r="G104" s="11" t="e">
        <f>G105+G109+G113</f>
        <v>#REF!</v>
      </c>
    </row>
    <row r="105" spans="1:7" ht="15.75">
      <c r="A105" s="47" t="s">
        <v>456</v>
      </c>
      <c r="B105" s="42" t="s">
        <v>460</v>
      </c>
      <c r="C105" s="42" t="s">
        <v>315</v>
      </c>
      <c r="D105" s="42" t="s">
        <v>169</v>
      </c>
      <c r="E105" s="42"/>
      <c r="F105" s="42"/>
      <c r="G105" s="11" t="e">
        <f>G106</f>
        <v>#REF!</v>
      </c>
    </row>
    <row r="106" spans="1:7" ht="63">
      <c r="A106" s="31" t="s">
        <v>461</v>
      </c>
      <c r="B106" s="42" t="s">
        <v>462</v>
      </c>
      <c r="C106" s="42" t="s">
        <v>315</v>
      </c>
      <c r="D106" s="42" t="s">
        <v>169</v>
      </c>
      <c r="E106" s="42"/>
      <c r="F106" s="42"/>
      <c r="G106" s="11" t="e">
        <f>G107</f>
        <v>#REF!</v>
      </c>
    </row>
    <row r="107" spans="1:7" ht="63">
      <c r="A107" s="31" t="s">
        <v>323</v>
      </c>
      <c r="B107" s="42" t="s">
        <v>462</v>
      </c>
      <c r="C107" s="42" t="s">
        <v>315</v>
      </c>
      <c r="D107" s="42" t="s">
        <v>169</v>
      </c>
      <c r="E107" s="42" t="s">
        <v>324</v>
      </c>
      <c r="F107" s="42"/>
      <c r="G107" s="11" t="e">
        <f>G108</f>
        <v>#REF!</v>
      </c>
    </row>
    <row r="108" spans="1:7" ht="15.75">
      <c r="A108" s="31" t="s">
        <v>325</v>
      </c>
      <c r="B108" s="42" t="s">
        <v>462</v>
      </c>
      <c r="C108" s="42" t="s">
        <v>315</v>
      </c>
      <c r="D108" s="42" t="s">
        <v>169</v>
      </c>
      <c r="E108" s="42" t="s">
        <v>326</v>
      </c>
      <c r="F108" s="42"/>
      <c r="G108" s="7" t="e">
        <f>#REF!</f>
        <v>#REF!</v>
      </c>
    </row>
    <row r="109" spans="1:7" ht="15.75">
      <c r="A109" s="31" t="s">
        <v>477</v>
      </c>
      <c r="B109" s="42" t="s">
        <v>460</v>
      </c>
      <c r="C109" s="42" t="s">
        <v>315</v>
      </c>
      <c r="D109" s="42" t="s">
        <v>264</v>
      </c>
      <c r="E109" s="42"/>
      <c r="F109" s="42"/>
      <c r="G109" s="11" t="e">
        <f>G110</f>
        <v>#REF!</v>
      </c>
    </row>
    <row r="110" spans="1:7" ht="57.75" customHeight="1">
      <c r="A110" s="31" t="s">
        <v>479</v>
      </c>
      <c r="B110" s="42" t="s">
        <v>480</v>
      </c>
      <c r="C110" s="42" t="s">
        <v>315</v>
      </c>
      <c r="D110" s="42" t="s">
        <v>264</v>
      </c>
      <c r="E110" s="42"/>
      <c r="F110" s="42"/>
      <c r="G110" s="11" t="e">
        <f>G111</f>
        <v>#REF!</v>
      </c>
    </row>
    <row r="111" spans="1:7" ht="70.5" customHeight="1">
      <c r="A111" s="31" t="s">
        <v>323</v>
      </c>
      <c r="B111" s="42" t="s">
        <v>480</v>
      </c>
      <c r="C111" s="42" t="s">
        <v>315</v>
      </c>
      <c r="D111" s="42" t="s">
        <v>264</v>
      </c>
      <c r="E111" s="42" t="s">
        <v>324</v>
      </c>
      <c r="F111" s="42"/>
      <c r="G111" s="11" t="e">
        <f>G112</f>
        <v>#REF!</v>
      </c>
    </row>
    <row r="112" spans="1:7" ht="15.75">
      <c r="A112" s="31" t="s">
        <v>325</v>
      </c>
      <c r="B112" s="42" t="s">
        <v>480</v>
      </c>
      <c r="C112" s="42" t="s">
        <v>315</v>
      </c>
      <c r="D112" s="42" t="s">
        <v>264</v>
      </c>
      <c r="E112" s="42" t="s">
        <v>326</v>
      </c>
      <c r="F112" s="42"/>
      <c r="G112" s="7" t="e">
        <f>#REF!</f>
        <v>#REF!</v>
      </c>
    </row>
    <row r="113" spans="1:7" ht="15.75">
      <c r="A113" s="31" t="s">
        <v>316</v>
      </c>
      <c r="B113" s="42" t="s">
        <v>460</v>
      </c>
      <c r="C113" s="42" t="s">
        <v>315</v>
      </c>
      <c r="D113" s="42" t="s">
        <v>266</v>
      </c>
      <c r="E113" s="42"/>
      <c r="F113" s="42"/>
      <c r="G113" s="7" t="e">
        <f>G114</f>
        <v>#REF!</v>
      </c>
    </row>
    <row r="114" spans="1:7" ht="63">
      <c r="A114" s="31" t="s">
        <v>321</v>
      </c>
      <c r="B114" s="42" t="s">
        <v>481</v>
      </c>
      <c r="C114" s="42" t="s">
        <v>315</v>
      </c>
      <c r="D114" s="42" t="s">
        <v>266</v>
      </c>
      <c r="E114" s="8"/>
      <c r="F114" s="8"/>
      <c r="G114" s="11" t="e">
        <f>G115</f>
        <v>#REF!</v>
      </c>
    </row>
    <row r="115" spans="1:7" ht="63">
      <c r="A115" s="31" t="s">
        <v>323</v>
      </c>
      <c r="B115" s="42" t="s">
        <v>481</v>
      </c>
      <c r="C115" s="42" t="s">
        <v>315</v>
      </c>
      <c r="D115" s="42" t="s">
        <v>266</v>
      </c>
      <c r="E115" s="42" t="s">
        <v>324</v>
      </c>
      <c r="F115" s="42"/>
      <c r="G115" s="11" t="e">
        <f>G116</f>
        <v>#REF!</v>
      </c>
    </row>
    <row r="116" spans="1:7" ht="15.75">
      <c r="A116" s="31" t="s">
        <v>325</v>
      </c>
      <c r="B116" s="42" t="s">
        <v>481</v>
      </c>
      <c r="C116" s="42" t="s">
        <v>315</v>
      </c>
      <c r="D116" s="42" t="s">
        <v>266</v>
      </c>
      <c r="E116" s="42" t="s">
        <v>326</v>
      </c>
      <c r="F116" s="42"/>
      <c r="G116" s="7" t="e">
        <f>#REF!</f>
        <v>#REF!</v>
      </c>
    </row>
    <row r="117" spans="1:7" ht="47.25">
      <c r="A117" s="31" t="s">
        <v>455</v>
      </c>
      <c r="B117" s="42" t="s">
        <v>460</v>
      </c>
      <c r="C117" s="42" t="s">
        <v>315</v>
      </c>
      <c r="D117" s="42" t="s">
        <v>266</v>
      </c>
      <c r="E117" s="42"/>
      <c r="F117" s="42" t="s">
        <v>713</v>
      </c>
      <c r="G117" s="7" t="e">
        <f>G103</f>
        <v>#REF!</v>
      </c>
    </row>
    <row r="118" spans="1:7" ht="47.25">
      <c r="A118" s="43" t="s">
        <v>463</v>
      </c>
      <c r="B118" s="8" t="s">
        <v>464</v>
      </c>
      <c r="C118" s="8"/>
      <c r="D118" s="8"/>
      <c r="E118" s="8"/>
      <c r="F118" s="8"/>
      <c r="G118" s="68" t="e">
        <f>G119</f>
        <v>#REF!</v>
      </c>
    </row>
    <row r="119" spans="1:7" ht="15.75">
      <c r="A119" s="31" t="s">
        <v>314</v>
      </c>
      <c r="B119" s="42" t="s">
        <v>464</v>
      </c>
      <c r="C119" s="42" t="s">
        <v>315</v>
      </c>
      <c r="D119" s="42"/>
      <c r="E119" s="42"/>
      <c r="F119" s="42"/>
      <c r="G119" s="11" t="e">
        <f>G120</f>
        <v>#REF!</v>
      </c>
    </row>
    <row r="120" spans="1:7" ht="15.75">
      <c r="A120" s="47" t="s">
        <v>456</v>
      </c>
      <c r="B120" s="42" t="s">
        <v>464</v>
      </c>
      <c r="C120" s="42" t="s">
        <v>315</v>
      </c>
      <c r="D120" s="42" t="s">
        <v>169</v>
      </c>
      <c r="E120" s="42"/>
      <c r="F120" s="42"/>
      <c r="G120" s="11" t="e">
        <f>G133+G130</f>
        <v>#REF!</v>
      </c>
    </row>
    <row r="121" spans="1:7" ht="57.75" customHeight="1" hidden="1">
      <c r="A121" s="31" t="s">
        <v>657</v>
      </c>
      <c r="B121" s="42" t="s">
        <v>658</v>
      </c>
      <c r="C121" s="42" t="s">
        <v>315</v>
      </c>
      <c r="D121" s="42" t="s">
        <v>169</v>
      </c>
      <c r="E121" s="42"/>
      <c r="F121" s="42"/>
      <c r="G121" s="11">
        <f>G122</f>
        <v>0</v>
      </c>
    </row>
    <row r="122" spans="1:7" ht="63" hidden="1">
      <c r="A122" s="31" t="s">
        <v>323</v>
      </c>
      <c r="B122" s="42" t="s">
        <v>658</v>
      </c>
      <c r="C122" s="42" t="s">
        <v>315</v>
      </c>
      <c r="D122" s="42" t="s">
        <v>169</v>
      </c>
      <c r="E122" s="42" t="s">
        <v>324</v>
      </c>
      <c r="F122" s="42"/>
      <c r="G122" s="11">
        <f>G123</f>
        <v>0</v>
      </c>
    </row>
    <row r="123" spans="1:7" ht="15.75" hidden="1">
      <c r="A123" s="31" t="s">
        <v>325</v>
      </c>
      <c r="B123" s="42" t="s">
        <v>658</v>
      </c>
      <c r="C123" s="42" t="s">
        <v>315</v>
      </c>
      <c r="D123" s="42" t="s">
        <v>169</v>
      </c>
      <c r="E123" s="42" t="s">
        <v>326</v>
      </c>
      <c r="F123" s="42"/>
      <c r="G123" s="11"/>
    </row>
    <row r="124" spans="1:7" ht="47.25" hidden="1">
      <c r="A124" s="31" t="s">
        <v>455</v>
      </c>
      <c r="B124" s="42" t="s">
        <v>658</v>
      </c>
      <c r="C124" s="42" t="s">
        <v>315</v>
      </c>
      <c r="D124" s="42" t="s">
        <v>169</v>
      </c>
      <c r="E124" s="42"/>
      <c r="F124" s="42" t="s">
        <v>713</v>
      </c>
      <c r="G124" s="11">
        <v>0</v>
      </c>
    </row>
    <row r="125" spans="1:7" ht="47.25" hidden="1">
      <c r="A125" s="31" t="s">
        <v>329</v>
      </c>
      <c r="B125" s="42" t="s">
        <v>659</v>
      </c>
      <c r="C125" s="42" t="s">
        <v>315</v>
      </c>
      <c r="D125" s="42" t="s">
        <v>169</v>
      </c>
      <c r="E125" s="42"/>
      <c r="F125" s="42"/>
      <c r="G125" s="11">
        <f>G126</f>
        <v>0</v>
      </c>
    </row>
    <row r="126" spans="1:7" ht="63" hidden="1">
      <c r="A126" s="31" t="s">
        <v>323</v>
      </c>
      <c r="B126" s="42" t="s">
        <v>659</v>
      </c>
      <c r="C126" s="42" t="s">
        <v>315</v>
      </c>
      <c r="D126" s="42" t="s">
        <v>169</v>
      </c>
      <c r="E126" s="42" t="s">
        <v>324</v>
      </c>
      <c r="F126" s="42"/>
      <c r="G126" s="11">
        <f>G127</f>
        <v>0</v>
      </c>
    </row>
    <row r="127" spans="1:7" ht="15.75" hidden="1">
      <c r="A127" s="31" t="s">
        <v>325</v>
      </c>
      <c r="B127" s="42" t="s">
        <v>659</v>
      </c>
      <c r="C127" s="42" t="s">
        <v>315</v>
      </c>
      <c r="D127" s="42" t="s">
        <v>169</v>
      </c>
      <c r="E127" s="42" t="s">
        <v>326</v>
      </c>
      <c r="F127" s="42"/>
      <c r="G127" s="11"/>
    </row>
    <row r="128" spans="1:7" ht="47.25" hidden="1">
      <c r="A128" s="31" t="s">
        <v>455</v>
      </c>
      <c r="B128" s="42" t="s">
        <v>659</v>
      </c>
      <c r="C128" s="42" t="s">
        <v>315</v>
      </c>
      <c r="D128" s="42" t="s">
        <v>169</v>
      </c>
      <c r="E128" s="42"/>
      <c r="F128" s="42" t="s">
        <v>713</v>
      </c>
      <c r="G128" s="11">
        <v>0</v>
      </c>
    </row>
    <row r="129" spans="1:7" ht="31.5">
      <c r="A129" s="31" t="s">
        <v>331</v>
      </c>
      <c r="B129" s="42" t="s">
        <v>466</v>
      </c>
      <c r="C129" s="42" t="s">
        <v>315</v>
      </c>
      <c r="D129" s="42" t="s">
        <v>169</v>
      </c>
      <c r="E129" s="42"/>
      <c r="F129" s="42"/>
      <c r="G129" s="11" t="e">
        <f>G130</f>
        <v>#REF!</v>
      </c>
    </row>
    <row r="130" spans="1:7" ht="63">
      <c r="A130" s="31" t="s">
        <v>323</v>
      </c>
      <c r="B130" s="42" t="s">
        <v>466</v>
      </c>
      <c r="C130" s="42" t="s">
        <v>315</v>
      </c>
      <c r="D130" s="42" t="s">
        <v>169</v>
      </c>
      <c r="E130" s="42" t="s">
        <v>324</v>
      </c>
      <c r="F130" s="42"/>
      <c r="G130" s="11" t="e">
        <f>G131</f>
        <v>#REF!</v>
      </c>
    </row>
    <row r="131" spans="1:8" ht="15.75">
      <c r="A131" s="31" t="s">
        <v>325</v>
      </c>
      <c r="B131" s="42" t="s">
        <v>466</v>
      </c>
      <c r="C131" s="42" t="s">
        <v>315</v>
      </c>
      <c r="D131" s="42" t="s">
        <v>169</v>
      </c>
      <c r="E131" s="42" t="s">
        <v>326</v>
      </c>
      <c r="F131" s="42"/>
      <c r="G131" s="189" t="e">
        <f>#REF!</f>
        <v>#REF!</v>
      </c>
      <c r="H131" s="190" t="s">
        <v>815</v>
      </c>
    </row>
    <row r="132" spans="1:7" ht="47.25" hidden="1">
      <c r="A132" s="31" t="s">
        <v>455</v>
      </c>
      <c r="B132" s="42" t="s">
        <v>466</v>
      </c>
      <c r="C132" s="42" t="s">
        <v>315</v>
      </c>
      <c r="D132" s="42" t="s">
        <v>169</v>
      </c>
      <c r="E132" s="42"/>
      <c r="F132" s="42" t="s">
        <v>713</v>
      </c>
      <c r="G132" s="11"/>
    </row>
    <row r="133" spans="1:7" ht="63">
      <c r="A133" s="31" t="s">
        <v>467</v>
      </c>
      <c r="B133" s="42" t="s">
        <v>468</v>
      </c>
      <c r="C133" s="42" t="s">
        <v>315</v>
      </c>
      <c r="D133" s="42" t="s">
        <v>169</v>
      </c>
      <c r="E133" s="42"/>
      <c r="F133" s="42"/>
      <c r="G133" s="11" t="e">
        <f>G134</f>
        <v>#REF!</v>
      </c>
    </row>
    <row r="134" spans="1:7" ht="65.25" customHeight="1">
      <c r="A134" s="31" t="s">
        <v>323</v>
      </c>
      <c r="B134" s="42" t="s">
        <v>468</v>
      </c>
      <c r="C134" s="42" t="s">
        <v>315</v>
      </c>
      <c r="D134" s="42" t="s">
        <v>169</v>
      </c>
      <c r="E134" s="42" t="s">
        <v>324</v>
      </c>
      <c r="F134" s="42"/>
      <c r="G134" s="11" t="e">
        <f>G135</f>
        <v>#REF!</v>
      </c>
    </row>
    <row r="135" spans="1:7" ht="15.75">
      <c r="A135" s="31" t="s">
        <v>325</v>
      </c>
      <c r="B135" s="42" t="s">
        <v>468</v>
      </c>
      <c r="C135" s="42" t="s">
        <v>315</v>
      </c>
      <c r="D135" s="42" t="s">
        <v>169</v>
      </c>
      <c r="E135" s="42" t="s">
        <v>326</v>
      </c>
      <c r="F135" s="42"/>
      <c r="G135" s="7" t="e">
        <f>#REF!</f>
        <v>#REF!</v>
      </c>
    </row>
    <row r="136" spans="1:7" ht="47.25">
      <c r="A136" s="31" t="s">
        <v>455</v>
      </c>
      <c r="B136" s="42" t="s">
        <v>464</v>
      </c>
      <c r="C136" s="42" t="s">
        <v>315</v>
      </c>
      <c r="D136" s="42" t="s">
        <v>169</v>
      </c>
      <c r="E136" s="42"/>
      <c r="F136" s="42" t="s">
        <v>713</v>
      </c>
      <c r="G136" s="7" t="e">
        <f>G118+G131</f>
        <v>#REF!</v>
      </c>
    </row>
    <row r="137" spans="1:7" ht="31.5" hidden="1">
      <c r="A137" s="31" t="s">
        <v>335</v>
      </c>
      <c r="B137" s="42" t="s">
        <v>662</v>
      </c>
      <c r="C137" s="42" t="s">
        <v>315</v>
      </c>
      <c r="D137" s="42" t="s">
        <v>169</v>
      </c>
      <c r="E137" s="42"/>
      <c r="F137" s="42"/>
      <c r="G137" s="11">
        <f>G138</f>
        <v>0</v>
      </c>
    </row>
    <row r="138" spans="1:7" ht="63" hidden="1">
      <c r="A138" s="31" t="s">
        <v>323</v>
      </c>
      <c r="B138" s="42" t="s">
        <v>662</v>
      </c>
      <c r="C138" s="42" t="s">
        <v>315</v>
      </c>
      <c r="D138" s="42" t="s">
        <v>169</v>
      </c>
      <c r="E138" s="42" t="s">
        <v>324</v>
      </c>
      <c r="F138" s="42"/>
      <c r="G138" s="11">
        <f>G139</f>
        <v>0</v>
      </c>
    </row>
    <row r="139" spans="1:7" ht="15.75" hidden="1">
      <c r="A139" s="31" t="s">
        <v>325</v>
      </c>
      <c r="B139" s="42" t="s">
        <v>662</v>
      </c>
      <c r="C139" s="42" t="s">
        <v>315</v>
      </c>
      <c r="D139" s="42" t="s">
        <v>169</v>
      </c>
      <c r="E139" s="42" t="s">
        <v>326</v>
      </c>
      <c r="F139" s="42"/>
      <c r="G139" s="11"/>
    </row>
    <row r="140" spans="1:7" ht="47.25" hidden="1">
      <c r="A140" s="31" t="s">
        <v>455</v>
      </c>
      <c r="B140" s="42" t="s">
        <v>662</v>
      </c>
      <c r="C140" s="42" t="s">
        <v>315</v>
      </c>
      <c r="D140" s="42" t="s">
        <v>169</v>
      </c>
      <c r="E140" s="42"/>
      <c r="F140" s="42" t="s">
        <v>713</v>
      </c>
      <c r="G140" s="11">
        <v>0</v>
      </c>
    </row>
    <row r="141" spans="1:7" ht="47.25">
      <c r="A141" s="43" t="s">
        <v>482</v>
      </c>
      <c r="B141" s="8" t="s">
        <v>483</v>
      </c>
      <c r="C141" s="8"/>
      <c r="D141" s="8"/>
      <c r="E141" s="8"/>
      <c r="F141" s="8"/>
      <c r="G141" s="4" t="e">
        <f>G162</f>
        <v>#REF!</v>
      </c>
    </row>
    <row r="142" spans="1:7" ht="70.5" customHeight="1" hidden="1">
      <c r="A142" s="31" t="s">
        <v>657</v>
      </c>
      <c r="B142" s="42" t="s">
        <v>663</v>
      </c>
      <c r="C142" s="42" t="s">
        <v>315</v>
      </c>
      <c r="D142" s="42" t="s">
        <v>264</v>
      </c>
      <c r="E142" s="42"/>
      <c r="F142" s="42"/>
      <c r="G142" s="11">
        <f>G143</f>
        <v>0</v>
      </c>
    </row>
    <row r="143" spans="1:7" ht="63" hidden="1">
      <c r="A143" s="31" t="s">
        <v>323</v>
      </c>
      <c r="B143" s="42" t="s">
        <v>663</v>
      </c>
      <c r="C143" s="42" t="s">
        <v>315</v>
      </c>
      <c r="D143" s="42" t="s">
        <v>264</v>
      </c>
      <c r="E143" s="42" t="s">
        <v>324</v>
      </c>
      <c r="F143" s="42"/>
      <c r="G143" s="11">
        <f>G145</f>
        <v>0</v>
      </c>
    </row>
    <row r="144" spans="1:7" ht="18.75" customHeight="1" hidden="1">
      <c r="A144" s="31" t="s">
        <v>325</v>
      </c>
      <c r="B144" s="42" t="s">
        <v>663</v>
      </c>
      <c r="C144" s="42" t="s">
        <v>315</v>
      </c>
      <c r="D144" s="42" t="s">
        <v>264</v>
      </c>
      <c r="E144" s="42" t="s">
        <v>326</v>
      </c>
      <c r="F144" s="42"/>
      <c r="G144" s="11"/>
    </row>
    <row r="145" spans="1:7" ht="47.25" hidden="1">
      <c r="A145" s="31" t="s">
        <v>455</v>
      </c>
      <c r="B145" s="42" t="s">
        <v>663</v>
      </c>
      <c r="C145" s="42" t="s">
        <v>315</v>
      </c>
      <c r="D145" s="42" t="s">
        <v>264</v>
      </c>
      <c r="E145" s="42"/>
      <c r="F145" s="42" t="s">
        <v>713</v>
      </c>
      <c r="G145" s="11"/>
    </row>
    <row r="146" spans="1:7" ht="78.75" hidden="1">
      <c r="A146" s="26" t="s">
        <v>484</v>
      </c>
      <c r="B146" s="42" t="s">
        <v>485</v>
      </c>
      <c r="C146" s="42" t="s">
        <v>315</v>
      </c>
      <c r="D146" s="42" t="s">
        <v>264</v>
      </c>
      <c r="E146" s="42"/>
      <c r="F146" s="42"/>
      <c r="G146" s="11">
        <f>G147</f>
        <v>0</v>
      </c>
    </row>
    <row r="147" spans="1:7" ht="63" hidden="1">
      <c r="A147" s="31" t="s">
        <v>323</v>
      </c>
      <c r="B147" s="42" t="s">
        <v>485</v>
      </c>
      <c r="C147" s="42" t="s">
        <v>315</v>
      </c>
      <c r="D147" s="42" t="s">
        <v>264</v>
      </c>
      <c r="E147" s="42" t="s">
        <v>324</v>
      </c>
      <c r="F147" s="42"/>
      <c r="G147" s="11">
        <f>G148</f>
        <v>0</v>
      </c>
    </row>
    <row r="148" spans="1:7" ht="15.75" hidden="1">
      <c r="A148" s="31" t="s">
        <v>325</v>
      </c>
      <c r="B148" s="42" t="s">
        <v>485</v>
      </c>
      <c r="C148" s="42" t="s">
        <v>315</v>
      </c>
      <c r="D148" s="42" t="s">
        <v>264</v>
      </c>
      <c r="E148" s="42" t="s">
        <v>326</v>
      </c>
      <c r="F148" s="42"/>
      <c r="G148" s="11"/>
    </row>
    <row r="149" spans="1:7" ht="54.75" customHeight="1" hidden="1">
      <c r="A149" s="31" t="s">
        <v>455</v>
      </c>
      <c r="B149" s="42" t="s">
        <v>485</v>
      </c>
      <c r="C149" s="42" t="s">
        <v>315</v>
      </c>
      <c r="D149" s="42" t="s">
        <v>264</v>
      </c>
      <c r="E149" s="42"/>
      <c r="F149" s="42" t="s">
        <v>713</v>
      </c>
      <c r="G149" s="11">
        <f>G146</f>
        <v>0</v>
      </c>
    </row>
    <row r="150" spans="1:7" ht="31.5" hidden="1">
      <c r="A150" s="26" t="s">
        <v>486</v>
      </c>
      <c r="B150" s="21" t="s">
        <v>487</v>
      </c>
      <c r="C150" s="42" t="s">
        <v>315</v>
      </c>
      <c r="D150" s="42" t="s">
        <v>264</v>
      </c>
      <c r="E150" s="42"/>
      <c r="F150" s="42"/>
      <c r="G150" s="11">
        <f>G151</f>
        <v>0</v>
      </c>
    </row>
    <row r="151" spans="1:7" ht="65.25" customHeight="1" hidden="1">
      <c r="A151" s="26" t="s">
        <v>323</v>
      </c>
      <c r="B151" s="21" t="s">
        <v>487</v>
      </c>
      <c r="C151" s="42" t="s">
        <v>315</v>
      </c>
      <c r="D151" s="42" t="s">
        <v>264</v>
      </c>
      <c r="E151" s="42" t="s">
        <v>324</v>
      </c>
      <c r="F151" s="42"/>
      <c r="G151" s="11">
        <f>G152</f>
        <v>0</v>
      </c>
    </row>
    <row r="152" spans="1:7" ht="15.75" hidden="1">
      <c r="A152" s="26" t="s">
        <v>325</v>
      </c>
      <c r="B152" s="21" t="s">
        <v>487</v>
      </c>
      <c r="C152" s="42" t="s">
        <v>315</v>
      </c>
      <c r="D152" s="42" t="s">
        <v>264</v>
      </c>
      <c r="E152" s="42" t="s">
        <v>326</v>
      </c>
      <c r="F152" s="42"/>
      <c r="G152" s="11"/>
    </row>
    <row r="153" spans="1:7" ht="47.25" hidden="1">
      <c r="A153" s="31" t="s">
        <v>455</v>
      </c>
      <c r="B153" s="21" t="s">
        <v>487</v>
      </c>
      <c r="C153" s="42" t="s">
        <v>315</v>
      </c>
      <c r="D153" s="42" t="s">
        <v>264</v>
      </c>
      <c r="E153" s="42"/>
      <c r="F153" s="42" t="s">
        <v>713</v>
      </c>
      <c r="G153" s="11">
        <f>G150</f>
        <v>0</v>
      </c>
    </row>
    <row r="154" spans="1:7" ht="63" hidden="1">
      <c r="A154" s="26" t="s">
        <v>490</v>
      </c>
      <c r="B154" s="21" t="s">
        <v>491</v>
      </c>
      <c r="C154" s="42" t="s">
        <v>315</v>
      </c>
      <c r="D154" s="42" t="s">
        <v>264</v>
      </c>
      <c r="E154" s="42"/>
      <c r="F154" s="42"/>
      <c r="G154" s="11">
        <f>G155</f>
        <v>0</v>
      </c>
    </row>
    <row r="155" spans="1:7" ht="63" hidden="1">
      <c r="A155" s="31" t="s">
        <v>323</v>
      </c>
      <c r="B155" s="21" t="s">
        <v>491</v>
      </c>
      <c r="C155" s="42" t="s">
        <v>315</v>
      </c>
      <c r="D155" s="42" t="s">
        <v>264</v>
      </c>
      <c r="E155" s="42" t="s">
        <v>324</v>
      </c>
      <c r="F155" s="42"/>
      <c r="G155" s="11">
        <f>G156</f>
        <v>0</v>
      </c>
    </row>
    <row r="156" spans="1:7" ht="15.75" hidden="1">
      <c r="A156" s="31" t="s">
        <v>325</v>
      </c>
      <c r="B156" s="21" t="s">
        <v>491</v>
      </c>
      <c r="C156" s="42" t="s">
        <v>315</v>
      </c>
      <c r="D156" s="42" t="s">
        <v>264</v>
      </c>
      <c r="E156" s="42" t="s">
        <v>326</v>
      </c>
      <c r="F156" s="42"/>
      <c r="G156" s="11"/>
    </row>
    <row r="157" spans="1:7" ht="47.25" hidden="1">
      <c r="A157" s="31" t="s">
        <v>455</v>
      </c>
      <c r="B157" s="21" t="s">
        <v>491</v>
      </c>
      <c r="C157" s="42" t="s">
        <v>315</v>
      </c>
      <c r="D157" s="42" t="s">
        <v>264</v>
      </c>
      <c r="E157" s="42"/>
      <c r="F157" s="42" t="s">
        <v>713</v>
      </c>
      <c r="G157" s="11">
        <f>G156</f>
        <v>0</v>
      </c>
    </row>
    <row r="158" spans="1:7" ht="47.25" hidden="1">
      <c r="A158" s="26" t="s">
        <v>666</v>
      </c>
      <c r="B158" s="21" t="s">
        <v>494</v>
      </c>
      <c r="C158" s="42" t="s">
        <v>315</v>
      </c>
      <c r="D158" s="42" t="s">
        <v>264</v>
      </c>
      <c r="E158" s="42"/>
      <c r="F158" s="42"/>
      <c r="G158" s="11">
        <f>G159</f>
        <v>0</v>
      </c>
    </row>
    <row r="159" spans="1:7" ht="63" hidden="1">
      <c r="A159" s="26" t="s">
        <v>323</v>
      </c>
      <c r="B159" s="21" t="s">
        <v>494</v>
      </c>
      <c r="C159" s="42" t="s">
        <v>315</v>
      </c>
      <c r="D159" s="42" t="s">
        <v>264</v>
      </c>
      <c r="E159" s="42" t="s">
        <v>324</v>
      </c>
      <c r="F159" s="42"/>
      <c r="G159" s="11">
        <f>G160</f>
        <v>0</v>
      </c>
    </row>
    <row r="160" spans="1:7" ht="15.75" hidden="1">
      <c r="A160" s="26" t="s">
        <v>325</v>
      </c>
      <c r="B160" s="21" t="s">
        <v>494</v>
      </c>
      <c r="C160" s="42" t="s">
        <v>315</v>
      </c>
      <c r="D160" s="42" t="s">
        <v>264</v>
      </c>
      <c r="E160" s="42" t="s">
        <v>326</v>
      </c>
      <c r="F160" s="42"/>
      <c r="G160" s="11"/>
    </row>
    <row r="161" spans="1:7" ht="47.25" hidden="1">
      <c r="A161" s="31" t="s">
        <v>455</v>
      </c>
      <c r="B161" s="21" t="s">
        <v>494</v>
      </c>
      <c r="C161" s="42" t="s">
        <v>315</v>
      </c>
      <c r="D161" s="42" t="s">
        <v>264</v>
      </c>
      <c r="E161" s="42"/>
      <c r="F161" s="42" t="s">
        <v>713</v>
      </c>
      <c r="G161" s="11">
        <f>G159</f>
        <v>0</v>
      </c>
    </row>
    <row r="162" spans="1:7" ht="15.75">
      <c r="A162" s="31" t="s">
        <v>314</v>
      </c>
      <c r="B162" s="42" t="s">
        <v>483</v>
      </c>
      <c r="C162" s="42" t="s">
        <v>315</v>
      </c>
      <c r="D162" s="42"/>
      <c r="E162" s="42"/>
      <c r="F162" s="42"/>
      <c r="G162" s="11" t="e">
        <f>G163</f>
        <v>#REF!</v>
      </c>
    </row>
    <row r="163" spans="1:7" ht="15.75">
      <c r="A163" s="31" t="s">
        <v>477</v>
      </c>
      <c r="B163" s="42" t="s">
        <v>483</v>
      </c>
      <c r="C163" s="42" t="s">
        <v>315</v>
      </c>
      <c r="D163" s="42" t="s">
        <v>264</v>
      </c>
      <c r="E163" s="42"/>
      <c r="F163" s="42"/>
      <c r="G163" s="11" t="e">
        <f>G164+G167+G173+G170+G176</f>
        <v>#REF!</v>
      </c>
    </row>
    <row r="164" spans="1:7" ht="78.75">
      <c r="A164" s="31" t="s">
        <v>665</v>
      </c>
      <c r="B164" s="21" t="s">
        <v>489</v>
      </c>
      <c r="C164" s="42" t="s">
        <v>315</v>
      </c>
      <c r="D164" s="42" t="s">
        <v>264</v>
      </c>
      <c r="E164" s="42"/>
      <c r="F164" s="42"/>
      <c r="G164" s="11" t="e">
        <f>G165</f>
        <v>#REF!</v>
      </c>
    </row>
    <row r="165" spans="1:7" ht="63">
      <c r="A165" s="31" t="s">
        <v>323</v>
      </c>
      <c r="B165" s="21" t="s">
        <v>489</v>
      </c>
      <c r="C165" s="42" t="s">
        <v>315</v>
      </c>
      <c r="D165" s="42" t="s">
        <v>264</v>
      </c>
      <c r="E165" s="42" t="s">
        <v>324</v>
      </c>
      <c r="F165" s="42"/>
      <c r="G165" s="11" t="e">
        <f>G166</f>
        <v>#REF!</v>
      </c>
    </row>
    <row r="166" spans="1:7" ht="24" customHeight="1">
      <c r="A166" s="31" t="s">
        <v>325</v>
      </c>
      <c r="B166" s="21" t="s">
        <v>489</v>
      </c>
      <c r="C166" s="42" t="s">
        <v>315</v>
      </c>
      <c r="D166" s="42" t="s">
        <v>264</v>
      </c>
      <c r="E166" s="42" t="s">
        <v>326</v>
      </c>
      <c r="F166" s="42"/>
      <c r="G166" s="7" t="e">
        <f>#REF!</f>
        <v>#REF!</v>
      </c>
    </row>
    <row r="167" spans="1:7" ht="63">
      <c r="A167" s="26" t="s">
        <v>490</v>
      </c>
      <c r="B167" s="21" t="s">
        <v>491</v>
      </c>
      <c r="C167" s="42" t="s">
        <v>315</v>
      </c>
      <c r="D167" s="42" t="s">
        <v>264</v>
      </c>
      <c r="E167" s="42"/>
      <c r="F167" s="42"/>
      <c r="G167" s="7" t="e">
        <f>G168</f>
        <v>#REF!</v>
      </c>
    </row>
    <row r="168" spans="1:7" ht="63">
      <c r="A168" s="26" t="s">
        <v>323</v>
      </c>
      <c r="B168" s="21" t="s">
        <v>491</v>
      </c>
      <c r="C168" s="42" t="s">
        <v>315</v>
      </c>
      <c r="D168" s="42" t="s">
        <v>264</v>
      </c>
      <c r="E168" s="42" t="s">
        <v>324</v>
      </c>
      <c r="F168" s="42"/>
      <c r="G168" s="7" t="e">
        <f>G169</f>
        <v>#REF!</v>
      </c>
    </row>
    <row r="169" spans="1:7" ht="15.75">
      <c r="A169" s="26" t="s">
        <v>325</v>
      </c>
      <c r="B169" s="21" t="s">
        <v>491</v>
      </c>
      <c r="C169" s="42" t="s">
        <v>315</v>
      </c>
      <c r="D169" s="42" t="s">
        <v>264</v>
      </c>
      <c r="E169" s="42" t="s">
        <v>326</v>
      </c>
      <c r="F169" s="42"/>
      <c r="G169" s="7" t="e">
        <f>#REF!</f>
        <v>#REF!</v>
      </c>
    </row>
    <row r="170" spans="1:7" ht="47.25">
      <c r="A170" s="26" t="s">
        <v>329</v>
      </c>
      <c r="B170" s="42" t="s">
        <v>494</v>
      </c>
      <c r="C170" s="42" t="s">
        <v>315</v>
      </c>
      <c r="D170" s="42" t="s">
        <v>264</v>
      </c>
      <c r="E170" s="42"/>
      <c r="F170" s="42"/>
      <c r="G170" s="7" t="e">
        <f>G171</f>
        <v>#REF!</v>
      </c>
    </row>
    <row r="171" spans="1:7" ht="63">
      <c r="A171" s="26" t="s">
        <v>323</v>
      </c>
      <c r="B171" s="42" t="s">
        <v>494</v>
      </c>
      <c r="C171" s="42" t="s">
        <v>315</v>
      </c>
      <c r="D171" s="42" t="s">
        <v>264</v>
      </c>
      <c r="E171" s="42" t="s">
        <v>324</v>
      </c>
      <c r="F171" s="42"/>
      <c r="G171" s="7" t="e">
        <f>G172</f>
        <v>#REF!</v>
      </c>
    </row>
    <row r="172" spans="1:8" ht="15.75">
      <c r="A172" s="26" t="s">
        <v>325</v>
      </c>
      <c r="B172" s="42" t="s">
        <v>494</v>
      </c>
      <c r="C172" s="42" t="s">
        <v>315</v>
      </c>
      <c r="D172" s="42" t="s">
        <v>264</v>
      </c>
      <c r="E172" s="42" t="s">
        <v>326</v>
      </c>
      <c r="F172" s="42"/>
      <c r="G172" s="7" t="e">
        <f>#REF!</f>
        <v>#REF!</v>
      </c>
      <c r="H172" s="137"/>
    </row>
    <row r="173" spans="1:7" ht="47.25">
      <c r="A173" s="31" t="s">
        <v>333</v>
      </c>
      <c r="B173" s="42" t="s">
        <v>496</v>
      </c>
      <c r="C173" s="42" t="s">
        <v>315</v>
      </c>
      <c r="D173" s="42" t="s">
        <v>264</v>
      </c>
      <c r="E173" s="42"/>
      <c r="F173" s="42"/>
      <c r="G173" s="11" t="e">
        <f>G174</f>
        <v>#REF!</v>
      </c>
    </row>
    <row r="174" spans="1:7" ht="63">
      <c r="A174" s="31" t="s">
        <v>323</v>
      </c>
      <c r="B174" s="42" t="s">
        <v>496</v>
      </c>
      <c r="C174" s="42" t="s">
        <v>315</v>
      </c>
      <c r="D174" s="42" t="s">
        <v>264</v>
      </c>
      <c r="E174" s="42" t="s">
        <v>324</v>
      </c>
      <c r="F174" s="42"/>
      <c r="G174" s="11" t="e">
        <f>G175</f>
        <v>#REF!</v>
      </c>
    </row>
    <row r="175" spans="1:7" ht="26.25" customHeight="1">
      <c r="A175" s="31" t="s">
        <v>325</v>
      </c>
      <c r="B175" s="42" t="s">
        <v>496</v>
      </c>
      <c r="C175" s="42" t="s">
        <v>315</v>
      </c>
      <c r="D175" s="42" t="s">
        <v>264</v>
      </c>
      <c r="E175" s="42" t="s">
        <v>326</v>
      </c>
      <c r="F175" s="42"/>
      <c r="G175" s="11" t="e">
        <f>#REF!</f>
        <v>#REF!</v>
      </c>
    </row>
    <row r="176" spans="1:7" ht="31.5">
      <c r="A176" s="31" t="s">
        <v>335</v>
      </c>
      <c r="B176" s="42" t="s">
        <v>497</v>
      </c>
      <c r="C176" s="42" t="s">
        <v>315</v>
      </c>
      <c r="D176" s="42" t="s">
        <v>264</v>
      </c>
      <c r="E176" s="42"/>
      <c r="F176" s="42"/>
      <c r="G176" s="11" t="e">
        <f>G177</f>
        <v>#REF!</v>
      </c>
    </row>
    <row r="177" spans="1:7" ht="63">
      <c r="A177" s="31" t="s">
        <v>323</v>
      </c>
      <c r="B177" s="42" t="s">
        <v>497</v>
      </c>
      <c r="C177" s="42" t="s">
        <v>315</v>
      </c>
      <c r="D177" s="42" t="s">
        <v>264</v>
      </c>
      <c r="E177" s="42" t="s">
        <v>324</v>
      </c>
      <c r="F177" s="42"/>
      <c r="G177" s="11" t="e">
        <f>G178</f>
        <v>#REF!</v>
      </c>
    </row>
    <row r="178" spans="1:7" ht="26.25" customHeight="1">
      <c r="A178" s="31" t="s">
        <v>325</v>
      </c>
      <c r="B178" s="42" t="s">
        <v>497</v>
      </c>
      <c r="C178" s="42" t="s">
        <v>315</v>
      </c>
      <c r="D178" s="42" t="s">
        <v>264</v>
      </c>
      <c r="E178" s="42" t="s">
        <v>326</v>
      </c>
      <c r="F178" s="42"/>
      <c r="G178" s="11" t="e">
        <f>#REF!</f>
        <v>#REF!</v>
      </c>
    </row>
    <row r="179" spans="1:7" ht="47.25">
      <c r="A179" s="31" t="s">
        <v>455</v>
      </c>
      <c r="B179" s="42" t="s">
        <v>483</v>
      </c>
      <c r="C179" s="42" t="s">
        <v>315</v>
      </c>
      <c r="D179" s="42" t="s">
        <v>264</v>
      </c>
      <c r="E179" s="42"/>
      <c r="F179" s="42" t="s">
        <v>713</v>
      </c>
      <c r="G179" s="11" t="e">
        <f>G141</f>
        <v>#REF!</v>
      </c>
    </row>
    <row r="180" spans="1:7" ht="31.5" hidden="1">
      <c r="A180" s="31" t="s">
        <v>335</v>
      </c>
      <c r="B180" s="42" t="s">
        <v>667</v>
      </c>
      <c r="C180" s="42" t="s">
        <v>315</v>
      </c>
      <c r="D180" s="42" t="s">
        <v>264</v>
      </c>
      <c r="E180" s="42"/>
      <c r="F180" s="42"/>
      <c r="G180" s="11">
        <f>G181</f>
        <v>0</v>
      </c>
    </row>
    <row r="181" spans="1:7" ht="63" hidden="1">
      <c r="A181" s="31" t="s">
        <v>323</v>
      </c>
      <c r="B181" s="42" t="s">
        <v>667</v>
      </c>
      <c r="C181" s="42" t="s">
        <v>315</v>
      </c>
      <c r="D181" s="42" t="s">
        <v>264</v>
      </c>
      <c r="E181" s="42" t="s">
        <v>324</v>
      </c>
      <c r="F181" s="42"/>
      <c r="G181" s="11">
        <f>G182</f>
        <v>0</v>
      </c>
    </row>
    <row r="182" spans="1:7" ht="15.75" hidden="1">
      <c r="A182" s="31" t="s">
        <v>325</v>
      </c>
      <c r="B182" s="42" t="s">
        <v>667</v>
      </c>
      <c r="C182" s="42" t="s">
        <v>315</v>
      </c>
      <c r="D182" s="42" t="s">
        <v>264</v>
      </c>
      <c r="E182" s="42" t="s">
        <v>326</v>
      </c>
      <c r="F182" s="42"/>
      <c r="G182" s="11"/>
    </row>
    <row r="183" spans="1:7" ht="47.25" hidden="1">
      <c r="A183" s="31" t="s">
        <v>455</v>
      </c>
      <c r="B183" s="42" t="s">
        <v>667</v>
      </c>
      <c r="C183" s="42" t="s">
        <v>315</v>
      </c>
      <c r="D183" s="42" t="s">
        <v>264</v>
      </c>
      <c r="E183" s="42"/>
      <c r="F183" s="42" t="s">
        <v>713</v>
      </c>
      <c r="G183" s="11">
        <v>0</v>
      </c>
    </row>
    <row r="184" spans="1:7" ht="47.25" hidden="1">
      <c r="A184" s="31" t="s">
        <v>714</v>
      </c>
      <c r="B184" s="42" t="s">
        <v>668</v>
      </c>
      <c r="C184" s="42" t="s">
        <v>315</v>
      </c>
      <c r="D184" s="42" t="s">
        <v>264</v>
      </c>
      <c r="E184" s="42"/>
      <c r="F184" s="42"/>
      <c r="G184" s="11">
        <f>G185</f>
        <v>0</v>
      </c>
    </row>
    <row r="185" spans="1:7" ht="63" hidden="1">
      <c r="A185" s="31" t="s">
        <v>323</v>
      </c>
      <c r="B185" s="42" t="s">
        <v>668</v>
      </c>
      <c r="C185" s="42" t="s">
        <v>315</v>
      </c>
      <c r="D185" s="42" t="s">
        <v>264</v>
      </c>
      <c r="E185" s="42" t="s">
        <v>324</v>
      </c>
      <c r="F185" s="42"/>
      <c r="G185" s="11">
        <f>G186</f>
        <v>0</v>
      </c>
    </row>
    <row r="186" spans="1:7" ht="15.75" hidden="1">
      <c r="A186" s="31" t="s">
        <v>325</v>
      </c>
      <c r="B186" s="42" t="s">
        <v>668</v>
      </c>
      <c r="C186" s="42" t="s">
        <v>315</v>
      </c>
      <c r="D186" s="42" t="s">
        <v>264</v>
      </c>
      <c r="E186" s="42" t="s">
        <v>326</v>
      </c>
      <c r="F186" s="42"/>
      <c r="G186" s="11"/>
    </row>
    <row r="187" spans="1:7" ht="47.25" hidden="1">
      <c r="A187" s="31" t="s">
        <v>455</v>
      </c>
      <c r="B187" s="42" t="s">
        <v>668</v>
      </c>
      <c r="C187" s="42" t="s">
        <v>315</v>
      </c>
      <c r="D187" s="42" t="s">
        <v>264</v>
      </c>
      <c r="E187" s="42"/>
      <c r="F187" s="42" t="s">
        <v>713</v>
      </c>
      <c r="G187" s="11">
        <v>0</v>
      </c>
    </row>
    <row r="188" spans="1:7" ht="45.75" customHeight="1">
      <c r="A188" s="43" t="s">
        <v>498</v>
      </c>
      <c r="B188" s="8" t="s">
        <v>499</v>
      </c>
      <c r="C188" s="8"/>
      <c r="D188" s="8"/>
      <c r="E188" s="8"/>
      <c r="F188" s="8"/>
      <c r="G188" s="68" t="e">
        <f>G189</f>
        <v>#REF!</v>
      </c>
    </row>
    <row r="189" spans="1:7" ht="21" customHeight="1">
      <c r="A189" s="31" t="s">
        <v>314</v>
      </c>
      <c r="B189" s="42" t="s">
        <v>499</v>
      </c>
      <c r="C189" s="42" t="s">
        <v>315</v>
      </c>
      <c r="D189" s="42"/>
      <c r="E189" s="42"/>
      <c r="F189" s="42"/>
      <c r="G189" s="11" t="e">
        <f>G190</f>
        <v>#REF!</v>
      </c>
    </row>
    <row r="190" spans="1:7" ht="22.5" customHeight="1">
      <c r="A190" s="31" t="s">
        <v>316</v>
      </c>
      <c r="B190" s="42" t="s">
        <v>499</v>
      </c>
      <c r="C190" s="42" t="s">
        <v>315</v>
      </c>
      <c r="D190" s="42" t="s">
        <v>266</v>
      </c>
      <c r="E190" s="42"/>
      <c r="F190" s="42"/>
      <c r="G190" s="11" t="e">
        <f>G191</f>
        <v>#REF!</v>
      </c>
    </row>
    <row r="191" spans="1:7" ht="31.5">
      <c r="A191" s="47" t="s">
        <v>788</v>
      </c>
      <c r="B191" s="21" t="s">
        <v>789</v>
      </c>
      <c r="C191" s="42" t="s">
        <v>315</v>
      </c>
      <c r="D191" s="42" t="s">
        <v>266</v>
      </c>
      <c r="E191" s="42"/>
      <c r="F191" s="42"/>
      <c r="G191" s="11" t="e">
        <f>G192</f>
        <v>#REF!</v>
      </c>
    </row>
    <row r="192" spans="1:7" ht="63">
      <c r="A192" s="31" t="s">
        <v>323</v>
      </c>
      <c r="B192" s="21" t="s">
        <v>789</v>
      </c>
      <c r="C192" s="42" t="s">
        <v>315</v>
      </c>
      <c r="D192" s="42" t="s">
        <v>266</v>
      </c>
      <c r="E192" s="42" t="s">
        <v>324</v>
      </c>
      <c r="F192" s="42"/>
      <c r="G192" s="11" t="e">
        <f>G193</f>
        <v>#REF!</v>
      </c>
    </row>
    <row r="193" spans="1:8" ht="15.75">
      <c r="A193" s="31" t="s">
        <v>325</v>
      </c>
      <c r="B193" s="21" t="s">
        <v>789</v>
      </c>
      <c r="C193" s="42" t="s">
        <v>315</v>
      </c>
      <c r="D193" s="42" t="s">
        <v>266</v>
      </c>
      <c r="E193" s="42" t="s">
        <v>326</v>
      </c>
      <c r="F193" s="42"/>
      <c r="G193" s="11" t="e">
        <f>#REF!</f>
        <v>#REF!</v>
      </c>
      <c r="H193" s="137"/>
    </row>
    <row r="194" spans="1:7" ht="47.25">
      <c r="A194" s="31" t="s">
        <v>455</v>
      </c>
      <c r="B194" s="21" t="s">
        <v>789</v>
      </c>
      <c r="C194" s="42" t="s">
        <v>315</v>
      </c>
      <c r="D194" s="42" t="s">
        <v>266</v>
      </c>
      <c r="E194" s="42"/>
      <c r="F194" s="42" t="s">
        <v>713</v>
      </c>
      <c r="G194" s="11" t="e">
        <f>G189</f>
        <v>#REF!</v>
      </c>
    </row>
    <row r="195" spans="1:7" ht="47.25" hidden="1">
      <c r="A195" s="31" t="s">
        <v>715</v>
      </c>
      <c r="B195" s="42" t="s">
        <v>669</v>
      </c>
      <c r="C195" s="42" t="s">
        <v>315</v>
      </c>
      <c r="D195" s="42" t="s">
        <v>264</v>
      </c>
      <c r="E195" s="42"/>
      <c r="F195" s="42"/>
      <c r="G195" s="11">
        <f>G199</f>
        <v>0</v>
      </c>
    </row>
    <row r="196" spans="1:7" ht="63" hidden="1">
      <c r="A196" s="31" t="s">
        <v>323</v>
      </c>
      <c r="B196" s="42" t="s">
        <v>669</v>
      </c>
      <c r="C196" s="42" t="s">
        <v>520</v>
      </c>
      <c r="D196" s="42" t="s">
        <v>716</v>
      </c>
      <c r="E196" s="42" t="s">
        <v>324</v>
      </c>
      <c r="F196" s="42"/>
      <c r="G196" s="11">
        <f>G197</f>
        <v>0</v>
      </c>
    </row>
    <row r="197" spans="1:7" ht="15.75" hidden="1">
      <c r="A197" s="31" t="s">
        <v>325</v>
      </c>
      <c r="B197" s="42" t="s">
        <v>669</v>
      </c>
      <c r="C197" s="42" t="s">
        <v>520</v>
      </c>
      <c r="D197" s="42" t="s">
        <v>716</v>
      </c>
      <c r="E197" s="42" t="s">
        <v>326</v>
      </c>
      <c r="F197" s="42"/>
      <c r="G197" s="11">
        <f>G198</f>
        <v>0</v>
      </c>
    </row>
    <row r="198" spans="1:7" ht="31.5" hidden="1">
      <c r="A198" s="31" t="s">
        <v>660</v>
      </c>
      <c r="B198" s="42" t="s">
        <v>669</v>
      </c>
      <c r="C198" s="42" t="s">
        <v>520</v>
      </c>
      <c r="D198" s="42" t="s">
        <v>716</v>
      </c>
      <c r="E198" s="42" t="s">
        <v>661</v>
      </c>
      <c r="F198" s="42"/>
      <c r="G198" s="11">
        <f>G199</f>
        <v>0</v>
      </c>
    </row>
    <row r="199" spans="1:7" ht="47.25" hidden="1">
      <c r="A199" s="31" t="s">
        <v>455</v>
      </c>
      <c r="B199" s="42" t="s">
        <v>669</v>
      </c>
      <c r="C199" s="42" t="s">
        <v>315</v>
      </c>
      <c r="D199" s="42" t="s">
        <v>264</v>
      </c>
      <c r="E199" s="42"/>
      <c r="F199" s="42" t="s">
        <v>713</v>
      </c>
      <c r="G199" s="11"/>
    </row>
    <row r="200" spans="1:7" ht="47.25" hidden="1">
      <c r="A200" s="31" t="s">
        <v>717</v>
      </c>
      <c r="B200" s="21" t="s">
        <v>500</v>
      </c>
      <c r="C200" s="42" t="s">
        <v>315</v>
      </c>
      <c r="D200" s="42" t="s">
        <v>264</v>
      </c>
      <c r="E200" s="42"/>
      <c r="F200" s="42"/>
      <c r="G200" s="11">
        <f>G201</f>
        <v>0</v>
      </c>
    </row>
    <row r="201" spans="1:7" ht="31.5" hidden="1">
      <c r="A201" s="31" t="s">
        <v>331</v>
      </c>
      <c r="B201" s="21" t="s">
        <v>500</v>
      </c>
      <c r="C201" s="42" t="s">
        <v>315</v>
      </c>
      <c r="D201" s="42" t="s">
        <v>264</v>
      </c>
      <c r="E201" s="42" t="s">
        <v>324</v>
      </c>
      <c r="F201" s="42"/>
      <c r="G201" s="11">
        <f>G202</f>
        <v>0</v>
      </c>
    </row>
    <row r="202" spans="1:7" ht="15.75" hidden="1">
      <c r="A202" s="31" t="s">
        <v>325</v>
      </c>
      <c r="B202" s="21" t="s">
        <v>500</v>
      </c>
      <c r="C202" s="42" t="s">
        <v>315</v>
      </c>
      <c r="D202" s="42" t="s">
        <v>264</v>
      </c>
      <c r="E202" s="42" t="s">
        <v>326</v>
      </c>
      <c r="F202" s="42"/>
      <c r="G202" s="11"/>
    </row>
    <row r="203" spans="1:7" ht="31.5" hidden="1">
      <c r="A203" s="31" t="s">
        <v>660</v>
      </c>
      <c r="B203" s="21" t="s">
        <v>500</v>
      </c>
      <c r="C203" s="42" t="s">
        <v>315</v>
      </c>
      <c r="D203" s="42" t="s">
        <v>264</v>
      </c>
      <c r="E203" s="42" t="s">
        <v>661</v>
      </c>
      <c r="F203" s="42"/>
      <c r="G203" s="11"/>
    </row>
    <row r="204" spans="1:7" ht="47.25" hidden="1">
      <c r="A204" s="31" t="s">
        <v>455</v>
      </c>
      <c r="B204" s="21" t="s">
        <v>500</v>
      </c>
      <c r="C204" s="42" t="s">
        <v>315</v>
      </c>
      <c r="D204" s="42" t="s">
        <v>264</v>
      </c>
      <c r="E204" s="42"/>
      <c r="F204" s="42" t="s">
        <v>713</v>
      </c>
      <c r="G204" s="7">
        <f>G200</f>
        <v>0</v>
      </c>
    </row>
    <row r="205" spans="1:7" ht="47.25" hidden="1">
      <c r="A205" s="31" t="s">
        <v>666</v>
      </c>
      <c r="B205" s="42" t="s">
        <v>501</v>
      </c>
      <c r="C205" s="42" t="s">
        <v>315</v>
      </c>
      <c r="D205" s="42" t="s">
        <v>264</v>
      </c>
      <c r="E205" s="42"/>
      <c r="F205" s="42"/>
      <c r="G205" s="11">
        <f>G206</f>
        <v>0</v>
      </c>
    </row>
    <row r="206" spans="1:7" ht="63" hidden="1">
      <c r="A206" s="31" t="s">
        <v>323</v>
      </c>
      <c r="B206" s="42" t="s">
        <v>501</v>
      </c>
      <c r="C206" s="42" t="s">
        <v>315</v>
      </c>
      <c r="D206" s="42" t="s">
        <v>264</v>
      </c>
      <c r="E206" s="42" t="s">
        <v>324</v>
      </c>
      <c r="F206" s="42"/>
      <c r="G206" s="11">
        <f>G207</f>
        <v>0</v>
      </c>
    </row>
    <row r="207" spans="1:7" ht="15.75" hidden="1">
      <c r="A207" s="31" t="s">
        <v>325</v>
      </c>
      <c r="B207" s="42" t="s">
        <v>501</v>
      </c>
      <c r="C207" s="42" t="s">
        <v>315</v>
      </c>
      <c r="D207" s="42" t="s">
        <v>264</v>
      </c>
      <c r="E207" s="42" t="s">
        <v>326</v>
      </c>
      <c r="F207" s="42" t="s">
        <v>713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519</v>
      </c>
      <c r="B210" s="8" t="s">
        <v>521</v>
      </c>
      <c r="C210" s="8"/>
      <c r="D210" s="8"/>
      <c r="E210" s="8"/>
      <c r="F210" s="8"/>
      <c r="G210" s="68" t="e">
        <f>G211</f>
        <v>#REF!</v>
      </c>
    </row>
    <row r="211" spans="1:7" ht="15.75">
      <c r="A211" s="31" t="s">
        <v>314</v>
      </c>
      <c r="B211" s="42" t="s">
        <v>521</v>
      </c>
      <c r="C211" s="42" t="s">
        <v>315</v>
      </c>
      <c r="D211" s="42"/>
      <c r="E211" s="42"/>
      <c r="F211" s="42"/>
      <c r="G211" s="11" t="e">
        <f>G212</f>
        <v>#REF!</v>
      </c>
    </row>
    <row r="212" spans="1:7" ht="31.5">
      <c r="A212" s="31" t="s">
        <v>518</v>
      </c>
      <c r="B212" s="42" t="s">
        <v>521</v>
      </c>
      <c r="C212" s="42" t="s">
        <v>315</v>
      </c>
      <c r="D212" s="42" t="s">
        <v>315</v>
      </c>
      <c r="E212" s="42"/>
      <c r="F212" s="42"/>
      <c r="G212" s="11" t="e">
        <f>G213</f>
        <v>#REF!</v>
      </c>
    </row>
    <row r="213" spans="1:7" ht="47.25">
      <c r="A213" s="26" t="s">
        <v>673</v>
      </c>
      <c r="B213" s="21" t="s">
        <v>523</v>
      </c>
      <c r="C213" s="42" t="s">
        <v>315</v>
      </c>
      <c r="D213" s="42" t="s">
        <v>315</v>
      </c>
      <c r="E213" s="42"/>
      <c r="F213" s="42"/>
      <c r="G213" s="11" t="e">
        <f>G214</f>
        <v>#REF!</v>
      </c>
    </row>
    <row r="214" spans="1:7" ht="63">
      <c r="A214" s="31" t="s">
        <v>323</v>
      </c>
      <c r="B214" s="21" t="s">
        <v>523</v>
      </c>
      <c r="C214" s="42" t="s">
        <v>315</v>
      </c>
      <c r="D214" s="42" t="s">
        <v>315</v>
      </c>
      <c r="E214" s="42" t="s">
        <v>324</v>
      </c>
      <c r="F214" s="42"/>
      <c r="G214" s="11" t="e">
        <f>G215</f>
        <v>#REF!</v>
      </c>
    </row>
    <row r="215" spans="1:7" ht="15.75">
      <c r="A215" s="31" t="s">
        <v>325</v>
      </c>
      <c r="B215" s="21" t="s">
        <v>523</v>
      </c>
      <c r="C215" s="42" t="s">
        <v>315</v>
      </c>
      <c r="D215" s="42" t="s">
        <v>315</v>
      </c>
      <c r="E215" s="42" t="s">
        <v>326</v>
      </c>
      <c r="F215" s="42"/>
      <c r="G215" s="11" t="e">
        <f>#REF!</f>
        <v>#REF!</v>
      </c>
    </row>
    <row r="216" spans="1:7" ht="47.25">
      <c r="A216" s="31" t="s">
        <v>455</v>
      </c>
      <c r="B216" s="21" t="s">
        <v>521</v>
      </c>
      <c r="C216" s="42" t="s">
        <v>315</v>
      </c>
      <c r="D216" s="42" t="s">
        <v>315</v>
      </c>
      <c r="E216" s="42"/>
      <c r="F216" s="42" t="s">
        <v>713</v>
      </c>
      <c r="G216" s="11" t="e">
        <f>G210</f>
        <v>#REF!</v>
      </c>
    </row>
    <row r="217" spans="1:7" ht="78.75">
      <c r="A217" s="64" t="s">
        <v>206</v>
      </c>
      <c r="B217" s="206" t="s">
        <v>207</v>
      </c>
      <c r="C217" s="8"/>
      <c r="D217" s="206"/>
      <c r="E217" s="206"/>
      <c r="F217" s="206"/>
      <c r="G217" s="68" t="e">
        <f>G220</f>
        <v>#REF!</v>
      </c>
    </row>
    <row r="218" spans="1:7" ht="15.75">
      <c r="A218" s="47" t="s">
        <v>168</v>
      </c>
      <c r="B218" s="6" t="s">
        <v>207</v>
      </c>
      <c r="C218" s="42" t="s">
        <v>169</v>
      </c>
      <c r="D218" s="6"/>
      <c r="E218" s="6"/>
      <c r="F218" s="6"/>
      <c r="G218" s="11" t="e">
        <f>G219</f>
        <v>#REF!</v>
      </c>
    </row>
    <row r="219" spans="1:7" ht="31.5">
      <c r="A219" s="79" t="s">
        <v>190</v>
      </c>
      <c r="B219" s="78" t="s">
        <v>207</v>
      </c>
      <c r="C219" s="42" t="s">
        <v>169</v>
      </c>
      <c r="D219" s="78">
        <v>13</v>
      </c>
      <c r="E219" s="78"/>
      <c r="F219" s="78"/>
      <c r="G219" s="11" t="e">
        <f>G220</f>
        <v>#REF!</v>
      </c>
    </row>
    <row r="220" spans="1:7" ht="47.25">
      <c r="A220" s="31" t="s">
        <v>208</v>
      </c>
      <c r="B220" s="78" t="s">
        <v>209</v>
      </c>
      <c r="C220" s="42" t="s">
        <v>169</v>
      </c>
      <c r="D220" s="42" t="s">
        <v>191</v>
      </c>
      <c r="E220" s="42"/>
      <c r="F220" s="42"/>
      <c r="G220" s="11" t="e">
        <f>G221</f>
        <v>#REF!</v>
      </c>
    </row>
    <row r="221" spans="1:7" ht="47.25">
      <c r="A221" s="31" t="s">
        <v>182</v>
      </c>
      <c r="B221" s="78" t="s">
        <v>209</v>
      </c>
      <c r="C221" s="42" t="s">
        <v>169</v>
      </c>
      <c r="D221" s="42" t="s">
        <v>191</v>
      </c>
      <c r="E221" s="42" t="s">
        <v>196</v>
      </c>
      <c r="F221" s="42"/>
      <c r="G221" s="11" t="e">
        <f>G222</f>
        <v>#REF!</v>
      </c>
    </row>
    <row r="222" spans="1:7" ht="78.75">
      <c r="A222" s="31" t="s">
        <v>235</v>
      </c>
      <c r="B222" s="78" t="s">
        <v>209</v>
      </c>
      <c r="C222" s="42" t="s">
        <v>169</v>
      </c>
      <c r="D222" s="42" t="s">
        <v>191</v>
      </c>
      <c r="E222" s="42" t="s">
        <v>211</v>
      </c>
      <c r="F222" s="42"/>
      <c r="G222" s="11" t="e">
        <f>#REF!</f>
        <v>#REF!</v>
      </c>
    </row>
    <row r="223" spans="1:7" ht="31.5">
      <c r="A223" s="31" t="s">
        <v>199</v>
      </c>
      <c r="B223" s="78" t="s">
        <v>207</v>
      </c>
      <c r="C223" s="42" t="s">
        <v>169</v>
      </c>
      <c r="D223" s="42" t="s">
        <v>191</v>
      </c>
      <c r="E223" s="42"/>
      <c r="F223" s="42" t="s">
        <v>718</v>
      </c>
      <c r="G223" s="11" t="e">
        <f>G217</f>
        <v>#REF!</v>
      </c>
    </row>
    <row r="224" spans="1:7" ht="73.5" customHeight="1">
      <c r="A224" s="43" t="s">
        <v>212</v>
      </c>
      <c r="B224" s="206" t="s">
        <v>213</v>
      </c>
      <c r="C224" s="8"/>
      <c r="D224" s="8"/>
      <c r="E224" s="8"/>
      <c r="F224" s="8"/>
      <c r="G224" s="68" t="e">
        <f>G225</f>
        <v>#REF!</v>
      </c>
    </row>
    <row r="225" spans="1:7" ht="15.75">
      <c r="A225" s="47" t="s">
        <v>168</v>
      </c>
      <c r="B225" s="6" t="s">
        <v>213</v>
      </c>
      <c r="C225" s="42" t="s">
        <v>169</v>
      </c>
      <c r="D225" s="6"/>
      <c r="E225" s="6"/>
      <c r="F225" s="42"/>
      <c r="G225" s="11" t="e">
        <f>G226</f>
        <v>#REF!</v>
      </c>
    </row>
    <row r="226" spans="1:7" ht="31.5">
      <c r="A226" s="79" t="s">
        <v>190</v>
      </c>
      <c r="B226" s="78" t="s">
        <v>213</v>
      </c>
      <c r="C226" s="42" t="s">
        <v>169</v>
      </c>
      <c r="D226" s="78">
        <v>13</v>
      </c>
      <c r="E226" s="78"/>
      <c r="F226" s="42"/>
      <c r="G226" s="11" t="e">
        <f>G227+G230+G235+G238</f>
        <v>#REF!</v>
      </c>
    </row>
    <row r="227" spans="1:7" ht="31.5">
      <c r="A227" s="31" t="s">
        <v>214</v>
      </c>
      <c r="B227" s="42" t="s">
        <v>215</v>
      </c>
      <c r="C227" s="42" t="s">
        <v>169</v>
      </c>
      <c r="D227" s="42" t="s">
        <v>191</v>
      </c>
      <c r="E227" s="42"/>
      <c r="F227" s="42"/>
      <c r="G227" s="11" t="e">
        <f>G228</f>
        <v>#REF!</v>
      </c>
    </row>
    <row r="228" spans="1:7" ht="47.25">
      <c r="A228" s="31" t="s">
        <v>182</v>
      </c>
      <c r="B228" s="42" t="s">
        <v>215</v>
      </c>
      <c r="C228" s="42" t="s">
        <v>169</v>
      </c>
      <c r="D228" s="42" t="s">
        <v>191</v>
      </c>
      <c r="E228" s="42" t="s">
        <v>183</v>
      </c>
      <c r="F228" s="42"/>
      <c r="G228" s="11" t="e">
        <f>G229</f>
        <v>#REF!</v>
      </c>
    </row>
    <row r="229" spans="1:7" ht="47.25">
      <c r="A229" s="31" t="s">
        <v>184</v>
      </c>
      <c r="B229" s="42" t="s">
        <v>215</v>
      </c>
      <c r="C229" s="42" t="s">
        <v>169</v>
      </c>
      <c r="D229" s="42" t="s">
        <v>191</v>
      </c>
      <c r="E229" s="42" t="s">
        <v>185</v>
      </c>
      <c r="F229" s="42"/>
      <c r="G229" s="11" t="e">
        <f>#REF!</f>
        <v>#REF!</v>
      </c>
    </row>
    <row r="230" spans="1:7" ht="78.75">
      <c r="A230" s="121" t="s">
        <v>216</v>
      </c>
      <c r="B230" s="42" t="s">
        <v>217</v>
      </c>
      <c r="C230" s="42" t="s">
        <v>169</v>
      </c>
      <c r="D230" s="42" t="s">
        <v>191</v>
      </c>
      <c r="E230" s="42"/>
      <c r="F230" s="42"/>
      <c r="G230" s="11" t="e">
        <f>G231+G233</f>
        <v>#REF!</v>
      </c>
    </row>
    <row r="231" spans="1:7" ht="110.25">
      <c r="A231" s="31" t="s">
        <v>178</v>
      </c>
      <c r="B231" s="42" t="s">
        <v>217</v>
      </c>
      <c r="C231" s="42" t="s">
        <v>169</v>
      </c>
      <c r="D231" s="42" t="s">
        <v>191</v>
      </c>
      <c r="E231" s="42" t="s">
        <v>179</v>
      </c>
      <c r="F231" s="42"/>
      <c r="G231" s="11" t="e">
        <f>G232</f>
        <v>#REF!</v>
      </c>
    </row>
    <row r="232" spans="1:7" ht="47.25">
      <c r="A232" s="31" t="s">
        <v>180</v>
      </c>
      <c r="B232" s="42" t="s">
        <v>217</v>
      </c>
      <c r="C232" s="42" t="s">
        <v>169</v>
      </c>
      <c r="D232" s="42" t="s">
        <v>191</v>
      </c>
      <c r="E232" s="42" t="s">
        <v>181</v>
      </c>
      <c r="F232" s="42"/>
      <c r="G232" s="11" t="e">
        <f>#REF!</f>
        <v>#REF!</v>
      </c>
    </row>
    <row r="233" spans="1:7" ht="47.25">
      <c r="A233" s="31" t="s">
        <v>182</v>
      </c>
      <c r="B233" s="42" t="s">
        <v>217</v>
      </c>
      <c r="C233" s="42" t="s">
        <v>169</v>
      </c>
      <c r="D233" s="42" t="s">
        <v>191</v>
      </c>
      <c r="E233" s="42" t="s">
        <v>183</v>
      </c>
      <c r="F233" s="42"/>
      <c r="G233" s="11" t="e">
        <f>G234</f>
        <v>#REF!</v>
      </c>
    </row>
    <row r="234" spans="1:7" ht="47.25">
      <c r="A234" s="31" t="s">
        <v>184</v>
      </c>
      <c r="B234" s="42" t="s">
        <v>217</v>
      </c>
      <c r="C234" s="42" t="s">
        <v>169</v>
      </c>
      <c r="D234" s="42" t="s">
        <v>191</v>
      </c>
      <c r="E234" s="42" t="s">
        <v>185</v>
      </c>
      <c r="F234" s="42"/>
      <c r="G234" s="11" t="e">
        <f>#REF!</f>
        <v>#REF!</v>
      </c>
    </row>
    <row r="235" spans="1:7" ht="63">
      <c r="A235" s="33" t="s">
        <v>773</v>
      </c>
      <c r="B235" s="42" t="s">
        <v>774</v>
      </c>
      <c r="C235" s="42" t="s">
        <v>169</v>
      </c>
      <c r="D235" s="42" t="s">
        <v>191</v>
      </c>
      <c r="E235" s="42"/>
      <c r="F235" s="42"/>
      <c r="G235" s="11" t="e">
        <f>G236</f>
        <v>#REF!</v>
      </c>
    </row>
    <row r="236" spans="1:7" ht="47.25">
      <c r="A236" s="26" t="s">
        <v>182</v>
      </c>
      <c r="B236" s="42" t="s">
        <v>774</v>
      </c>
      <c r="C236" s="42" t="s">
        <v>169</v>
      </c>
      <c r="D236" s="42" t="s">
        <v>191</v>
      </c>
      <c r="E236" s="42" t="s">
        <v>183</v>
      </c>
      <c r="F236" s="42"/>
      <c r="G236" s="11" t="e">
        <f>G237</f>
        <v>#REF!</v>
      </c>
    </row>
    <row r="237" spans="1:7" ht="47.25">
      <c r="A237" s="26" t="s">
        <v>184</v>
      </c>
      <c r="B237" s="42" t="s">
        <v>774</v>
      </c>
      <c r="C237" s="42" t="s">
        <v>169</v>
      </c>
      <c r="D237" s="42" t="s">
        <v>191</v>
      </c>
      <c r="E237" s="42" t="s">
        <v>185</v>
      </c>
      <c r="F237" s="42"/>
      <c r="G237" s="11" t="e">
        <f>#REF!</f>
        <v>#REF!</v>
      </c>
    </row>
    <row r="238" spans="1:7" ht="63">
      <c r="A238" s="35" t="s">
        <v>242</v>
      </c>
      <c r="B238" s="42" t="s">
        <v>760</v>
      </c>
      <c r="C238" s="42" t="s">
        <v>169</v>
      </c>
      <c r="D238" s="42" t="s">
        <v>191</v>
      </c>
      <c r="E238" s="42"/>
      <c r="F238" s="42"/>
      <c r="G238" s="11" t="e">
        <f>G239</f>
        <v>#REF!</v>
      </c>
    </row>
    <row r="239" spans="1:7" ht="47.25">
      <c r="A239" s="26" t="s">
        <v>182</v>
      </c>
      <c r="B239" s="42" t="s">
        <v>760</v>
      </c>
      <c r="C239" s="42" t="s">
        <v>169</v>
      </c>
      <c r="D239" s="42" t="s">
        <v>191</v>
      </c>
      <c r="E239" s="42" t="s">
        <v>183</v>
      </c>
      <c r="F239" s="42"/>
      <c r="G239" s="11" t="e">
        <f>G240</f>
        <v>#REF!</v>
      </c>
    </row>
    <row r="240" spans="1:7" ht="47.25">
      <c r="A240" s="26" t="s">
        <v>184</v>
      </c>
      <c r="B240" s="42" t="s">
        <v>760</v>
      </c>
      <c r="C240" s="42" t="s">
        <v>169</v>
      </c>
      <c r="D240" s="42" t="s">
        <v>191</v>
      </c>
      <c r="E240" s="42" t="s">
        <v>185</v>
      </c>
      <c r="F240" s="42"/>
      <c r="G240" s="11" t="e">
        <f>#REF!</f>
        <v>#REF!</v>
      </c>
    </row>
    <row r="241" spans="1:7" ht="31.5">
      <c r="A241" s="31" t="s">
        <v>199</v>
      </c>
      <c r="B241" s="42" t="s">
        <v>213</v>
      </c>
      <c r="C241" s="42" t="s">
        <v>169</v>
      </c>
      <c r="D241" s="42" t="s">
        <v>191</v>
      </c>
      <c r="E241" s="42"/>
      <c r="F241" s="42" t="s">
        <v>718</v>
      </c>
      <c r="G241" s="11" t="e">
        <f>G224</f>
        <v>#REF!</v>
      </c>
    </row>
    <row r="242" spans="1:7" ht="94.5">
      <c r="A242" s="43" t="s">
        <v>304</v>
      </c>
      <c r="B242" s="206" t="s">
        <v>305</v>
      </c>
      <c r="C242" s="42"/>
      <c r="D242" s="42"/>
      <c r="E242" s="42"/>
      <c r="F242" s="42"/>
      <c r="G242" s="68" t="e">
        <f>G243</f>
        <v>#REF!</v>
      </c>
    </row>
    <row r="243" spans="1:7" ht="15.75">
      <c r="A243" s="31" t="s">
        <v>294</v>
      </c>
      <c r="B243" s="6" t="s">
        <v>305</v>
      </c>
      <c r="C243" s="42" t="s">
        <v>295</v>
      </c>
      <c r="D243" s="42"/>
      <c r="E243" s="42"/>
      <c r="F243" s="42"/>
      <c r="G243" s="11" t="e">
        <f>G244</f>
        <v>#REF!</v>
      </c>
    </row>
    <row r="244" spans="1:7" ht="22.5" customHeight="1">
      <c r="A244" s="31" t="s">
        <v>303</v>
      </c>
      <c r="B244" s="6" t="s">
        <v>305</v>
      </c>
      <c r="C244" s="42" t="s">
        <v>295</v>
      </c>
      <c r="D244" s="42" t="s">
        <v>266</v>
      </c>
      <c r="E244" s="42"/>
      <c r="F244" s="42"/>
      <c r="G244" s="11" t="e">
        <f>G245</f>
        <v>#REF!</v>
      </c>
    </row>
    <row r="245" spans="1:7" ht="47.25">
      <c r="A245" s="31" t="s">
        <v>208</v>
      </c>
      <c r="B245" s="78" t="s">
        <v>306</v>
      </c>
      <c r="C245" s="42" t="s">
        <v>295</v>
      </c>
      <c r="D245" s="42" t="s">
        <v>266</v>
      </c>
      <c r="E245" s="42"/>
      <c r="F245" s="42"/>
      <c r="G245" s="11" t="e">
        <f>G246</f>
        <v>#REF!</v>
      </c>
    </row>
    <row r="246" spans="1:7" ht="38.25" customHeight="1">
      <c r="A246" s="31" t="s">
        <v>299</v>
      </c>
      <c r="B246" s="78" t="s">
        <v>306</v>
      </c>
      <c r="C246" s="42" t="s">
        <v>295</v>
      </c>
      <c r="D246" s="42" t="s">
        <v>266</v>
      </c>
      <c r="E246" s="42" t="s">
        <v>300</v>
      </c>
      <c r="F246" s="42"/>
      <c r="G246" s="11" t="e">
        <f>G247</f>
        <v>#REF!</v>
      </c>
    </row>
    <row r="247" spans="1:7" ht="47.25">
      <c r="A247" s="31" t="s">
        <v>301</v>
      </c>
      <c r="B247" s="78" t="s">
        <v>306</v>
      </c>
      <c r="C247" s="42" t="s">
        <v>295</v>
      </c>
      <c r="D247" s="42" t="s">
        <v>266</v>
      </c>
      <c r="E247" s="42" t="s">
        <v>302</v>
      </c>
      <c r="F247" s="42"/>
      <c r="G247" s="11" t="e">
        <f>#REF!</f>
        <v>#REF!</v>
      </c>
    </row>
    <row r="248" spans="1:7" ht="31.5">
      <c r="A248" s="47" t="s">
        <v>199</v>
      </c>
      <c r="B248" s="78" t="s">
        <v>305</v>
      </c>
      <c r="C248" s="42" t="s">
        <v>295</v>
      </c>
      <c r="D248" s="42" t="s">
        <v>266</v>
      </c>
      <c r="E248" s="42"/>
      <c r="F248" s="42" t="s">
        <v>718</v>
      </c>
      <c r="G248" s="11" t="e">
        <f>G242</f>
        <v>#REF!</v>
      </c>
    </row>
    <row r="249" spans="1:7" ht="141.75">
      <c r="A249" s="43" t="s">
        <v>652</v>
      </c>
      <c r="B249" s="206" t="s">
        <v>219</v>
      </c>
      <c r="C249" s="8"/>
      <c r="D249" s="8"/>
      <c r="E249" s="8"/>
      <c r="F249" s="8"/>
      <c r="G249" s="68" t="e">
        <f>G250+G257+G264</f>
        <v>#REF!</v>
      </c>
    </row>
    <row r="250" spans="1:7" ht="110.25">
      <c r="A250" s="43" t="s">
        <v>220</v>
      </c>
      <c r="B250" s="206" t="s">
        <v>221</v>
      </c>
      <c r="C250" s="8"/>
      <c r="D250" s="8"/>
      <c r="E250" s="8"/>
      <c r="F250" s="8"/>
      <c r="G250" s="68" t="e">
        <f>G251</f>
        <v>#REF!</v>
      </c>
    </row>
    <row r="251" spans="1:7" ht="15.75">
      <c r="A251" s="47" t="s">
        <v>168</v>
      </c>
      <c r="B251" s="6" t="s">
        <v>221</v>
      </c>
      <c r="C251" s="42" t="s">
        <v>169</v>
      </c>
      <c r="D251" s="42"/>
      <c r="E251" s="42"/>
      <c r="F251" s="42"/>
      <c r="G251" s="11" t="e">
        <f>G252</f>
        <v>#REF!</v>
      </c>
    </row>
    <row r="252" spans="1:7" ht="33.75" customHeight="1">
      <c r="A252" s="79" t="s">
        <v>190</v>
      </c>
      <c r="B252" s="6" t="s">
        <v>221</v>
      </c>
      <c r="C252" s="42" t="s">
        <v>169</v>
      </c>
      <c r="D252" s="42" t="s">
        <v>191</v>
      </c>
      <c r="E252" s="42"/>
      <c r="F252" s="42"/>
      <c r="G252" s="11" t="e">
        <f>G253</f>
        <v>#REF!</v>
      </c>
    </row>
    <row r="253" spans="1:7" ht="47.25">
      <c r="A253" s="121" t="s">
        <v>222</v>
      </c>
      <c r="B253" s="6" t="s">
        <v>223</v>
      </c>
      <c r="C253" s="42" t="s">
        <v>169</v>
      </c>
      <c r="D253" s="42" t="s">
        <v>191</v>
      </c>
      <c r="E253" s="42"/>
      <c r="F253" s="42"/>
      <c r="G253" s="11" t="e">
        <f>G254</f>
        <v>#REF!</v>
      </c>
    </row>
    <row r="254" spans="1:7" ht="47.25">
      <c r="A254" s="31" t="s">
        <v>182</v>
      </c>
      <c r="B254" s="6" t="s">
        <v>223</v>
      </c>
      <c r="C254" s="42" t="s">
        <v>169</v>
      </c>
      <c r="D254" s="42" t="s">
        <v>191</v>
      </c>
      <c r="E254" s="42" t="s">
        <v>183</v>
      </c>
      <c r="F254" s="42"/>
      <c r="G254" s="11" t="e">
        <f>G255</f>
        <v>#REF!</v>
      </c>
    </row>
    <row r="255" spans="1:7" ht="47.25">
      <c r="A255" s="31" t="s">
        <v>184</v>
      </c>
      <c r="B255" s="6" t="s">
        <v>223</v>
      </c>
      <c r="C255" s="42" t="s">
        <v>169</v>
      </c>
      <c r="D255" s="42" t="s">
        <v>191</v>
      </c>
      <c r="E255" s="42" t="s">
        <v>185</v>
      </c>
      <c r="F255" s="42"/>
      <c r="G255" s="11" t="e">
        <f>#REF!</f>
        <v>#REF!</v>
      </c>
    </row>
    <row r="256" spans="1:7" ht="31.5">
      <c r="A256" s="31" t="s">
        <v>199</v>
      </c>
      <c r="B256" s="6" t="s">
        <v>221</v>
      </c>
      <c r="C256" s="42" t="s">
        <v>169</v>
      </c>
      <c r="D256" s="42" t="s">
        <v>191</v>
      </c>
      <c r="E256" s="42"/>
      <c r="F256" s="42" t="s">
        <v>718</v>
      </c>
      <c r="G256" s="7" t="e">
        <f>G250</f>
        <v>#REF!</v>
      </c>
    </row>
    <row r="257" spans="1:7" ht="94.5">
      <c r="A257" s="43" t="s">
        <v>224</v>
      </c>
      <c r="B257" s="206" t="s">
        <v>225</v>
      </c>
      <c r="C257" s="8"/>
      <c r="D257" s="8"/>
      <c r="E257" s="8"/>
      <c r="F257" s="8"/>
      <c r="G257" s="68" t="e">
        <f>G258</f>
        <v>#REF!</v>
      </c>
    </row>
    <row r="258" spans="1:7" ht="15.75">
      <c r="A258" s="47" t="s">
        <v>168</v>
      </c>
      <c r="B258" s="6" t="s">
        <v>225</v>
      </c>
      <c r="C258" s="42" t="s">
        <v>169</v>
      </c>
      <c r="D258" s="42"/>
      <c r="E258" s="42"/>
      <c r="F258" s="42"/>
      <c r="G258" s="7" t="e">
        <f>G259</f>
        <v>#REF!</v>
      </c>
    </row>
    <row r="259" spans="1:7" ht="31.5">
      <c r="A259" s="79" t="s">
        <v>190</v>
      </c>
      <c r="B259" s="6" t="s">
        <v>225</v>
      </c>
      <c r="C259" s="42" t="s">
        <v>169</v>
      </c>
      <c r="D259" s="42" t="s">
        <v>191</v>
      </c>
      <c r="E259" s="42"/>
      <c r="F259" s="42"/>
      <c r="G259" s="7" t="e">
        <f>G260</f>
        <v>#REF!</v>
      </c>
    </row>
    <row r="260" spans="1:7" ht="31.5">
      <c r="A260" s="47" t="s">
        <v>226</v>
      </c>
      <c r="B260" s="6" t="s">
        <v>227</v>
      </c>
      <c r="C260" s="10" t="s">
        <v>169</v>
      </c>
      <c r="D260" s="10" t="s">
        <v>191</v>
      </c>
      <c r="E260" s="10"/>
      <c r="F260" s="27"/>
      <c r="G260" s="27" t="e">
        <f>G261</f>
        <v>#REF!</v>
      </c>
    </row>
    <row r="261" spans="1:7" ht="47.25">
      <c r="A261" s="26" t="s">
        <v>182</v>
      </c>
      <c r="B261" s="6" t="s">
        <v>227</v>
      </c>
      <c r="C261" s="10" t="s">
        <v>169</v>
      </c>
      <c r="D261" s="10" t="s">
        <v>191</v>
      </c>
      <c r="E261" s="10" t="s">
        <v>183</v>
      </c>
      <c r="F261" s="27"/>
      <c r="G261" s="27" t="e">
        <f>G262</f>
        <v>#REF!</v>
      </c>
    </row>
    <row r="262" spans="1:7" ht="47.25">
      <c r="A262" s="26" t="s">
        <v>184</v>
      </c>
      <c r="B262" s="6" t="s">
        <v>227</v>
      </c>
      <c r="C262" s="10" t="s">
        <v>169</v>
      </c>
      <c r="D262" s="10" t="s">
        <v>191</v>
      </c>
      <c r="E262" s="10" t="s">
        <v>185</v>
      </c>
      <c r="F262" s="27"/>
      <c r="G262" s="27" t="e">
        <f>#REF!</f>
        <v>#REF!</v>
      </c>
    </row>
    <row r="263" spans="1:7" ht="31.5">
      <c r="A263" s="31" t="s">
        <v>199</v>
      </c>
      <c r="B263" s="6" t="s">
        <v>225</v>
      </c>
      <c r="C263" s="42" t="s">
        <v>169</v>
      </c>
      <c r="D263" s="42" t="s">
        <v>191</v>
      </c>
      <c r="E263" s="42"/>
      <c r="F263" s="42" t="s">
        <v>718</v>
      </c>
      <c r="G263" s="7" t="e">
        <f>G257</f>
        <v>#REF!</v>
      </c>
    </row>
    <row r="264" spans="1:7" ht="63">
      <c r="A264" s="24" t="s">
        <v>228</v>
      </c>
      <c r="B264" s="206" t="s">
        <v>229</v>
      </c>
      <c r="C264" s="8"/>
      <c r="D264" s="8"/>
      <c r="E264" s="8"/>
      <c r="F264" s="8"/>
      <c r="G264" s="68" t="e">
        <f>G265</f>
        <v>#REF!</v>
      </c>
    </row>
    <row r="265" spans="1:7" ht="15.75">
      <c r="A265" s="47" t="s">
        <v>168</v>
      </c>
      <c r="B265" s="6" t="s">
        <v>229</v>
      </c>
      <c r="C265" s="42" t="s">
        <v>169</v>
      </c>
      <c r="D265" s="42"/>
      <c r="E265" s="42"/>
      <c r="F265" s="42"/>
      <c r="G265" s="11" t="e">
        <f>G266</f>
        <v>#REF!</v>
      </c>
    </row>
    <row r="266" spans="1:7" ht="31.5">
      <c r="A266" s="79" t="s">
        <v>190</v>
      </c>
      <c r="B266" s="6" t="s">
        <v>229</v>
      </c>
      <c r="C266" s="42" t="s">
        <v>169</v>
      </c>
      <c r="D266" s="42" t="s">
        <v>191</v>
      </c>
      <c r="E266" s="42"/>
      <c r="F266" s="42"/>
      <c r="G266" s="11" t="e">
        <f>G267</f>
        <v>#REF!</v>
      </c>
    </row>
    <row r="267" spans="1:7" ht="32.25" customHeight="1">
      <c r="A267" s="47" t="s">
        <v>230</v>
      </c>
      <c r="B267" s="6" t="s">
        <v>231</v>
      </c>
      <c r="C267" s="42" t="s">
        <v>169</v>
      </c>
      <c r="D267" s="42" t="s">
        <v>191</v>
      </c>
      <c r="E267" s="42"/>
      <c r="F267" s="42"/>
      <c r="G267" s="11" t="e">
        <f>G268</f>
        <v>#REF!</v>
      </c>
    </row>
    <row r="268" spans="1:7" ht="47.25">
      <c r="A268" s="31" t="s">
        <v>182</v>
      </c>
      <c r="B268" s="6" t="s">
        <v>231</v>
      </c>
      <c r="C268" s="42" t="s">
        <v>169</v>
      </c>
      <c r="D268" s="42" t="s">
        <v>191</v>
      </c>
      <c r="E268" s="42" t="s">
        <v>183</v>
      </c>
      <c r="F268" s="42"/>
      <c r="G268" s="11" t="e">
        <f>G269</f>
        <v>#REF!</v>
      </c>
    </row>
    <row r="269" spans="1:7" ht="47.25">
      <c r="A269" s="31" t="s">
        <v>184</v>
      </c>
      <c r="B269" s="6" t="s">
        <v>231</v>
      </c>
      <c r="C269" s="42" t="s">
        <v>169</v>
      </c>
      <c r="D269" s="42" t="s">
        <v>191</v>
      </c>
      <c r="E269" s="42" t="s">
        <v>185</v>
      </c>
      <c r="F269" s="42"/>
      <c r="G269" s="11" t="e">
        <f>#REF!</f>
        <v>#REF!</v>
      </c>
    </row>
    <row r="270" spans="1:7" ht="31.5">
      <c r="A270" s="31" t="s">
        <v>199</v>
      </c>
      <c r="B270" s="6" t="s">
        <v>229</v>
      </c>
      <c r="C270" s="42" t="s">
        <v>169</v>
      </c>
      <c r="D270" s="42" t="s">
        <v>191</v>
      </c>
      <c r="E270" s="42"/>
      <c r="F270" s="42" t="s">
        <v>718</v>
      </c>
      <c r="G270" s="11" t="e">
        <f>G264</f>
        <v>#REF!</v>
      </c>
    </row>
    <row r="271" spans="1:7" ht="69" customHeight="1">
      <c r="A271" s="43" t="s">
        <v>533</v>
      </c>
      <c r="B271" s="3" t="s">
        <v>534</v>
      </c>
      <c r="C271" s="80"/>
      <c r="D271" s="80"/>
      <c r="E271" s="80"/>
      <c r="F271" s="80"/>
      <c r="G271" s="4" t="e">
        <f>G273+G294+G317</f>
        <v>#REF!</v>
      </c>
    </row>
    <row r="272" spans="1:7" ht="94.5">
      <c r="A272" s="43" t="s">
        <v>719</v>
      </c>
      <c r="B272" s="3" t="s">
        <v>536</v>
      </c>
      <c r="C272" s="81"/>
      <c r="D272" s="81"/>
      <c r="E272" s="81"/>
      <c r="F272" s="81"/>
      <c r="G272" s="68" t="e">
        <f>G273</f>
        <v>#REF!</v>
      </c>
    </row>
    <row r="273" spans="1:7" ht="15.75">
      <c r="A273" s="31" t="s">
        <v>314</v>
      </c>
      <c r="B273" s="42" t="s">
        <v>536</v>
      </c>
      <c r="C273" s="42" t="s">
        <v>315</v>
      </c>
      <c r="D273" s="80"/>
      <c r="E273" s="80"/>
      <c r="F273" s="80"/>
      <c r="G273" s="11" t="e">
        <f>G274</f>
        <v>#REF!</v>
      </c>
    </row>
    <row r="274" spans="1:7" ht="15.75">
      <c r="A274" s="31" t="s">
        <v>316</v>
      </c>
      <c r="B274" s="42" t="s">
        <v>536</v>
      </c>
      <c r="C274" s="42" t="s">
        <v>315</v>
      </c>
      <c r="D274" s="42" t="s">
        <v>266</v>
      </c>
      <c r="E274" s="80"/>
      <c r="F274" s="80"/>
      <c r="G274" s="11" t="e">
        <f>G275+G290</f>
        <v>#REF!</v>
      </c>
    </row>
    <row r="275" spans="1:7" ht="63">
      <c r="A275" s="31" t="s">
        <v>321</v>
      </c>
      <c r="B275" s="42" t="s">
        <v>537</v>
      </c>
      <c r="C275" s="42" t="s">
        <v>315</v>
      </c>
      <c r="D275" s="42" t="s">
        <v>266</v>
      </c>
      <c r="E275" s="80"/>
      <c r="F275" s="80"/>
      <c r="G275" s="11" t="e">
        <f>G276</f>
        <v>#REF!</v>
      </c>
    </row>
    <row r="276" spans="1:7" ht="63">
      <c r="A276" s="31" t="s">
        <v>323</v>
      </c>
      <c r="B276" s="42" t="s">
        <v>537</v>
      </c>
      <c r="C276" s="42" t="s">
        <v>315</v>
      </c>
      <c r="D276" s="42" t="s">
        <v>266</v>
      </c>
      <c r="E276" s="42" t="s">
        <v>324</v>
      </c>
      <c r="F276" s="80"/>
      <c r="G276" s="11" t="e">
        <f>G277</f>
        <v>#REF!</v>
      </c>
    </row>
    <row r="277" spans="1:7" ht="15.75">
      <c r="A277" s="31" t="s">
        <v>325</v>
      </c>
      <c r="B277" s="42" t="s">
        <v>537</v>
      </c>
      <c r="C277" s="42" t="s">
        <v>315</v>
      </c>
      <c r="D277" s="42" t="s">
        <v>266</v>
      </c>
      <c r="E277" s="42" t="s">
        <v>326</v>
      </c>
      <c r="F277" s="80"/>
      <c r="G277" s="11" t="e">
        <f>#REF!</f>
        <v>#REF!</v>
      </c>
    </row>
    <row r="278" spans="1:7" ht="78.75" customHeight="1" hidden="1">
      <c r="A278" s="31" t="s">
        <v>657</v>
      </c>
      <c r="B278" s="42" t="s">
        <v>720</v>
      </c>
      <c r="C278" s="42" t="s">
        <v>315</v>
      </c>
      <c r="D278" s="42" t="s">
        <v>266</v>
      </c>
      <c r="E278" s="42"/>
      <c r="F278" s="80"/>
      <c r="G278" s="11">
        <f>G279</f>
        <v>0</v>
      </c>
    </row>
    <row r="279" spans="1:7" ht="63" hidden="1">
      <c r="A279" s="31" t="s">
        <v>323</v>
      </c>
      <c r="B279" s="42" t="s">
        <v>720</v>
      </c>
      <c r="C279" s="42" t="s">
        <v>315</v>
      </c>
      <c r="D279" s="42" t="s">
        <v>266</v>
      </c>
      <c r="E279" s="42" t="s">
        <v>324</v>
      </c>
      <c r="F279" s="80"/>
      <c r="G279" s="11">
        <f>G280</f>
        <v>0</v>
      </c>
    </row>
    <row r="280" spans="1:7" ht="15.75" hidden="1">
      <c r="A280" s="31" t="s">
        <v>325</v>
      </c>
      <c r="B280" s="42" t="s">
        <v>720</v>
      </c>
      <c r="C280" s="42" t="s">
        <v>315</v>
      </c>
      <c r="D280" s="42" t="s">
        <v>266</v>
      </c>
      <c r="E280" s="42" t="s">
        <v>326</v>
      </c>
      <c r="F280" s="80"/>
      <c r="G280" s="11">
        <f>G281</f>
        <v>0</v>
      </c>
    </row>
    <row r="281" spans="1:7" ht="47.25" hidden="1">
      <c r="A281" s="48" t="s">
        <v>532</v>
      </c>
      <c r="B281" s="42" t="s">
        <v>720</v>
      </c>
      <c r="C281" s="42" t="s">
        <v>315</v>
      </c>
      <c r="D281" s="42" t="s">
        <v>266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329</v>
      </c>
      <c r="B282" s="42" t="s">
        <v>721</v>
      </c>
      <c r="C282" s="42" t="s">
        <v>315</v>
      </c>
      <c r="D282" s="42" t="s">
        <v>266</v>
      </c>
      <c r="E282" s="42"/>
      <c r="F282" s="80"/>
      <c r="G282" s="11">
        <f>G283</f>
        <v>0</v>
      </c>
    </row>
    <row r="283" spans="1:7" ht="63" hidden="1">
      <c r="A283" s="31" t="s">
        <v>323</v>
      </c>
      <c r="B283" s="42" t="s">
        <v>721</v>
      </c>
      <c r="C283" s="42" t="s">
        <v>315</v>
      </c>
      <c r="D283" s="42" t="s">
        <v>266</v>
      </c>
      <c r="E283" s="42" t="s">
        <v>324</v>
      </c>
      <c r="F283" s="80"/>
      <c r="G283" s="11">
        <f>G284</f>
        <v>0</v>
      </c>
    </row>
    <row r="284" spans="1:7" ht="15.75" hidden="1">
      <c r="A284" s="31" t="s">
        <v>325</v>
      </c>
      <c r="B284" s="42" t="s">
        <v>721</v>
      </c>
      <c r="C284" s="42" t="s">
        <v>315</v>
      </c>
      <c r="D284" s="42" t="s">
        <v>266</v>
      </c>
      <c r="E284" s="42" t="s">
        <v>326</v>
      </c>
      <c r="F284" s="80"/>
      <c r="G284" s="11"/>
    </row>
    <row r="285" spans="1:7" ht="47.25" hidden="1">
      <c r="A285" s="48" t="s">
        <v>532</v>
      </c>
      <c r="B285" s="42" t="s">
        <v>721</v>
      </c>
      <c r="C285" s="42" t="s">
        <v>315</v>
      </c>
      <c r="D285" s="42" t="s">
        <v>266</v>
      </c>
      <c r="E285" s="42"/>
      <c r="F285" s="2">
        <v>907</v>
      </c>
      <c r="G285" s="11">
        <v>0</v>
      </c>
    </row>
    <row r="286" spans="1:7" ht="31.5" hidden="1">
      <c r="A286" s="31" t="s">
        <v>331</v>
      </c>
      <c r="B286" s="42" t="s">
        <v>722</v>
      </c>
      <c r="C286" s="42" t="s">
        <v>315</v>
      </c>
      <c r="D286" s="42" t="s">
        <v>266</v>
      </c>
      <c r="E286" s="42"/>
      <c r="F286" s="80"/>
      <c r="G286" s="11">
        <f>G287</f>
        <v>0</v>
      </c>
    </row>
    <row r="287" spans="1:7" ht="63" hidden="1">
      <c r="A287" s="31" t="s">
        <v>323</v>
      </c>
      <c r="B287" s="42" t="s">
        <v>722</v>
      </c>
      <c r="C287" s="42" t="s">
        <v>315</v>
      </c>
      <c r="D287" s="42" t="s">
        <v>266</v>
      </c>
      <c r="E287" s="42" t="s">
        <v>324</v>
      </c>
      <c r="F287" s="80"/>
      <c r="G287" s="11">
        <f>G288</f>
        <v>0</v>
      </c>
    </row>
    <row r="288" spans="1:7" ht="15.75" hidden="1">
      <c r="A288" s="31" t="s">
        <v>325</v>
      </c>
      <c r="B288" s="42" t="s">
        <v>722</v>
      </c>
      <c r="C288" s="42" t="s">
        <v>315</v>
      </c>
      <c r="D288" s="42" t="s">
        <v>266</v>
      </c>
      <c r="E288" s="42" t="s">
        <v>326</v>
      </c>
      <c r="F288" s="80"/>
      <c r="G288" s="11"/>
    </row>
    <row r="289" spans="1:7" ht="47.25" hidden="1">
      <c r="A289" s="48" t="s">
        <v>532</v>
      </c>
      <c r="B289" s="42" t="s">
        <v>722</v>
      </c>
      <c r="C289" s="42" t="s">
        <v>315</v>
      </c>
      <c r="D289" s="42" t="s">
        <v>266</v>
      </c>
      <c r="E289" s="42"/>
      <c r="F289" s="2">
        <v>907</v>
      </c>
      <c r="G289" s="11">
        <v>0</v>
      </c>
    </row>
    <row r="290" spans="1:7" ht="47.25">
      <c r="A290" s="31" t="s">
        <v>333</v>
      </c>
      <c r="B290" s="42" t="s">
        <v>540</v>
      </c>
      <c r="C290" s="42" t="s">
        <v>315</v>
      </c>
      <c r="D290" s="42" t="s">
        <v>266</v>
      </c>
      <c r="E290" s="42"/>
      <c r="F290" s="80"/>
      <c r="G290" s="11" t="e">
        <f>G291</f>
        <v>#REF!</v>
      </c>
    </row>
    <row r="291" spans="1:7" ht="63">
      <c r="A291" s="31" t="s">
        <v>323</v>
      </c>
      <c r="B291" s="42" t="s">
        <v>540</v>
      </c>
      <c r="C291" s="42" t="s">
        <v>315</v>
      </c>
      <c r="D291" s="42" t="s">
        <v>266</v>
      </c>
      <c r="E291" s="42" t="s">
        <v>324</v>
      </c>
      <c r="F291" s="80"/>
      <c r="G291" s="11" t="e">
        <f>G292</f>
        <v>#REF!</v>
      </c>
    </row>
    <row r="292" spans="1:7" ht="15.75">
      <c r="A292" s="31" t="s">
        <v>325</v>
      </c>
      <c r="B292" s="42" t="s">
        <v>540</v>
      </c>
      <c r="C292" s="42" t="s">
        <v>315</v>
      </c>
      <c r="D292" s="42" t="s">
        <v>266</v>
      </c>
      <c r="E292" s="42" t="s">
        <v>326</v>
      </c>
      <c r="F292" s="80"/>
      <c r="G292" s="11" t="e">
        <f>#REF!</f>
        <v>#REF!</v>
      </c>
    </row>
    <row r="293" spans="1:7" ht="58.5" customHeight="1">
      <c r="A293" s="82" t="s">
        <v>532</v>
      </c>
      <c r="B293" s="42" t="s">
        <v>536</v>
      </c>
      <c r="C293" s="42" t="s">
        <v>315</v>
      </c>
      <c r="D293" s="42" t="s">
        <v>266</v>
      </c>
      <c r="E293" s="42"/>
      <c r="F293" s="2">
        <v>907</v>
      </c>
      <c r="G293" s="11" t="e">
        <f>G272</f>
        <v>#REF!</v>
      </c>
    </row>
    <row r="294" spans="1:7" ht="63">
      <c r="A294" s="64" t="s">
        <v>545</v>
      </c>
      <c r="B294" s="8" t="s">
        <v>546</v>
      </c>
      <c r="C294" s="8"/>
      <c r="D294" s="8"/>
      <c r="E294" s="8"/>
      <c r="F294" s="3"/>
      <c r="G294" s="68" t="e">
        <f>G295</f>
        <v>#REF!</v>
      </c>
    </row>
    <row r="295" spans="1:7" ht="15.75">
      <c r="A295" s="31" t="s">
        <v>542</v>
      </c>
      <c r="B295" s="42" t="s">
        <v>546</v>
      </c>
      <c r="C295" s="2">
        <v>11</v>
      </c>
      <c r="D295" s="80"/>
      <c r="E295" s="80"/>
      <c r="F295" s="80"/>
      <c r="G295" s="11" t="e">
        <f>G296</f>
        <v>#REF!</v>
      </c>
    </row>
    <row r="296" spans="1:7" ht="20.25" customHeight="1">
      <c r="A296" s="31" t="s">
        <v>544</v>
      </c>
      <c r="B296" s="42" t="s">
        <v>546</v>
      </c>
      <c r="C296" s="42" t="s">
        <v>543</v>
      </c>
      <c r="D296" s="42" t="s">
        <v>169</v>
      </c>
      <c r="E296" s="83"/>
      <c r="F296" s="6"/>
      <c r="G296" s="11" t="e">
        <f>G297+G301+G305+G309+G313</f>
        <v>#REF!</v>
      </c>
    </row>
    <row r="297" spans="1:7" ht="47.25">
      <c r="A297" s="31" t="s">
        <v>547</v>
      </c>
      <c r="B297" s="42" t="s">
        <v>548</v>
      </c>
      <c r="C297" s="42" t="s">
        <v>543</v>
      </c>
      <c r="D297" s="42" t="s">
        <v>169</v>
      </c>
      <c r="E297" s="83"/>
      <c r="F297" s="6"/>
      <c r="G297" s="11" t="e">
        <f>G298</f>
        <v>#REF!</v>
      </c>
    </row>
    <row r="298" spans="1:7" ht="65.25" customHeight="1">
      <c r="A298" s="31" t="s">
        <v>323</v>
      </c>
      <c r="B298" s="42" t="s">
        <v>548</v>
      </c>
      <c r="C298" s="42" t="s">
        <v>543</v>
      </c>
      <c r="D298" s="42" t="s">
        <v>169</v>
      </c>
      <c r="E298" s="42" t="s">
        <v>324</v>
      </c>
      <c r="F298" s="6"/>
      <c r="G298" s="11" t="e">
        <f>G299</f>
        <v>#REF!</v>
      </c>
    </row>
    <row r="299" spans="1:7" ht="15.75">
      <c r="A299" s="31" t="s">
        <v>325</v>
      </c>
      <c r="B299" s="42" t="s">
        <v>548</v>
      </c>
      <c r="C299" s="42" t="s">
        <v>543</v>
      </c>
      <c r="D299" s="42" t="s">
        <v>169</v>
      </c>
      <c r="E299" s="42" t="s">
        <v>326</v>
      </c>
      <c r="F299" s="6"/>
      <c r="G299" s="11" t="e">
        <f>#REF!</f>
        <v>#REF!</v>
      </c>
    </row>
    <row r="300" spans="1:7" ht="47.25" hidden="1">
      <c r="A300" s="48" t="s">
        <v>532</v>
      </c>
      <c r="B300" s="42" t="s">
        <v>546</v>
      </c>
      <c r="C300" s="42" t="s">
        <v>543</v>
      </c>
      <c r="D300" s="42" t="s">
        <v>169</v>
      </c>
      <c r="E300" s="42"/>
      <c r="F300" s="6">
        <v>907</v>
      </c>
      <c r="G300" s="11" t="e">
        <f>G294</f>
        <v>#REF!</v>
      </c>
    </row>
    <row r="301" spans="1:7" ht="63" hidden="1">
      <c r="A301" s="31" t="s">
        <v>657</v>
      </c>
      <c r="B301" s="42" t="s">
        <v>723</v>
      </c>
      <c r="C301" s="42" t="s">
        <v>543</v>
      </c>
      <c r="D301" s="42" t="s">
        <v>169</v>
      </c>
      <c r="E301" s="42"/>
      <c r="F301" s="6"/>
      <c r="G301" s="11">
        <f>G302</f>
        <v>0</v>
      </c>
    </row>
    <row r="302" spans="1:7" ht="63" hidden="1">
      <c r="A302" s="31" t="s">
        <v>323</v>
      </c>
      <c r="B302" s="42" t="s">
        <v>723</v>
      </c>
      <c r="C302" s="42" t="s">
        <v>543</v>
      </c>
      <c r="D302" s="42" t="s">
        <v>169</v>
      </c>
      <c r="E302" s="42" t="s">
        <v>324</v>
      </c>
      <c r="F302" s="6"/>
      <c r="G302" s="11">
        <f>G303</f>
        <v>0</v>
      </c>
    </row>
    <row r="303" spans="1:7" ht="15.75" hidden="1">
      <c r="A303" s="31" t="s">
        <v>325</v>
      </c>
      <c r="B303" s="42" t="s">
        <v>723</v>
      </c>
      <c r="C303" s="42" t="s">
        <v>543</v>
      </c>
      <c r="D303" s="42" t="s">
        <v>169</v>
      </c>
      <c r="E303" s="42" t="s">
        <v>326</v>
      </c>
      <c r="F303" s="6"/>
      <c r="G303" s="11">
        <f>G304</f>
        <v>0</v>
      </c>
    </row>
    <row r="304" spans="1:7" ht="47.25" hidden="1">
      <c r="A304" s="82" t="s">
        <v>532</v>
      </c>
      <c r="B304" s="42" t="s">
        <v>723</v>
      </c>
      <c r="C304" s="42" t="s">
        <v>543</v>
      </c>
      <c r="D304" s="42" t="s">
        <v>169</v>
      </c>
      <c r="E304" s="42"/>
      <c r="F304" s="6">
        <v>907</v>
      </c>
      <c r="G304" s="11">
        <f>1500-1500</f>
        <v>0</v>
      </c>
    </row>
    <row r="305" spans="1:7" ht="47.25">
      <c r="A305" s="31" t="s">
        <v>329</v>
      </c>
      <c r="B305" s="42" t="s">
        <v>549</v>
      </c>
      <c r="C305" s="42" t="s">
        <v>543</v>
      </c>
      <c r="D305" s="42" t="s">
        <v>169</v>
      </c>
      <c r="E305" s="42"/>
      <c r="F305" s="6"/>
      <c r="G305" s="11" t="e">
        <f>G306</f>
        <v>#REF!</v>
      </c>
    </row>
    <row r="306" spans="1:7" ht="63">
      <c r="A306" s="31" t="s">
        <v>323</v>
      </c>
      <c r="B306" s="42" t="s">
        <v>549</v>
      </c>
      <c r="C306" s="42" t="s">
        <v>543</v>
      </c>
      <c r="D306" s="42" t="s">
        <v>169</v>
      </c>
      <c r="E306" s="42" t="s">
        <v>324</v>
      </c>
      <c r="F306" s="6"/>
      <c r="G306" s="11" t="e">
        <f>G307</f>
        <v>#REF!</v>
      </c>
    </row>
    <row r="307" spans="1:8" ht="15.75">
      <c r="A307" s="31" t="s">
        <v>325</v>
      </c>
      <c r="B307" s="42" t="s">
        <v>549</v>
      </c>
      <c r="C307" s="42" t="s">
        <v>543</v>
      </c>
      <c r="D307" s="42" t="s">
        <v>169</v>
      </c>
      <c r="E307" s="42" t="s">
        <v>326</v>
      </c>
      <c r="F307" s="6"/>
      <c r="G307" s="189" t="e">
        <f>#REF!</f>
        <v>#REF!</v>
      </c>
      <c r="H307" s="190" t="s">
        <v>821</v>
      </c>
    </row>
    <row r="308" spans="1:7" ht="47.25">
      <c r="A308" s="48" t="s">
        <v>532</v>
      </c>
      <c r="B308" s="42" t="s">
        <v>546</v>
      </c>
      <c r="C308" s="42" t="s">
        <v>543</v>
      </c>
      <c r="D308" s="42" t="s">
        <v>169</v>
      </c>
      <c r="E308" s="42"/>
      <c r="F308" s="6">
        <v>907</v>
      </c>
      <c r="G308" s="11" t="e">
        <f>G299+G307</f>
        <v>#REF!</v>
      </c>
    </row>
    <row r="309" spans="1:7" ht="31.5" hidden="1">
      <c r="A309" s="31" t="s">
        <v>331</v>
      </c>
      <c r="B309" s="42" t="s">
        <v>724</v>
      </c>
      <c r="C309" s="42" t="s">
        <v>543</v>
      </c>
      <c r="D309" s="42" t="s">
        <v>169</v>
      </c>
      <c r="E309" s="42"/>
      <c r="F309" s="6"/>
      <c r="G309" s="11">
        <f>G310</f>
        <v>0</v>
      </c>
    </row>
    <row r="310" spans="1:7" ht="63" hidden="1">
      <c r="A310" s="31" t="s">
        <v>323</v>
      </c>
      <c r="B310" s="42" t="s">
        <v>724</v>
      </c>
      <c r="C310" s="42" t="s">
        <v>543</v>
      </c>
      <c r="D310" s="42" t="s">
        <v>169</v>
      </c>
      <c r="E310" s="42" t="s">
        <v>324</v>
      </c>
      <c r="F310" s="6"/>
      <c r="G310" s="11">
        <f>G311</f>
        <v>0</v>
      </c>
    </row>
    <row r="311" spans="1:7" ht="15.75" hidden="1">
      <c r="A311" s="31" t="s">
        <v>325</v>
      </c>
      <c r="B311" s="42" t="s">
        <v>724</v>
      </c>
      <c r="C311" s="42" t="s">
        <v>543</v>
      </c>
      <c r="D311" s="42" t="s">
        <v>169</v>
      </c>
      <c r="E311" s="42" t="s">
        <v>326</v>
      </c>
      <c r="F311" s="6"/>
      <c r="G311" s="11"/>
    </row>
    <row r="312" spans="1:7" ht="47.25" hidden="1">
      <c r="A312" s="48" t="s">
        <v>532</v>
      </c>
      <c r="B312" s="42" t="s">
        <v>724</v>
      </c>
      <c r="C312" s="42" t="s">
        <v>543</v>
      </c>
      <c r="D312" s="42" t="s">
        <v>169</v>
      </c>
      <c r="E312" s="42"/>
      <c r="F312" s="6">
        <v>907</v>
      </c>
      <c r="G312" s="11">
        <v>0</v>
      </c>
    </row>
    <row r="313" spans="1:7" ht="71.25" customHeight="1" hidden="1">
      <c r="A313" s="31" t="s">
        <v>335</v>
      </c>
      <c r="B313" s="42" t="s">
        <v>725</v>
      </c>
      <c r="C313" s="42" t="s">
        <v>543</v>
      </c>
      <c r="D313" s="42" t="s">
        <v>169</v>
      </c>
      <c r="E313" s="42"/>
      <c r="F313" s="6"/>
      <c r="G313" s="11">
        <f>G314</f>
        <v>0</v>
      </c>
    </row>
    <row r="314" spans="1:7" ht="63" hidden="1">
      <c r="A314" s="31" t="s">
        <v>323</v>
      </c>
      <c r="B314" s="42" t="s">
        <v>725</v>
      </c>
      <c r="C314" s="42" t="s">
        <v>543</v>
      </c>
      <c r="D314" s="42" t="s">
        <v>169</v>
      </c>
      <c r="E314" s="42" t="s">
        <v>324</v>
      </c>
      <c r="F314" s="6"/>
      <c r="G314" s="11">
        <f>G315</f>
        <v>0</v>
      </c>
    </row>
    <row r="315" spans="1:7" ht="15.75" hidden="1">
      <c r="A315" s="31" t="s">
        <v>325</v>
      </c>
      <c r="B315" s="42" t="s">
        <v>725</v>
      </c>
      <c r="C315" s="42" t="s">
        <v>543</v>
      </c>
      <c r="D315" s="42" t="s">
        <v>169</v>
      </c>
      <c r="E315" s="42" t="s">
        <v>326</v>
      </c>
      <c r="F315" s="6"/>
      <c r="G315" s="11"/>
    </row>
    <row r="316" spans="1:7" ht="47.25" hidden="1">
      <c r="A316" s="48" t="s">
        <v>532</v>
      </c>
      <c r="B316" s="42" t="s">
        <v>725</v>
      </c>
      <c r="C316" s="42" t="s">
        <v>543</v>
      </c>
      <c r="D316" s="42" t="s">
        <v>169</v>
      </c>
      <c r="E316" s="42"/>
      <c r="F316" s="6">
        <v>907</v>
      </c>
      <c r="G316" s="11">
        <v>0</v>
      </c>
    </row>
    <row r="317" spans="1:7" ht="63">
      <c r="A317" s="64" t="s">
        <v>553</v>
      </c>
      <c r="B317" s="8" t="s">
        <v>554</v>
      </c>
      <c r="C317" s="8"/>
      <c r="D317" s="8"/>
      <c r="E317" s="8"/>
      <c r="F317" s="206"/>
      <c r="G317" s="4" t="e">
        <f>G318</f>
        <v>#REF!</v>
      </c>
    </row>
    <row r="318" spans="1:7" ht="15.75">
      <c r="A318" s="31" t="s">
        <v>542</v>
      </c>
      <c r="B318" s="42" t="s">
        <v>554</v>
      </c>
      <c r="C318" s="2">
        <v>11</v>
      </c>
      <c r="D318" s="42"/>
      <c r="E318" s="42"/>
      <c r="F318" s="6"/>
      <c r="G318" s="7" t="e">
        <f>G319</f>
        <v>#REF!</v>
      </c>
    </row>
    <row r="319" spans="1:7" ht="31.5">
      <c r="A319" s="26" t="s">
        <v>552</v>
      </c>
      <c r="B319" s="42" t="s">
        <v>554</v>
      </c>
      <c r="C319" s="42" t="s">
        <v>543</v>
      </c>
      <c r="D319" s="42" t="s">
        <v>285</v>
      </c>
      <c r="E319" s="42"/>
      <c r="F319" s="6"/>
      <c r="G319" s="7" t="e">
        <f>G320</f>
        <v>#REF!</v>
      </c>
    </row>
    <row r="320" spans="1:7" ht="47.25">
      <c r="A320" s="31" t="s">
        <v>208</v>
      </c>
      <c r="B320" s="42" t="s">
        <v>555</v>
      </c>
      <c r="C320" s="42" t="s">
        <v>543</v>
      </c>
      <c r="D320" s="42" t="s">
        <v>285</v>
      </c>
      <c r="E320" s="42"/>
      <c r="F320" s="6"/>
      <c r="G320" s="7" t="e">
        <f>G323+G321</f>
        <v>#REF!</v>
      </c>
    </row>
    <row r="321" spans="1:7" ht="110.25">
      <c r="A321" s="26" t="s">
        <v>178</v>
      </c>
      <c r="B321" s="42" t="s">
        <v>555</v>
      </c>
      <c r="C321" s="42" t="s">
        <v>543</v>
      </c>
      <c r="D321" s="42" t="s">
        <v>285</v>
      </c>
      <c r="E321" s="42" t="s">
        <v>179</v>
      </c>
      <c r="F321" s="6"/>
      <c r="G321" s="7" t="e">
        <f>G322</f>
        <v>#REF!</v>
      </c>
    </row>
    <row r="322" spans="1:7" ht="55.5" customHeight="1">
      <c r="A322" s="26" t="s">
        <v>180</v>
      </c>
      <c r="B322" s="42" t="s">
        <v>555</v>
      </c>
      <c r="C322" s="42" t="s">
        <v>543</v>
      </c>
      <c r="D322" s="42" t="s">
        <v>285</v>
      </c>
      <c r="E322" s="42" t="s">
        <v>181</v>
      </c>
      <c r="F322" s="6"/>
      <c r="G322" s="7" t="e">
        <f>#REF!</f>
        <v>#REF!</v>
      </c>
    </row>
    <row r="323" spans="1:7" ht="47.25">
      <c r="A323" s="31" t="s">
        <v>182</v>
      </c>
      <c r="B323" s="42" t="s">
        <v>555</v>
      </c>
      <c r="C323" s="42" t="s">
        <v>543</v>
      </c>
      <c r="D323" s="42" t="s">
        <v>285</v>
      </c>
      <c r="E323" s="42" t="s">
        <v>183</v>
      </c>
      <c r="F323" s="6"/>
      <c r="G323" s="7" t="e">
        <f>G324</f>
        <v>#REF!</v>
      </c>
    </row>
    <row r="324" spans="1:7" ht="47.25">
      <c r="A324" s="31" t="s">
        <v>184</v>
      </c>
      <c r="B324" s="42" t="s">
        <v>555</v>
      </c>
      <c r="C324" s="42" t="s">
        <v>543</v>
      </c>
      <c r="D324" s="42" t="s">
        <v>285</v>
      </c>
      <c r="E324" s="42" t="s">
        <v>185</v>
      </c>
      <c r="F324" s="6"/>
      <c r="G324" s="7" t="e">
        <f>#REF!</f>
        <v>#REF!</v>
      </c>
    </row>
    <row r="325" spans="1:7" ht="47.25">
      <c r="A325" s="82" t="s">
        <v>532</v>
      </c>
      <c r="B325" s="42" t="s">
        <v>554</v>
      </c>
      <c r="C325" s="42" t="s">
        <v>543</v>
      </c>
      <c r="D325" s="42" t="s">
        <v>285</v>
      </c>
      <c r="E325" s="42"/>
      <c r="F325" s="6">
        <v>907</v>
      </c>
      <c r="G325" s="11" t="e">
        <f>G317</f>
        <v>#REF!</v>
      </c>
    </row>
    <row r="326" spans="1:7" ht="63">
      <c r="A326" s="43" t="s">
        <v>317</v>
      </c>
      <c r="B326" s="8" t="s">
        <v>318</v>
      </c>
      <c r="C326" s="84"/>
      <c r="D326" s="84"/>
      <c r="E326" s="84"/>
      <c r="F326" s="3"/>
      <c r="G326" s="68" t="e">
        <f>G327+G353+G374</f>
        <v>#REF!</v>
      </c>
    </row>
    <row r="327" spans="1:7" ht="78.75">
      <c r="A327" s="43" t="s">
        <v>319</v>
      </c>
      <c r="B327" s="8" t="s">
        <v>320</v>
      </c>
      <c r="C327" s="84"/>
      <c r="D327" s="84"/>
      <c r="E327" s="84"/>
      <c r="F327" s="3"/>
      <c r="G327" s="68" t="e">
        <f>G328</f>
        <v>#REF!</v>
      </c>
    </row>
    <row r="328" spans="1:7" ht="15.75">
      <c r="A328" s="31" t="s">
        <v>314</v>
      </c>
      <c r="B328" s="42" t="s">
        <v>320</v>
      </c>
      <c r="C328" s="42" t="s">
        <v>315</v>
      </c>
      <c r="D328" s="84"/>
      <c r="E328" s="84"/>
      <c r="F328" s="3"/>
      <c r="G328" s="11" t="e">
        <f>G329</f>
        <v>#REF!</v>
      </c>
    </row>
    <row r="329" spans="1:7" ht="15.75">
      <c r="A329" s="31" t="s">
        <v>477</v>
      </c>
      <c r="B329" s="42" t="s">
        <v>320</v>
      </c>
      <c r="C329" s="42" t="s">
        <v>315</v>
      </c>
      <c r="D329" s="42" t="s">
        <v>266</v>
      </c>
      <c r="E329" s="84"/>
      <c r="F329" s="3"/>
      <c r="G329" s="11" t="e">
        <f>G330+G345</f>
        <v>#REF!</v>
      </c>
    </row>
    <row r="330" spans="1:7" ht="63">
      <c r="A330" s="31" t="s">
        <v>321</v>
      </c>
      <c r="B330" s="42" t="s">
        <v>322</v>
      </c>
      <c r="C330" s="42" t="s">
        <v>315</v>
      </c>
      <c r="D330" s="42" t="s">
        <v>266</v>
      </c>
      <c r="E330" s="84"/>
      <c r="F330" s="3"/>
      <c r="G330" s="11" t="e">
        <f>G331</f>
        <v>#REF!</v>
      </c>
    </row>
    <row r="331" spans="1:7" ht="63">
      <c r="A331" s="31" t="s">
        <v>323</v>
      </c>
      <c r="B331" s="42" t="s">
        <v>322</v>
      </c>
      <c r="C331" s="42" t="s">
        <v>315</v>
      </c>
      <c r="D331" s="42" t="s">
        <v>266</v>
      </c>
      <c r="E331" s="42" t="s">
        <v>324</v>
      </c>
      <c r="F331" s="3"/>
      <c r="G331" s="11" t="e">
        <f>G332</f>
        <v>#REF!</v>
      </c>
    </row>
    <row r="332" spans="1:7" ht="15.75">
      <c r="A332" s="31" t="s">
        <v>325</v>
      </c>
      <c r="B332" s="42" t="s">
        <v>322</v>
      </c>
      <c r="C332" s="42" t="s">
        <v>315</v>
      </c>
      <c r="D332" s="42" t="s">
        <v>266</v>
      </c>
      <c r="E332" s="42" t="s">
        <v>326</v>
      </c>
      <c r="F332" s="3"/>
      <c r="G332" s="7" t="e">
        <f>#REF!</f>
        <v>#REF!</v>
      </c>
    </row>
    <row r="333" spans="1:7" ht="63" hidden="1">
      <c r="A333" s="31" t="s">
        <v>327</v>
      </c>
      <c r="B333" s="42" t="s">
        <v>726</v>
      </c>
      <c r="C333" s="42" t="s">
        <v>315</v>
      </c>
      <c r="D333" s="42" t="s">
        <v>266</v>
      </c>
      <c r="E333" s="42"/>
      <c r="F333" s="3"/>
      <c r="G333" s="11">
        <f>G334</f>
        <v>0</v>
      </c>
    </row>
    <row r="334" spans="1:7" ht="63" hidden="1">
      <c r="A334" s="31" t="s">
        <v>323</v>
      </c>
      <c r="B334" s="42" t="s">
        <v>726</v>
      </c>
      <c r="C334" s="42" t="s">
        <v>315</v>
      </c>
      <c r="D334" s="42" t="s">
        <v>266</v>
      </c>
      <c r="E334" s="42" t="s">
        <v>324</v>
      </c>
      <c r="F334" s="3"/>
      <c r="G334" s="11">
        <f>G335</f>
        <v>0</v>
      </c>
    </row>
    <row r="335" spans="1:7" ht="15.75" hidden="1">
      <c r="A335" s="31" t="s">
        <v>325</v>
      </c>
      <c r="B335" s="42" t="s">
        <v>726</v>
      </c>
      <c r="C335" s="42" t="s">
        <v>315</v>
      </c>
      <c r="D335" s="42" t="s">
        <v>266</v>
      </c>
      <c r="E335" s="42" t="s">
        <v>326</v>
      </c>
      <c r="F335" s="3"/>
      <c r="G335" s="11"/>
    </row>
    <row r="336" spans="1:7" ht="63" hidden="1">
      <c r="A336" s="47" t="s">
        <v>312</v>
      </c>
      <c r="B336" s="42" t="s">
        <v>726</v>
      </c>
      <c r="C336" s="42" t="s">
        <v>315</v>
      </c>
      <c r="D336" s="42" t="s">
        <v>266</v>
      </c>
      <c r="E336" s="42"/>
      <c r="F336" s="2">
        <v>903</v>
      </c>
      <c r="G336" s="11">
        <v>0</v>
      </c>
    </row>
    <row r="337" spans="1:7" ht="47.25" hidden="1">
      <c r="A337" s="31" t="s">
        <v>329</v>
      </c>
      <c r="B337" s="42" t="s">
        <v>727</v>
      </c>
      <c r="C337" s="42" t="s">
        <v>315</v>
      </c>
      <c r="D337" s="42" t="s">
        <v>266</v>
      </c>
      <c r="E337" s="42"/>
      <c r="F337" s="3"/>
      <c r="G337" s="11">
        <f>G338</f>
        <v>0</v>
      </c>
    </row>
    <row r="338" spans="1:7" ht="63" hidden="1">
      <c r="A338" s="31" t="s">
        <v>323</v>
      </c>
      <c r="B338" s="42" t="s">
        <v>727</v>
      </c>
      <c r="C338" s="42" t="s">
        <v>315</v>
      </c>
      <c r="D338" s="42" t="s">
        <v>266</v>
      </c>
      <c r="E338" s="42" t="s">
        <v>324</v>
      </c>
      <c r="F338" s="3"/>
      <c r="G338" s="11">
        <f>G339</f>
        <v>0</v>
      </c>
    </row>
    <row r="339" spans="1:7" ht="15.75" hidden="1">
      <c r="A339" s="31" t="s">
        <v>325</v>
      </c>
      <c r="B339" s="42" t="s">
        <v>727</v>
      </c>
      <c r="C339" s="42" t="s">
        <v>315</v>
      </c>
      <c r="D339" s="42" t="s">
        <v>266</v>
      </c>
      <c r="E339" s="42" t="s">
        <v>326</v>
      </c>
      <c r="F339" s="3"/>
      <c r="G339" s="11"/>
    </row>
    <row r="340" spans="1:7" ht="63" hidden="1">
      <c r="A340" s="47" t="s">
        <v>312</v>
      </c>
      <c r="B340" s="42" t="s">
        <v>727</v>
      </c>
      <c r="C340" s="42" t="s">
        <v>315</v>
      </c>
      <c r="D340" s="42" t="s">
        <v>266</v>
      </c>
      <c r="E340" s="42"/>
      <c r="F340" s="2">
        <v>903</v>
      </c>
      <c r="G340" s="11">
        <v>0</v>
      </c>
    </row>
    <row r="341" spans="1:7" ht="31.5" hidden="1">
      <c r="A341" s="31" t="s">
        <v>331</v>
      </c>
      <c r="B341" s="42" t="s">
        <v>728</v>
      </c>
      <c r="C341" s="42" t="s">
        <v>315</v>
      </c>
      <c r="D341" s="42" t="s">
        <v>266</v>
      </c>
      <c r="E341" s="42"/>
      <c r="F341" s="3"/>
      <c r="G341" s="11">
        <f>G342</f>
        <v>0</v>
      </c>
    </row>
    <row r="342" spans="1:7" ht="69" customHeight="1" hidden="1">
      <c r="A342" s="31" t="s">
        <v>323</v>
      </c>
      <c r="B342" s="42" t="s">
        <v>728</v>
      </c>
      <c r="C342" s="42" t="s">
        <v>315</v>
      </c>
      <c r="D342" s="42" t="s">
        <v>266</v>
      </c>
      <c r="E342" s="42" t="s">
        <v>324</v>
      </c>
      <c r="F342" s="3"/>
      <c r="G342" s="11">
        <f>G343</f>
        <v>0</v>
      </c>
    </row>
    <row r="343" spans="1:7" ht="15.75" hidden="1">
      <c r="A343" s="31" t="s">
        <v>325</v>
      </c>
      <c r="B343" s="42" t="s">
        <v>728</v>
      </c>
      <c r="C343" s="42" t="s">
        <v>315</v>
      </c>
      <c r="D343" s="42" t="s">
        <v>266</v>
      </c>
      <c r="E343" s="42" t="s">
        <v>326</v>
      </c>
      <c r="F343" s="3"/>
      <c r="G343" s="11"/>
    </row>
    <row r="344" spans="1:7" ht="63" hidden="1">
      <c r="A344" s="47" t="s">
        <v>312</v>
      </c>
      <c r="B344" s="42" t="s">
        <v>728</v>
      </c>
      <c r="C344" s="42" t="s">
        <v>315</v>
      </c>
      <c r="D344" s="42" t="s">
        <v>266</v>
      </c>
      <c r="E344" s="42"/>
      <c r="F344" s="2">
        <v>903</v>
      </c>
      <c r="G344" s="11">
        <v>0</v>
      </c>
    </row>
    <row r="345" spans="1:7" ht="47.25">
      <c r="A345" s="31" t="s">
        <v>333</v>
      </c>
      <c r="B345" s="42" t="s">
        <v>334</v>
      </c>
      <c r="C345" s="42" t="s">
        <v>315</v>
      </c>
      <c r="D345" s="42" t="s">
        <v>266</v>
      </c>
      <c r="E345" s="42"/>
      <c r="F345" s="3"/>
      <c r="G345" s="11" t="e">
        <f>G346</f>
        <v>#REF!</v>
      </c>
    </row>
    <row r="346" spans="1:7" ht="63">
      <c r="A346" s="31" t="s">
        <v>323</v>
      </c>
      <c r="B346" s="42" t="s">
        <v>334</v>
      </c>
      <c r="C346" s="42" t="s">
        <v>315</v>
      </c>
      <c r="D346" s="42" t="s">
        <v>266</v>
      </c>
      <c r="E346" s="42" t="s">
        <v>324</v>
      </c>
      <c r="F346" s="3"/>
      <c r="G346" s="11" t="e">
        <f>G347</f>
        <v>#REF!</v>
      </c>
    </row>
    <row r="347" spans="1:7" ht="15.75">
      <c r="A347" s="31" t="s">
        <v>325</v>
      </c>
      <c r="B347" s="42" t="s">
        <v>334</v>
      </c>
      <c r="C347" s="42" t="s">
        <v>315</v>
      </c>
      <c r="D347" s="42" t="s">
        <v>266</v>
      </c>
      <c r="E347" s="42" t="s">
        <v>326</v>
      </c>
      <c r="F347" s="3"/>
      <c r="G347" s="7" t="e">
        <f>#REF!</f>
        <v>#REF!</v>
      </c>
    </row>
    <row r="348" spans="1:7" ht="63">
      <c r="A348" s="47" t="s">
        <v>312</v>
      </c>
      <c r="B348" s="42" t="s">
        <v>320</v>
      </c>
      <c r="C348" s="42" t="s">
        <v>315</v>
      </c>
      <c r="D348" s="42" t="s">
        <v>266</v>
      </c>
      <c r="E348" s="42"/>
      <c r="F348" s="2">
        <v>903</v>
      </c>
      <c r="G348" s="11" t="e">
        <f>G327</f>
        <v>#REF!</v>
      </c>
    </row>
    <row r="349" spans="1:7" ht="47.25" hidden="1">
      <c r="A349" s="31" t="s">
        <v>670</v>
      </c>
      <c r="B349" s="42" t="s">
        <v>671</v>
      </c>
      <c r="C349" s="42" t="s">
        <v>315</v>
      </c>
      <c r="D349" s="42" t="s">
        <v>264</v>
      </c>
      <c r="E349" s="42"/>
      <c r="F349" s="3"/>
      <c r="G349" s="11">
        <f>G350</f>
        <v>0</v>
      </c>
    </row>
    <row r="350" spans="1:7" ht="63" hidden="1">
      <c r="A350" s="31" t="s">
        <v>323</v>
      </c>
      <c r="B350" s="42" t="s">
        <v>671</v>
      </c>
      <c r="C350" s="42" t="s">
        <v>315</v>
      </c>
      <c r="D350" s="42" t="s">
        <v>264</v>
      </c>
      <c r="E350" s="42" t="s">
        <v>324</v>
      </c>
      <c r="F350" s="3"/>
      <c r="G350" s="11">
        <f>G351</f>
        <v>0</v>
      </c>
    </row>
    <row r="351" spans="1:7" ht="15.75" hidden="1">
      <c r="A351" s="31" t="s">
        <v>325</v>
      </c>
      <c r="B351" s="42" t="s">
        <v>671</v>
      </c>
      <c r="C351" s="42" t="s">
        <v>315</v>
      </c>
      <c r="D351" s="42" t="s">
        <v>264</v>
      </c>
      <c r="E351" s="42" t="s">
        <v>326</v>
      </c>
      <c r="F351" s="3"/>
      <c r="G351" s="11"/>
    </row>
    <row r="352" spans="1:7" ht="63" hidden="1">
      <c r="A352" s="47" t="s">
        <v>312</v>
      </c>
      <c r="B352" s="42" t="s">
        <v>671</v>
      </c>
      <c r="C352" s="42" t="s">
        <v>315</v>
      </c>
      <c r="D352" s="42" t="s">
        <v>264</v>
      </c>
      <c r="E352" s="84"/>
      <c r="F352" s="2">
        <v>903</v>
      </c>
      <c r="G352" s="11">
        <v>0</v>
      </c>
    </row>
    <row r="353" spans="1:7" ht="79.5" customHeight="1">
      <c r="A353" s="43" t="s">
        <v>352</v>
      </c>
      <c r="B353" s="8" t="s">
        <v>353</v>
      </c>
      <c r="C353" s="8"/>
      <c r="D353" s="8"/>
      <c r="E353" s="84"/>
      <c r="F353" s="3"/>
      <c r="G353" s="68" t="e">
        <f>G354</f>
        <v>#REF!</v>
      </c>
    </row>
    <row r="354" spans="1:7" ht="15.75">
      <c r="A354" s="85" t="s">
        <v>349</v>
      </c>
      <c r="B354" s="42" t="s">
        <v>353</v>
      </c>
      <c r="C354" s="42" t="s">
        <v>350</v>
      </c>
      <c r="D354" s="85"/>
      <c r="E354" s="85"/>
      <c r="F354" s="2"/>
      <c r="G354" s="11" t="e">
        <f>G355</f>
        <v>#REF!</v>
      </c>
    </row>
    <row r="355" spans="1:7" ht="15.75">
      <c r="A355" s="85" t="s">
        <v>351</v>
      </c>
      <c r="B355" s="42" t="s">
        <v>353</v>
      </c>
      <c r="C355" s="42" t="s">
        <v>350</v>
      </c>
      <c r="D355" s="42" t="s">
        <v>169</v>
      </c>
      <c r="E355" s="85"/>
      <c r="F355" s="2"/>
      <c r="G355" s="11" t="e">
        <f>G356+G363+G366</f>
        <v>#REF!</v>
      </c>
    </row>
    <row r="356" spans="1:7" ht="63">
      <c r="A356" s="31" t="s">
        <v>354</v>
      </c>
      <c r="B356" s="42" t="s">
        <v>355</v>
      </c>
      <c r="C356" s="42" t="s">
        <v>350</v>
      </c>
      <c r="D356" s="42" t="s">
        <v>169</v>
      </c>
      <c r="E356" s="85"/>
      <c r="F356" s="2"/>
      <c r="G356" s="11" t="e">
        <f>G357</f>
        <v>#REF!</v>
      </c>
    </row>
    <row r="357" spans="1:7" ht="63">
      <c r="A357" s="31" t="s">
        <v>323</v>
      </c>
      <c r="B357" s="42" t="s">
        <v>355</v>
      </c>
      <c r="C357" s="42" t="s">
        <v>350</v>
      </c>
      <c r="D357" s="42" t="s">
        <v>169</v>
      </c>
      <c r="E357" s="42" t="s">
        <v>324</v>
      </c>
      <c r="F357" s="2"/>
      <c r="G357" s="11" t="e">
        <f>G358</f>
        <v>#REF!</v>
      </c>
    </row>
    <row r="358" spans="1:7" ht="15.75">
      <c r="A358" s="31" t="s">
        <v>325</v>
      </c>
      <c r="B358" s="42" t="s">
        <v>355</v>
      </c>
      <c r="C358" s="42" t="s">
        <v>350</v>
      </c>
      <c r="D358" s="42" t="s">
        <v>169</v>
      </c>
      <c r="E358" s="42" t="s">
        <v>326</v>
      </c>
      <c r="F358" s="2"/>
      <c r="G358" s="11" t="e">
        <f>#REF!</f>
        <v>#REF!</v>
      </c>
    </row>
    <row r="359" spans="1:7" ht="63" hidden="1">
      <c r="A359" s="31" t="s">
        <v>327</v>
      </c>
      <c r="B359" s="42" t="s">
        <v>675</v>
      </c>
      <c r="C359" s="42" t="s">
        <v>350</v>
      </c>
      <c r="D359" s="42" t="s">
        <v>169</v>
      </c>
      <c r="E359" s="42"/>
      <c r="F359" s="2"/>
      <c r="G359" s="11">
        <f>G360</f>
        <v>0</v>
      </c>
    </row>
    <row r="360" spans="1:7" ht="63" hidden="1">
      <c r="A360" s="31" t="s">
        <v>323</v>
      </c>
      <c r="B360" s="42" t="s">
        <v>675</v>
      </c>
      <c r="C360" s="42" t="s">
        <v>350</v>
      </c>
      <c r="D360" s="42" t="s">
        <v>169</v>
      </c>
      <c r="E360" s="42" t="s">
        <v>324</v>
      </c>
      <c r="F360" s="2"/>
      <c r="G360" s="11">
        <f>G361</f>
        <v>0</v>
      </c>
    </row>
    <row r="361" spans="1:7" ht="15.75" hidden="1">
      <c r="A361" s="31" t="s">
        <v>325</v>
      </c>
      <c r="B361" s="42" t="s">
        <v>675</v>
      </c>
      <c r="C361" s="42" t="s">
        <v>350</v>
      </c>
      <c r="D361" s="42" t="s">
        <v>169</v>
      </c>
      <c r="E361" s="42" t="s">
        <v>326</v>
      </c>
      <c r="F361" s="2"/>
      <c r="G361" s="11"/>
    </row>
    <row r="362" spans="1:7" ht="63" hidden="1">
      <c r="A362" s="47" t="s">
        <v>312</v>
      </c>
      <c r="B362" s="42" t="s">
        <v>675</v>
      </c>
      <c r="C362" s="42" t="s">
        <v>350</v>
      </c>
      <c r="D362" s="42" t="s">
        <v>169</v>
      </c>
      <c r="E362" s="42"/>
      <c r="F362" s="2">
        <v>903</v>
      </c>
      <c r="G362" s="11">
        <v>0</v>
      </c>
    </row>
    <row r="363" spans="1:7" ht="31.5">
      <c r="A363" s="31" t="s">
        <v>679</v>
      </c>
      <c r="B363" s="42" t="s">
        <v>357</v>
      </c>
      <c r="C363" s="42" t="s">
        <v>350</v>
      </c>
      <c r="D363" s="42" t="s">
        <v>169</v>
      </c>
      <c r="E363" s="42"/>
      <c r="F363" s="2"/>
      <c r="G363" s="11" t="e">
        <f>G364</f>
        <v>#REF!</v>
      </c>
    </row>
    <row r="364" spans="1:7" ht="71.25" customHeight="1">
      <c r="A364" s="31" t="s">
        <v>323</v>
      </c>
      <c r="B364" s="42" t="s">
        <v>357</v>
      </c>
      <c r="C364" s="42" t="s">
        <v>350</v>
      </c>
      <c r="D364" s="42" t="s">
        <v>169</v>
      </c>
      <c r="E364" s="42" t="s">
        <v>324</v>
      </c>
      <c r="F364" s="2"/>
      <c r="G364" s="11" t="e">
        <f>G365</f>
        <v>#REF!</v>
      </c>
    </row>
    <row r="365" spans="1:7" ht="15.75">
      <c r="A365" s="31" t="s">
        <v>325</v>
      </c>
      <c r="B365" s="42" t="s">
        <v>357</v>
      </c>
      <c r="C365" s="42" t="s">
        <v>350</v>
      </c>
      <c r="D365" s="42" t="s">
        <v>169</v>
      </c>
      <c r="E365" s="42" t="s">
        <v>326</v>
      </c>
      <c r="F365" s="2"/>
      <c r="G365" s="11" t="e">
        <f>#REF!</f>
        <v>#REF!</v>
      </c>
    </row>
    <row r="366" spans="1:7" ht="31.5">
      <c r="A366" s="31" t="s">
        <v>358</v>
      </c>
      <c r="B366" s="42" t="s">
        <v>359</v>
      </c>
      <c r="C366" s="42" t="s">
        <v>350</v>
      </c>
      <c r="D366" s="42" t="s">
        <v>169</v>
      </c>
      <c r="E366" s="42"/>
      <c r="F366" s="2"/>
      <c r="G366" s="11" t="e">
        <f>G367</f>
        <v>#REF!</v>
      </c>
    </row>
    <row r="367" spans="1:7" ht="63">
      <c r="A367" s="31" t="s">
        <v>323</v>
      </c>
      <c r="B367" s="42" t="s">
        <v>359</v>
      </c>
      <c r="C367" s="42" t="s">
        <v>350</v>
      </c>
      <c r="D367" s="42" t="s">
        <v>169</v>
      </c>
      <c r="E367" s="42" t="s">
        <v>324</v>
      </c>
      <c r="F367" s="2"/>
      <c r="G367" s="11" t="e">
        <f>G368</f>
        <v>#REF!</v>
      </c>
    </row>
    <row r="368" spans="1:7" ht="15.75">
      <c r="A368" s="31" t="s">
        <v>325</v>
      </c>
      <c r="B368" s="42" t="s">
        <v>359</v>
      </c>
      <c r="C368" s="42" t="s">
        <v>350</v>
      </c>
      <c r="D368" s="42" t="s">
        <v>169</v>
      </c>
      <c r="E368" s="42" t="s">
        <v>326</v>
      </c>
      <c r="F368" s="2"/>
      <c r="G368" s="11" t="e">
        <f>#REF!</f>
        <v>#REF!</v>
      </c>
    </row>
    <row r="369" spans="1:7" ht="63">
      <c r="A369" s="47" t="s">
        <v>312</v>
      </c>
      <c r="B369" s="42" t="s">
        <v>353</v>
      </c>
      <c r="C369" s="42" t="s">
        <v>350</v>
      </c>
      <c r="D369" s="42" t="s">
        <v>169</v>
      </c>
      <c r="E369" s="42"/>
      <c r="F369" s="2">
        <v>903</v>
      </c>
      <c r="G369" s="11" t="e">
        <f>G353</f>
        <v>#REF!</v>
      </c>
    </row>
    <row r="370" spans="1:7" ht="31.5" hidden="1">
      <c r="A370" s="31" t="s">
        <v>335</v>
      </c>
      <c r="B370" s="42" t="s">
        <v>678</v>
      </c>
      <c r="C370" s="42" t="s">
        <v>350</v>
      </c>
      <c r="D370" s="42" t="s">
        <v>169</v>
      </c>
      <c r="E370" s="42"/>
      <c r="F370" s="2"/>
      <c r="G370" s="11">
        <f>G371</f>
        <v>0</v>
      </c>
    </row>
    <row r="371" spans="1:7" ht="63" hidden="1">
      <c r="A371" s="31" t="s">
        <v>323</v>
      </c>
      <c r="B371" s="42" t="s">
        <v>678</v>
      </c>
      <c r="C371" s="42" t="s">
        <v>350</v>
      </c>
      <c r="D371" s="42" t="s">
        <v>169</v>
      </c>
      <c r="E371" s="42" t="s">
        <v>324</v>
      </c>
      <c r="F371" s="2"/>
      <c r="G371" s="11">
        <f>G372</f>
        <v>0</v>
      </c>
    </row>
    <row r="372" spans="1:7" ht="15.75" hidden="1">
      <c r="A372" s="31" t="s">
        <v>325</v>
      </c>
      <c r="B372" s="42" t="s">
        <v>678</v>
      </c>
      <c r="C372" s="42" t="s">
        <v>350</v>
      </c>
      <c r="D372" s="42" t="s">
        <v>169</v>
      </c>
      <c r="E372" s="42" t="s">
        <v>326</v>
      </c>
      <c r="F372" s="2"/>
      <c r="G372" s="11"/>
    </row>
    <row r="373" spans="1:7" ht="63" hidden="1">
      <c r="A373" s="47" t="s">
        <v>312</v>
      </c>
      <c r="B373" s="42" t="s">
        <v>678</v>
      </c>
      <c r="C373" s="42" t="s">
        <v>350</v>
      </c>
      <c r="D373" s="42" t="s">
        <v>169</v>
      </c>
      <c r="E373" s="42"/>
      <c r="F373" s="2">
        <v>903</v>
      </c>
      <c r="G373" s="11">
        <v>0</v>
      </c>
    </row>
    <row r="374" spans="1:7" ht="63">
      <c r="A374" s="43" t="s">
        <v>363</v>
      </c>
      <c r="B374" s="8" t="s">
        <v>364</v>
      </c>
      <c r="C374" s="8"/>
      <c r="D374" s="8"/>
      <c r="E374" s="8"/>
      <c r="F374" s="87"/>
      <c r="G374" s="68" t="e">
        <f>G375</f>
        <v>#REF!</v>
      </c>
    </row>
    <row r="375" spans="1:7" ht="15.75">
      <c r="A375" s="85" t="s">
        <v>349</v>
      </c>
      <c r="B375" s="42" t="s">
        <v>364</v>
      </c>
      <c r="C375" s="42" t="s">
        <v>350</v>
      </c>
      <c r="D375" s="42"/>
      <c r="E375" s="8"/>
      <c r="F375" s="87"/>
      <c r="G375" s="11" t="e">
        <f>G376</f>
        <v>#REF!</v>
      </c>
    </row>
    <row r="376" spans="1:7" ht="15.75">
      <c r="A376" s="85" t="s">
        <v>351</v>
      </c>
      <c r="B376" s="42" t="s">
        <v>364</v>
      </c>
      <c r="C376" s="42" t="s">
        <v>350</v>
      </c>
      <c r="D376" s="42" t="s">
        <v>169</v>
      </c>
      <c r="E376" s="8"/>
      <c r="F376" s="87"/>
      <c r="G376" s="11" t="e">
        <f>G377+G396+G401+G380</f>
        <v>#REF!</v>
      </c>
    </row>
    <row r="377" spans="1:7" ht="63">
      <c r="A377" s="31" t="s">
        <v>354</v>
      </c>
      <c r="B377" s="42" t="s">
        <v>365</v>
      </c>
      <c r="C377" s="42" t="s">
        <v>350</v>
      </c>
      <c r="D377" s="42" t="s">
        <v>169</v>
      </c>
      <c r="E377" s="42"/>
      <c r="F377" s="86"/>
      <c r="G377" s="11" t="e">
        <f>G378</f>
        <v>#REF!</v>
      </c>
    </row>
    <row r="378" spans="1:7" ht="63">
      <c r="A378" s="31" t="s">
        <v>323</v>
      </c>
      <c r="B378" s="42" t="s">
        <v>365</v>
      </c>
      <c r="C378" s="42" t="s">
        <v>350</v>
      </c>
      <c r="D378" s="42" t="s">
        <v>169</v>
      </c>
      <c r="E378" s="42" t="s">
        <v>324</v>
      </c>
      <c r="F378" s="86"/>
      <c r="G378" s="11" t="e">
        <f>G379</f>
        <v>#REF!</v>
      </c>
    </row>
    <row r="379" spans="1:7" ht="15.75">
      <c r="A379" s="31" t="s">
        <v>325</v>
      </c>
      <c r="B379" s="42" t="s">
        <v>365</v>
      </c>
      <c r="C379" s="42" t="s">
        <v>350</v>
      </c>
      <c r="D379" s="42" t="s">
        <v>169</v>
      </c>
      <c r="E379" s="42" t="s">
        <v>326</v>
      </c>
      <c r="F379" s="86"/>
      <c r="G379" s="7" t="e">
        <f>#REF!</f>
        <v>#REF!</v>
      </c>
    </row>
    <row r="380" spans="1:7" ht="63">
      <c r="A380" s="31" t="s">
        <v>327</v>
      </c>
      <c r="B380" s="42" t="s">
        <v>368</v>
      </c>
      <c r="C380" s="42" t="s">
        <v>350</v>
      </c>
      <c r="D380" s="42" t="s">
        <v>169</v>
      </c>
      <c r="E380" s="42"/>
      <c r="F380" s="86"/>
      <c r="G380" s="11" t="e">
        <f>G381</f>
        <v>#REF!</v>
      </c>
    </row>
    <row r="381" spans="1:7" ht="63">
      <c r="A381" s="31" t="s">
        <v>323</v>
      </c>
      <c r="B381" s="42" t="s">
        <v>368</v>
      </c>
      <c r="C381" s="42" t="s">
        <v>350</v>
      </c>
      <c r="D381" s="42" t="s">
        <v>169</v>
      </c>
      <c r="E381" s="42" t="s">
        <v>324</v>
      </c>
      <c r="F381" s="86"/>
      <c r="G381" s="11" t="e">
        <f>G382</f>
        <v>#REF!</v>
      </c>
    </row>
    <row r="382" spans="1:7" ht="15.75">
      <c r="A382" s="31" t="s">
        <v>325</v>
      </c>
      <c r="B382" s="42" t="s">
        <v>368</v>
      </c>
      <c r="C382" s="42" t="s">
        <v>350</v>
      </c>
      <c r="D382" s="42" t="s">
        <v>169</v>
      </c>
      <c r="E382" s="42" t="s">
        <v>326</v>
      </c>
      <c r="F382" s="86"/>
      <c r="G382" s="11" t="e">
        <f>#REF!</f>
        <v>#REF!</v>
      </c>
    </row>
    <row r="383" spans="1:7" ht="63" hidden="1">
      <c r="A383" s="47" t="s">
        <v>312</v>
      </c>
      <c r="B383" s="42" t="s">
        <v>729</v>
      </c>
      <c r="C383" s="42" t="s">
        <v>350</v>
      </c>
      <c r="D383" s="42" t="s">
        <v>169</v>
      </c>
      <c r="E383" s="42"/>
      <c r="F383" s="2">
        <v>903</v>
      </c>
      <c r="G383" s="11" t="e">
        <f>G380</f>
        <v>#REF!</v>
      </c>
    </row>
    <row r="384" spans="1:7" ht="47.25" hidden="1">
      <c r="A384" s="26" t="s">
        <v>329</v>
      </c>
      <c r="B384" s="42" t="s">
        <v>369</v>
      </c>
      <c r="C384" s="42" t="s">
        <v>350</v>
      </c>
      <c r="D384" s="42" t="s">
        <v>169</v>
      </c>
      <c r="E384" s="42"/>
      <c r="F384" s="86"/>
      <c r="G384" s="11">
        <f>G385</f>
        <v>0</v>
      </c>
    </row>
    <row r="385" spans="1:7" ht="63" hidden="1">
      <c r="A385" s="31" t="s">
        <v>323</v>
      </c>
      <c r="B385" s="42" t="s">
        <v>369</v>
      </c>
      <c r="C385" s="42" t="s">
        <v>350</v>
      </c>
      <c r="D385" s="42" t="s">
        <v>169</v>
      </c>
      <c r="E385" s="42" t="s">
        <v>324</v>
      </c>
      <c r="F385" s="86"/>
      <c r="G385" s="11">
        <f>G386</f>
        <v>0</v>
      </c>
    </row>
    <row r="386" spans="1:7" ht="35.25" customHeight="1" hidden="1">
      <c r="A386" s="31" t="s">
        <v>325</v>
      </c>
      <c r="B386" s="42" t="s">
        <v>369</v>
      </c>
      <c r="C386" s="42" t="s">
        <v>350</v>
      </c>
      <c r="D386" s="42" t="s">
        <v>169</v>
      </c>
      <c r="E386" s="42" t="s">
        <v>326</v>
      </c>
      <c r="F386" s="86"/>
      <c r="G386" s="11"/>
    </row>
    <row r="387" spans="1:7" ht="63" hidden="1">
      <c r="A387" s="47" t="s">
        <v>312</v>
      </c>
      <c r="B387" s="42" t="s">
        <v>369</v>
      </c>
      <c r="C387" s="42" t="s">
        <v>350</v>
      </c>
      <c r="D387" s="42" t="s">
        <v>169</v>
      </c>
      <c r="E387" s="42"/>
      <c r="F387" s="2">
        <v>903</v>
      </c>
      <c r="G387" s="11">
        <f>G384</f>
        <v>0</v>
      </c>
    </row>
    <row r="388" spans="1:7" ht="31.5" hidden="1">
      <c r="A388" s="31" t="s">
        <v>730</v>
      </c>
      <c r="B388" s="42" t="s">
        <v>370</v>
      </c>
      <c r="C388" s="42" t="s">
        <v>350</v>
      </c>
      <c r="D388" s="42" t="s">
        <v>169</v>
      </c>
      <c r="E388" s="42"/>
      <c r="F388" s="86"/>
      <c r="G388" s="11">
        <f>G389</f>
        <v>0</v>
      </c>
    </row>
    <row r="389" spans="1:7" ht="63" hidden="1">
      <c r="A389" s="31" t="s">
        <v>323</v>
      </c>
      <c r="B389" s="42" t="s">
        <v>370</v>
      </c>
      <c r="C389" s="42" t="s">
        <v>350</v>
      </c>
      <c r="D389" s="42" t="s">
        <v>169</v>
      </c>
      <c r="E389" s="42" t="s">
        <v>324</v>
      </c>
      <c r="F389" s="86"/>
      <c r="G389" s="11">
        <f>G390</f>
        <v>0</v>
      </c>
    </row>
    <row r="390" spans="1:7" ht="15.75" hidden="1">
      <c r="A390" s="31" t="s">
        <v>325</v>
      </c>
      <c r="B390" s="42" t="s">
        <v>370</v>
      </c>
      <c r="C390" s="42" t="s">
        <v>350</v>
      </c>
      <c r="D390" s="42" t="s">
        <v>169</v>
      </c>
      <c r="E390" s="42" t="s">
        <v>326</v>
      </c>
      <c r="F390" s="86"/>
      <c r="G390" s="11"/>
    </row>
    <row r="391" spans="1:7" ht="63" hidden="1">
      <c r="A391" s="47" t="s">
        <v>312</v>
      </c>
      <c r="B391" s="42" t="s">
        <v>370</v>
      </c>
      <c r="C391" s="42" t="s">
        <v>350</v>
      </c>
      <c r="D391" s="42" t="s">
        <v>169</v>
      </c>
      <c r="E391" s="42"/>
      <c r="F391" s="2">
        <v>903</v>
      </c>
      <c r="G391" s="11">
        <f>G388</f>
        <v>0</v>
      </c>
    </row>
    <row r="392" spans="1:7" ht="31.5" hidden="1">
      <c r="A392" s="31" t="s">
        <v>335</v>
      </c>
      <c r="B392" s="42" t="s">
        <v>683</v>
      </c>
      <c r="C392" s="42" t="s">
        <v>350</v>
      </c>
      <c r="D392" s="42" t="s">
        <v>169</v>
      </c>
      <c r="E392" s="42"/>
      <c r="F392" s="86"/>
      <c r="G392" s="11">
        <f>G393</f>
        <v>0</v>
      </c>
    </row>
    <row r="393" spans="1:7" ht="63" hidden="1">
      <c r="A393" s="31" t="s">
        <v>323</v>
      </c>
      <c r="B393" s="42" t="s">
        <v>683</v>
      </c>
      <c r="C393" s="42" t="s">
        <v>350</v>
      </c>
      <c r="D393" s="42" t="s">
        <v>169</v>
      </c>
      <c r="E393" s="42" t="s">
        <v>324</v>
      </c>
      <c r="F393" s="86"/>
      <c r="G393" s="11">
        <f>G394</f>
        <v>0</v>
      </c>
    </row>
    <row r="394" spans="1:7" ht="15.75" hidden="1">
      <c r="A394" s="31" t="s">
        <v>325</v>
      </c>
      <c r="B394" s="42" t="s">
        <v>683</v>
      </c>
      <c r="C394" s="42" t="s">
        <v>350</v>
      </c>
      <c r="D394" s="42" t="s">
        <v>169</v>
      </c>
      <c r="E394" s="42" t="s">
        <v>326</v>
      </c>
      <c r="F394" s="86"/>
      <c r="G394" s="11"/>
    </row>
    <row r="395" spans="1:7" ht="63" hidden="1">
      <c r="A395" s="47" t="s">
        <v>312</v>
      </c>
      <c r="B395" s="42" t="s">
        <v>683</v>
      </c>
      <c r="C395" s="42" t="s">
        <v>350</v>
      </c>
      <c r="D395" s="42" t="s">
        <v>169</v>
      </c>
      <c r="E395" s="42"/>
      <c r="F395" s="2">
        <v>903</v>
      </c>
      <c r="G395" s="11">
        <f>G392</f>
        <v>0</v>
      </c>
    </row>
    <row r="396" spans="1:7" ht="31.5">
      <c r="A396" s="88" t="s">
        <v>731</v>
      </c>
      <c r="B396" s="42" t="s">
        <v>367</v>
      </c>
      <c r="C396" s="42" t="s">
        <v>350</v>
      </c>
      <c r="D396" s="42" t="s">
        <v>169</v>
      </c>
      <c r="E396" s="42"/>
      <c r="F396" s="2"/>
      <c r="G396" s="11" t="e">
        <f>G397+G399</f>
        <v>#REF!</v>
      </c>
    </row>
    <row r="397" spans="1:7" ht="47.25" hidden="1">
      <c r="A397" s="31" t="s">
        <v>182</v>
      </c>
      <c r="B397" s="42" t="s">
        <v>367</v>
      </c>
      <c r="C397" s="42" t="s">
        <v>350</v>
      </c>
      <c r="D397" s="42" t="s">
        <v>169</v>
      </c>
      <c r="E397" s="42" t="s">
        <v>183</v>
      </c>
      <c r="F397" s="2"/>
      <c r="G397" s="11">
        <f>G398</f>
        <v>0</v>
      </c>
    </row>
    <row r="398" spans="1:7" ht="47.25" hidden="1">
      <c r="A398" s="31" t="s">
        <v>184</v>
      </c>
      <c r="B398" s="42" t="s">
        <v>367</v>
      </c>
      <c r="C398" s="42" t="s">
        <v>350</v>
      </c>
      <c r="D398" s="42" t="s">
        <v>169</v>
      </c>
      <c r="E398" s="42" t="s">
        <v>185</v>
      </c>
      <c r="F398" s="2"/>
      <c r="G398" s="11">
        <v>0</v>
      </c>
    </row>
    <row r="399" spans="1:7" ht="62.25" customHeight="1">
      <c r="A399" s="31" t="s">
        <v>323</v>
      </c>
      <c r="B399" s="42" t="s">
        <v>367</v>
      </c>
      <c r="C399" s="42" t="s">
        <v>350</v>
      </c>
      <c r="D399" s="42" t="s">
        <v>169</v>
      </c>
      <c r="E399" s="42" t="s">
        <v>324</v>
      </c>
      <c r="F399" s="2"/>
      <c r="G399" s="11" t="e">
        <f>G400</f>
        <v>#REF!</v>
      </c>
    </row>
    <row r="400" spans="1:7" ht="15.75">
      <c r="A400" s="31" t="s">
        <v>325</v>
      </c>
      <c r="B400" s="42" t="s">
        <v>367</v>
      </c>
      <c r="C400" s="42" t="s">
        <v>350</v>
      </c>
      <c r="D400" s="42" t="s">
        <v>169</v>
      </c>
      <c r="E400" s="42" t="s">
        <v>326</v>
      </c>
      <c r="F400" s="2"/>
      <c r="G400" s="11" t="e">
        <f>#REF!</f>
        <v>#REF!</v>
      </c>
    </row>
    <row r="401" spans="1:7" ht="15.75">
      <c r="A401" s="26" t="s">
        <v>761</v>
      </c>
      <c r="B401" s="21" t="s">
        <v>762</v>
      </c>
      <c r="C401" s="42" t="s">
        <v>350</v>
      </c>
      <c r="D401" s="42" t="s">
        <v>169</v>
      </c>
      <c r="E401" s="42"/>
      <c r="F401" s="2"/>
      <c r="G401" s="11" t="e">
        <f>G402</f>
        <v>#REF!</v>
      </c>
    </row>
    <row r="402" spans="1:7" ht="63">
      <c r="A402" s="26" t="s">
        <v>323</v>
      </c>
      <c r="B402" s="21" t="s">
        <v>762</v>
      </c>
      <c r="C402" s="42" t="s">
        <v>350</v>
      </c>
      <c r="D402" s="42" t="s">
        <v>169</v>
      </c>
      <c r="E402" s="42" t="s">
        <v>324</v>
      </c>
      <c r="F402" s="2"/>
      <c r="G402" s="11" t="e">
        <f>G403</f>
        <v>#REF!</v>
      </c>
    </row>
    <row r="403" spans="1:7" ht="15.75">
      <c r="A403" s="26" t="s">
        <v>325</v>
      </c>
      <c r="B403" s="21" t="s">
        <v>762</v>
      </c>
      <c r="C403" s="42" t="s">
        <v>350</v>
      </c>
      <c r="D403" s="42" t="s">
        <v>169</v>
      </c>
      <c r="E403" s="42" t="s">
        <v>326</v>
      </c>
      <c r="F403" s="2"/>
      <c r="G403" s="11" t="e">
        <f>#REF!</f>
        <v>#REF!</v>
      </c>
    </row>
    <row r="404" spans="1:7" ht="63">
      <c r="A404" s="47" t="s">
        <v>312</v>
      </c>
      <c r="B404" s="42" t="s">
        <v>364</v>
      </c>
      <c r="C404" s="42" t="s">
        <v>350</v>
      </c>
      <c r="D404" s="42" t="s">
        <v>169</v>
      </c>
      <c r="E404" s="42"/>
      <c r="F404" s="2">
        <v>903</v>
      </c>
      <c r="G404" s="11" t="e">
        <f>G374</f>
        <v>#REF!</v>
      </c>
    </row>
    <row r="405" spans="1:7" ht="47.25" hidden="1">
      <c r="A405" s="70" t="s">
        <v>372</v>
      </c>
      <c r="B405" s="42" t="s">
        <v>373</v>
      </c>
      <c r="C405" s="42" t="s">
        <v>350</v>
      </c>
      <c r="D405" s="42" t="s">
        <v>169</v>
      </c>
      <c r="E405" s="42"/>
      <c r="F405" s="2"/>
      <c r="G405" s="11">
        <f>G406</f>
        <v>0</v>
      </c>
    </row>
    <row r="406" spans="1:7" ht="63" hidden="1">
      <c r="A406" s="31" t="s">
        <v>323</v>
      </c>
      <c r="B406" s="42" t="s">
        <v>373</v>
      </c>
      <c r="C406" s="42" t="s">
        <v>350</v>
      </c>
      <c r="D406" s="42" t="s">
        <v>169</v>
      </c>
      <c r="E406" s="42" t="s">
        <v>324</v>
      </c>
      <c r="F406" s="2"/>
      <c r="G406" s="11"/>
    </row>
    <row r="407" spans="1:7" ht="15.75" hidden="1">
      <c r="A407" s="31" t="s">
        <v>325</v>
      </c>
      <c r="B407" s="42" t="s">
        <v>373</v>
      </c>
      <c r="C407" s="42" t="s">
        <v>350</v>
      </c>
      <c r="D407" s="42" t="s">
        <v>169</v>
      </c>
      <c r="E407" s="42" t="s">
        <v>326</v>
      </c>
      <c r="F407" s="2"/>
      <c r="G407" s="11"/>
    </row>
    <row r="408" spans="1:7" ht="63" hidden="1">
      <c r="A408" s="47" t="s">
        <v>312</v>
      </c>
      <c r="B408" s="42" t="s">
        <v>373</v>
      </c>
      <c r="C408" s="42" t="s">
        <v>350</v>
      </c>
      <c r="D408" s="42" t="s">
        <v>169</v>
      </c>
      <c r="E408" s="42"/>
      <c r="F408" s="2">
        <v>903</v>
      </c>
      <c r="G408" s="11">
        <f>G407</f>
        <v>0</v>
      </c>
    </row>
    <row r="409" spans="1:7" ht="78.75">
      <c r="A409" s="43" t="s">
        <v>374</v>
      </c>
      <c r="B409" s="8" t="s">
        <v>375</v>
      </c>
      <c r="C409" s="84"/>
      <c r="D409" s="84"/>
      <c r="E409" s="84"/>
      <c r="F409" s="84"/>
      <c r="G409" s="68" t="e">
        <f>G410</f>
        <v>#REF!</v>
      </c>
    </row>
    <row r="410" spans="1:7" ht="15.75">
      <c r="A410" s="85" t="s">
        <v>349</v>
      </c>
      <c r="B410" s="42" t="s">
        <v>375</v>
      </c>
      <c r="C410" s="42" t="s">
        <v>350</v>
      </c>
      <c r="D410" s="85"/>
      <c r="E410" s="85"/>
      <c r="F410" s="85"/>
      <c r="G410" s="11" t="e">
        <f>G411</f>
        <v>#REF!</v>
      </c>
    </row>
    <row r="411" spans="1:7" ht="15.75">
      <c r="A411" s="85" t="s">
        <v>351</v>
      </c>
      <c r="B411" s="42" t="s">
        <v>375</v>
      </c>
      <c r="C411" s="42" t="s">
        <v>350</v>
      </c>
      <c r="D411" s="42" t="s">
        <v>169</v>
      </c>
      <c r="E411" s="85"/>
      <c r="F411" s="85"/>
      <c r="G411" s="11" t="e">
        <f>G412</f>
        <v>#REF!</v>
      </c>
    </row>
    <row r="412" spans="1:7" ht="63">
      <c r="A412" s="31" t="s">
        <v>376</v>
      </c>
      <c r="B412" s="42" t="s">
        <v>377</v>
      </c>
      <c r="C412" s="42" t="s">
        <v>350</v>
      </c>
      <c r="D412" s="42" t="s">
        <v>169</v>
      </c>
      <c r="E412" s="85"/>
      <c r="F412" s="85"/>
      <c r="G412" s="11" t="e">
        <f>G413</f>
        <v>#REF!</v>
      </c>
    </row>
    <row r="413" spans="1:7" ht="63">
      <c r="A413" s="26" t="s">
        <v>323</v>
      </c>
      <c r="B413" s="42" t="s">
        <v>377</v>
      </c>
      <c r="C413" s="42" t="s">
        <v>350</v>
      </c>
      <c r="D413" s="42" t="s">
        <v>169</v>
      </c>
      <c r="E413" s="42" t="s">
        <v>324</v>
      </c>
      <c r="F413" s="85"/>
      <c r="G413" s="11" t="e">
        <f>G414</f>
        <v>#REF!</v>
      </c>
    </row>
    <row r="414" spans="1:7" ht="15.75">
      <c r="A414" s="26" t="s">
        <v>325</v>
      </c>
      <c r="B414" s="42" t="s">
        <v>377</v>
      </c>
      <c r="C414" s="42" t="s">
        <v>350</v>
      </c>
      <c r="D414" s="42" t="s">
        <v>169</v>
      </c>
      <c r="E414" s="42" t="s">
        <v>326</v>
      </c>
      <c r="F414" s="85"/>
      <c r="G414" s="11" t="e">
        <f>#REF!</f>
        <v>#REF!</v>
      </c>
    </row>
    <row r="415" spans="1:7" ht="63" hidden="1">
      <c r="A415" s="47" t="s">
        <v>732</v>
      </c>
      <c r="B415" s="42" t="s">
        <v>377</v>
      </c>
      <c r="C415" s="42" t="s">
        <v>350</v>
      </c>
      <c r="D415" s="42" t="s">
        <v>169</v>
      </c>
      <c r="E415" s="42"/>
      <c r="F415" s="85"/>
      <c r="G415" s="11">
        <f>G416</f>
        <v>0</v>
      </c>
    </row>
    <row r="416" spans="1:7" ht="63" hidden="1">
      <c r="A416" s="31" t="s">
        <v>323</v>
      </c>
      <c r="B416" s="42" t="s">
        <v>377</v>
      </c>
      <c r="C416" s="42" t="s">
        <v>350</v>
      </c>
      <c r="D416" s="42" t="s">
        <v>169</v>
      </c>
      <c r="E416" s="42" t="s">
        <v>324</v>
      </c>
      <c r="F416" s="85"/>
      <c r="G416" s="11">
        <f>G417</f>
        <v>0</v>
      </c>
    </row>
    <row r="417" spans="1:7" ht="15.75" hidden="1">
      <c r="A417" s="31" t="s">
        <v>325</v>
      </c>
      <c r="B417" s="42" t="s">
        <v>377</v>
      </c>
      <c r="C417" s="42" t="s">
        <v>350</v>
      </c>
      <c r="D417" s="42" t="s">
        <v>169</v>
      </c>
      <c r="E417" s="42" t="s">
        <v>326</v>
      </c>
      <c r="F417" s="85"/>
      <c r="G417" s="11"/>
    </row>
    <row r="418" spans="1:7" ht="63">
      <c r="A418" s="47" t="s">
        <v>312</v>
      </c>
      <c r="B418" s="42" t="s">
        <v>375</v>
      </c>
      <c r="C418" s="42" t="s">
        <v>350</v>
      </c>
      <c r="D418" s="42" t="s">
        <v>169</v>
      </c>
      <c r="E418" s="85"/>
      <c r="F418" s="2">
        <v>903</v>
      </c>
      <c r="G418" s="11" t="e">
        <f>G409</f>
        <v>#REF!</v>
      </c>
    </row>
    <row r="419" spans="1:7" ht="63">
      <c r="A419" s="43" t="s">
        <v>594</v>
      </c>
      <c r="B419" s="8" t="s">
        <v>595</v>
      </c>
      <c r="C419" s="2"/>
      <c r="D419" s="2"/>
      <c r="E419" s="2"/>
      <c r="F419" s="2"/>
      <c r="G419" s="68" t="e">
        <f>G420+G433</f>
        <v>#REF!</v>
      </c>
    </row>
    <row r="420" spans="1:7" ht="78.75">
      <c r="A420" s="43" t="s">
        <v>596</v>
      </c>
      <c r="B420" s="8" t="s">
        <v>597</v>
      </c>
      <c r="C420" s="8"/>
      <c r="D420" s="8"/>
      <c r="E420" s="3"/>
      <c r="F420" s="3"/>
      <c r="G420" s="68" t="e">
        <f>G421</f>
        <v>#REF!</v>
      </c>
    </row>
    <row r="421" spans="1:7" ht="15.75">
      <c r="A421" s="85" t="s">
        <v>442</v>
      </c>
      <c r="B421" s="42" t="s">
        <v>597</v>
      </c>
      <c r="C421" s="42" t="s">
        <v>285</v>
      </c>
      <c r="D421" s="42"/>
      <c r="E421" s="2"/>
      <c r="F421" s="2"/>
      <c r="G421" s="11" t="e">
        <f>G422</f>
        <v>#REF!</v>
      </c>
    </row>
    <row r="422" spans="1:7" ht="15.75">
      <c r="A422" s="85" t="s">
        <v>593</v>
      </c>
      <c r="B422" s="42" t="s">
        <v>597</v>
      </c>
      <c r="C422" s="42" t="s">
        <v>285</v>
      </c>
      <c r="D422" s="42" t="s">
        <v>266</v>
      </c>
      <c r="E422" s="2"/>
      <c r="F422" s="2"/>
      <c r="G422" s="11" t="e">
        <f>G423+G426+G429</f>
        <v>#REF!</v>
      </c>
    </row>
    <row r="423" spans="1:7" ht="31.5">
      <c r="A423" s="26" t="s">
        <v>598</v>
      </c>
      <c r="B423" s="21" t="s">
        <v>599</v>
      </c>
      <c r="C423" s="42" t="s">
        <v>285</v>
      </c>
      <c r="D423" s="42" t="s">
        <v>266</v>
      </c>
      <c r="E423" s="2"/>
      <c r="F423" s="2"/>
      <c r="G423" s="11" t="e">
        <f>G424</f>
        <v>#REF!</v>
      </c>
    </row>
    <row r="424" spans="1:7" ht="51" customHeight="1">
      <c r="A424" s="26" t="s">
        <v>182</v>
      </c>
      <c r="B424" s="21" t="s">
        <v>599</v>
      </c>
      <c r="C424" s="42" t="s">
        <v>285</v>
      </c>
      <c r="D424" s="42" t="s">
        <v>266</v>
      </c>
      <c r="E424" s="2">
        <v>200</v>
      </c>
      <c r="F424" s="2"/>
      <c r="G424" s="11" t="e">
        <f>G425</f>
        <v>#REF!</v>
      </c>
    </row>
    <row r="425" spans="1:7" ht="47.25">
      <c r="A425" s="26" t="s">
        <v>184</v>
      </c>
      <c r="B425" s="21" t="s">
        <v>599</v>
      </c>
      <c r="C425" s="42" t="s">
        <v>285</v>
      </c>
      <c r="D425" s="42" t="s">
        <v>266</v>
      </c>
      <c r="E425" s="2">
        <v>240</v>
      </c>
      <c r="F425" s="2"/>
      <c r="G425" s="11" t="e">
        <f>#REF!</f>
        <v>#REF!</v>
      </c>
    </row>
    <row r="426" spans="1:7" ht="31.5" customHeight="1">
      <c r="A426" s="26" t="s">
        <v>600</v>
      </c>
      <c r="B426" s="21" t="s">
        <v>601</v>
      </c>
      <c r="C426" s="42" t="s">
        <v>285</v>
      </c>
      <c r="D426" s="42" t="s">
        <v>266</v>
      </c>
      <c r="E426" s="2"/>
      <c r="F426" s="2"/>
      <c r="G426" s="11" t="e">
        <f>G427</f>
        <v>#REF!</v>
      </c>
    </row>
    <row r="427" spans="1:7" ht="47.25">
      <c r="A427" s="26" t="s">
        <v>182</v>
      </c>
      <c r="B427" s="21" t="s">
        <v>601</v>
      </c>
      <c r="C427" s="42" t="s">
        <v>285</v>
      </c>
      <c r="D427" s="42" t="s">
        <v>266</v>
      </c>
      <c r="E427" s="2">
        <v>200</v>
      </c>
      <c r="F427" s="2"/>
      <c r="G427" s="11" t="e">
        <f>G428</f>
        <v>#REF!</v>
      </c>
    </row>
    <row r="428" spans="1:7" ht="47.25">
      <c r="A428" s="26" t="s">
        <v>184</v>
      </c>
      <c r="B428" s="21" t="s">
        <v>601</v>
      </c>
      <c r="C428" s="42" t="s">
        <v>285</v>
      </c>
      <c r="D428" s="42" t="s">
        <v>266</v>
      </c>
      <c r="E428" s="2">
        <v>240</v>
      </c>
      <c r="F428" s="2"/>
      <c r="G428" s="11" t="e">
        <f>#REF!</f>
        <v>#REF!</v>
      </c>
    </row>
    <row r="429" spans="1:7" ht="31.5">
      <c r="A429" s="26" t="s">
        <v>602</v>
      </c>
      <c r="B429" s="21" t="s">
        <v>603</v>
      </c>
      <c r="C429" s="42" t="s">
        <v>285</v>
      </c>
      <c r="D429" s="42" t="s">
        <v>266</v>
      </c>
      <c r="E429" s="2"/>
      <c r="F429" s="2"/>
      <c r="G429" s="11" t="e">
        <f>G430</f>
        <v>#REF!</v>
      </c>
    </row>
    <row r="430" spans="1:7" ht="47.25">
      <c r="A430" s="26" t="s">
        <v>182</v>
      </c>
      <c r="B430" s="21" t="s">
        <v>603</v>
      </c>
      <c r="C430" s="42" t="s">
        <v>285</v>
      </c>
      <c r="D430" s="42" t="s">
        <v>266</v>
      </c>
      <c r="E430" s="2">
        <v>200</v>
      </c>
      <c r="F430" s="2"/>
      <c r="G430" s="11" t="e">
        <f>G431</f>
        <v>#REF!</v>
      </c>
    </row>
    <row r="431" spans="1:7" ht="47.25">
      <c r="A431" s="26" t="s">
        <v>184</v>
      </c>
      <c r="B431" s="21" t="s">
        <v>603</v>
      </c>
      <c r="C431" s="42" t="s">
        <v>285</v>
      </c>
      <c r="D431" s="42" t="s">
        <v>266</v>
      </c>
      <c r="E431" s="2">
        <v>240</v>
      </c>
      <c r="F431" s="2"/>
      <c r="G431" s="11" t="e">
        <f>#REF!</f>
        <v>#REF!</v>
      </c>
    </row>
    <row r="432" spans="1:7" ht="47.25">
      <c r="A432" s="47" t="s">
        <v>700</v>
      </c>
      <c r="B432" s="42" t="s">
        <v>597</v>
      </c>
      <c r="C432" s="42" t="s">
        <v>285</v>
      </c>
      <c r="D432" s="42" t="s">
        <v>266</v>
      </c>
      <c r="E432" s="2"/>
      <c r="F432" s="2">
        <v>908</v>
      </c>
      <c r="G432" s="11" t="e">
        <f>G420</f>
        <v>#REF!</v>
      </c>
    </row>
    <row r="433" spans="1:7" ht="63">
      <c r="A433" s="24" t="s">
        <v>604</v>
      </c>
      <c r="B433" s="8" t="s">
        <v>605</v>
      </c>
      <c r="C433" s="8"/>
      <c r="D433" s="8"/>
      <c r="E433" s="3"/>
      <c r="F433" s="3"/>
      <c r="G433" s="68" t="e">
        <f>G434</f>
        <v>#REF!</v>
      </c>
    </row>
    <row r="434" spans="1:7" ht="15.75">
      <c r="A434" s="85" t="s">
        <v>442</v>
      </c>
      <c r="B434" s="42" t="s">
        <v>605</v>
      </c>
      <c r="C434" s="42" t="s">
        <v>285</v>
      </c>
      <c r="D434" s="42"/>
      <c r="E434" s="2"/>
      <c r="F434" s="2"/>
      <c r="G434" s="11" t="e">
        <f>G435</f>
        <v>#REF!</v>
      </c>
    </row>
    <row r="435" spans="1:7" ht="15.75">
      <c r="A435" s="85" t="s">
        <v>593</v>
      </c>
      <c r="B435" s="42" t="s">
        <v>605</v>
      </c>
      <c r="C435" s="42" t="s">
        <v>285</v>
      </c>
      <c r="D435" s="42" t="s">
        <v>266</v>
      </c>
      <c r="E435" s="2"/>
      <c r="F435" s="2"/>
      <c r="G435" s="11" t="e">
        <f>G436+G441+G444+G447</f>
        <v>#REF!</v>
      </c>
    </row>
    <row r="436" spans="1:7" ht="31.5">
      <c r="A436" s="26" t="s">
        <v>602</v>
      </c>
      <c r="B436" s="21" t="s">
        <v>606</v>
      </c>
      <c r="C436" s="42" t="s">
        <v>285</v>
      </c>
      <c r="D436" s="42" t="s">
        <v>266</v>
      </c>
      <c r="E436" s="2"/>
      <c r="F436" s="2"/>
      <c r="G436" s="11" t="e">
        <f>G437+G439</f>
        <v>#REF!</v>
      </c>
    </row>
    <row r="437" spans="1:7" ht="110.25">
      <c r="A437" s="26" t="s">
        <v>178</v>
      </c>
      <c r="B437" s="21" t="s">
        <v>606</v>
      </c>
      <c r="C437" s="42" t="s">
        <v>285</v>
      </c>
      <c r="D437" s="42" t="s">
        <v>266</v>
      </c>
      <c r="E437" s="2">
        <v>100</v>
      </c>
      <c r="F437" s="2"/>
      <c r="G437" s="11" t="e">
        <f>G438</f>
        <v>#REF!</v>
      </c>
    </row>
    <row r="438" spans="1:7" ht="31.5">
      <c r="A438" s="48" t="s">
        <v>393</v>
      </c>
      <c r="B438" s="21" t="s">
        <v>606</v>
      </c>
      <c r="C438" s="42" t="s">
        <v>285</v>
      </c>
      <c r="D438" s="42" t="s">
        <v>266</v>
      </c>
      <c r="E438" s="2">
        <v>110</v>
      </c>
      <c r="F438" s="2"/>
      <c r="G438" s="11" t="e">
        <f>#REF!</f>
        <v>#REF!</v>
      </c>
    </row>
    <row r="439" spans="1:7" ht="47.25">
      <c r="A439" s="26" t="s">
        <v>182</v>
      </c>
      <c r="B439" s="21" t="s">
        <v>606</v>
      </c>
      <c r="C439" s="42" t="s">
        <v>285</v>
      </c>
      <c r="D439" s="42" t="s">
        <v>266</v>
      </c>
      <c r="E439" s="2">
        <v>200</v>
      </c>
      <c r="F439" s="2"/>
      <c r="G439" s="11" t="e">
        <f>G440</f>
        <v>#REF!</v>
      </c>
    </row>
    <row r="440" spans="1:7" ht="47.25">
      <c r="A440" s="26" t="s">
        <v>184</v>
      </c>
      <c r="B440" s="21" t="s">
        <v>606</v>
      </c>
      <c r="C440" s="42" t="s">
        <v>285</v>
      </c>
      <c r="D440" s="42" t="s">
        <v>266</v>
      </c>
      <c r="E440" s="2">
        <v>240</v>
      </c>
      <c r="F440" s="2"/>
      <c r="G440" s="11" t="e">
        <f>#REF!</f>
        <v>#REF!</v>
      </c>
    </row>
    <row r="441" spans="1:7" ht="15.75">
      <c r="A441" s="26" t="s">
        <v>607</v>
      </c>
      <c r="B441" s="21" t="s">
        <v>608</v>
      </c>
      <c r="C441" s="42" t="s">
        <v>285</v>
      </c>
      <c r="D441" s="42" t="s">
        <v>266</v>
      </c>
      <c r="E441" s="2"/>
      <c r="F441" s="2"/>
      <c r="G441" s="11" t="e">
        <f>G442</f>
        <v>#REF!</v>
      </c>
    </row>
    <row r="442" spans="1:7" ht="47.25">
      <c r="A442" s="26" t="s">
        <v>182</v>
      </c>
      <c r="B442" s="21" t="s">
        <v>608</v>
      </c>
      <c r="C442" s="42" t="s">
        <v>285</v>
      </c>
      <c r="D442" s="42" t="s">
        <v>266</v>
      </c>
      <c r="E442" s="2">
        <v>200</v>
      </c>
      <c r="F442" s="2"/>
      <c r="G442" s="11" t="e">
        <f>G443</f>
        <v>#REF!</v>
      </c>
    </row>
    <row r="443" spans="1:7" ht="47.25">
      <c r="A443" s="26" t="s">
        <v>184</v>
      </c>
      <c r="B443" s="21" t="s">
        <v>608</v>
      </c>
      <c r="C443" s="42" t="s">
        <v>285</v>
      </c>
      <c r="D443" s="42" t="s">
        <v>266</v>
      </c>
      <c r="E443" s="2">
        <v>240</v>
      </c>
      <c r="F443" s="2"/>
      <c r="G443" s="11" t="e">
        <f>#REF!</f>
        <v>#REF!</v>
      </c>
    </row>
    <row r="444" spans="1:7" ht="63">
      <c r="A444" s="123" t="s">
        <v>609</v>
      </c>
      <c r="B444" s="21" t="s">
        <v>610</v>
      </c>
      <c r="C444" s="42" t="s">
        <v>285</v>
      </c>
      <c r="D444" s="42" t="s">
        <v>266</v>
      </c>
      <c r="E444" s="2"/>
      <c r="F444" s="2"/>
      <c r="G444" s="11" t="e">
        <f>G445</f>
        <v>#REF!</v>
      </c>
    </row>
    <row r="445" spans="1:7" ht="47.25">
      <c r="A445" s="26" t="s">
        <v>182</v>
      </c>
      <c r="B445" s="21" t="s">
        <v>610</v>
      </c>
      <c r="C445" s="42" t="s">
        <v>285</v>
      </c>
      <c r="D445" s="42" t="s">
        <v>266</v>
      </c>
      <c r="E445" s="2">
        <v>200</v>
      </c>
      <c r="F445" s="2"/>
      <c r="G445" s="11" t="e">
        <f>G446</f>
        <v>#REF!</v>
      </c>
    </row>
    <row r="446" spans="1:7" ht="47.25">
      <c r="A446" s="26" t="s">
        <v>184</v>
      </c>
      <c r="B446" s="21" t="s">
        <v>610</v>
      </c>
      <c r="C446" s="42" t="s">
        <v>285</v>
      </c>
      <c r="D446" s="42" t="s">
        <v>266</v>
      </c>
      <c r="E446" s="2">
        <v>240</v>
      </c>
      <c r="F446" s="2"/>
      <c r="G446" s="11" t="e">
        <f>#REF!</f>
        <v>#REF!</v>
      </c>
    </row>
    <row r="447" spans="1:7" ht="31.5">
      <c r="A447" s="123" t="s">
        <v>611</v>
      </c>
      <c r="B447" s="21" t="s">
        <v>612</v>
      </c>
      <c r="C447" s="42" t="s">
        <v>285</v>
      </c>
      <c r="D447" s="42" t="s">
        <v>266</v>
      </c>
      <c r="E447" s="2"/>
      <c r="F447" s="2"/>
      <c r="G447" s="11" t="e">
        <f>G448</f>
        <v>#REF!</v>
      </c>
    </row>
    <row r="448" spans="1:7" ht="47.25">
      <c r="A448" s="26" t="s">
        <v>182</v>
      </c>
      <c r="B448" s="21" t="s">
        <v>612</v>
      </c>
      <c r="C448" s="42" t="s">
        <v>285</v>
      </c>
      <c r="D448" s="42" t="s">
        <v>266</v>
      </c>
      <c r="E448" s="2">
        <v>200</v>
      </c>
      <c r="F448" s="2"/>
      <c r="G448" s="11" t="e">
        <f>G449</f>
        <v>#REF!</v>
      </c>
    </row>
    <row r="449" spans="1:7" ht="47.25">
      <c r="A449" s="26" t="s">
        <v>184</v>
      </c>
      <c r="B449" s="21" t="s">
        <v>612</v>
      </c>
      <c r="C449" s="42" t="s">
        <v>285</v>
      </c>
      <c r="D449" s="42" t="s">
        <v>266</v>
      </c>
      <c r="E449" s="2">
        <v>240</v>
      </c>
      <c r="F449" s="2"/>
      <c r="G449" s="11" t="e">
        <f>#REF!</f>
        <v>#REF!</v>
      </c>
    </row>
    <row r="450" spans="1:7" ht="47.25">
      <c r="A450" s="47" t="s">
        <v>700</v>
      </c>
      <c r="B450" s="21" t="s">
        <v>605</v>
      </c>
      <c r="C450" s="42" t="s">
        <v>285</v>
      </c>
      <c r="D450" s="42" t="s">
        <v>266</v>
      </c>
      <c r="E450" s="2"/>
      <c r="F450" s="2">
        <v>908</v>
      </c>
      <c r="G450" s="11" t="e">
        <f>G433</f>
        <v>#REF!</v>
      </c>
    </row>
    <row r="451" spans="1:7" ht="78.75">
      <c r="A451" s="36" t="s">
        <v>232</v>
      </c>
      <c r="B451" s="206" t="s">
        <v>233</v>
      </c>
      <c r="C451" s="8"/>
      <c r="D451" s="8"/>
      <c r="E451" s="8"/>
      <c r="F451" s="3"/>
      <c r="G451" s="68" t="e">
        <f>G452</f>
        <v>#REF!</v>
      </c>
    </row>
    <row r="452" spans="1:7" ht="15.75">
      <c r="A452" s="26" t="s">
        <v>168</v>
      </c>
      <c r="B452" s="6" t="s">
        <v>233</v>
      </c>
      <c r="C452" s="42" t="s">
        <v>169</v>
      </c>
      <c r="D452" s="42"/>
      <c r="E452" s="42"/>
      <c r="F452" s="2"/>
      <c r="G452" s="11" t="e">
        <f>G453</f>
        <v>#REF!</v>
      </c>
    </row>
    <row r="453" spans="1:7" ht="31.5">
      <c r="A453" s="26" t="s">
        <v>190</v>
      </c>
      <c r="B453" s="32" t="s">
        <v>233</v>
      </c>
      <c r="C453" s="42" t="s">
        <v>169</v>
      </c>
      <c r="D453" s="42" t="s">
        <v>191</v>
      </c>
      <c r="E453" s="42"/>
      <c r="F453" s="2"/>
      <c r="G453" s="11" t="e">
        <f>G454</f>
        <v>#REF!</v>
      </c>
    </row>
    <row r="454" spans="1:7" ht="47.25">
      <c r="A454" s="31" t="s">
        <v>208</v>
      </c>
      <c r="B454" s="21" t="s">
        <v>234</v>
      </c>
      <c r="C454" s="42" t="s">
        <v>169</v>
      </c>
      <c r="D454" s="42" t="s">
        <v>191</v>
      </c>
      <c r="E454" s="42"/>
      <c r="F454" s="2"/>
      <c r="G454" s="11" t="e">
        <f>G455</f>
        <v>#REF!</v>
      </c>
    </row>
    <row r="455" spans="1:7" ht="47.25">
      <c r="A455" s="31" t="s">
        <v>182</v>
      </c>
      <c r="B455" s="21" t="s">
        <v>234</v>
      </c>
      <c r="C455" s="42" t="s">
        <v>169</v>
      </c>
      <c r="D455" s="42" t="s">
        <v>191</v>
      </c>
      <c r="E455" s="42" t="s">
        <v>196</v>
      </c>
      <c r="F455" s="2"/>
      <c r="G455" s="11" t="e">
        <f>G456</f>
        <v>#REF!</v>
      </c>
    </row>
    <row r="456" spans="1:7" ht="78.75">
      <c r="A456" s="31" t="s">
        <v>235</v>
      </c>
      <c r="B456" s="21" t="s">
        <v>234</v>
      </c>
      <c r="C456" s="42" t="s">
        <v>169</v>
      </c>
      <c r="D456" s="42" t="s">
        <v>191</v>
      </c>
      <c r="E456" s="42" t="s">
        <v>211</v>
      </c>
      <c r="F456" s="2"/>
      <c r="G456" s="11" t="e">
        <f>#REF!</f>
        <v>#REF!</v>
      </c>
    </row>
    <row r="457" spans="1:7" ht="31.5">
      <c r="A457" s="31" t="s">
        <v>199</v>
      </c>
      <c r="B457" s="32" t="s">
        <v>233</v>
      </c>
      <c r="C457" s="42" t="s">
        <v>169</v>
      </c>
      <c r="D457" s="42" t="s">
        <v>191</v>
      </c>
      <c r="E457" s="42"/>
      <c r="F457" s="2">
        <v>902</v>
      </c>
      <c r="G457" s="11" t="e">
        <f>G451</f>
        <v>#REF!</v>
      </c>
    </row>
    <row r="458" spans="1:7" ht="94.5">
      <c r="A458" s="43" t="s">
        <v>733</v>
      </c>
      <c r="B458" s="8" t="s">
        <v>570</v>
      </c>
      <c r="C458" s="8"/>
      <c r="D458" s="8"/>
      <c r="E458" s="84"/>
      <c r="F458" s="3"/>
      <c r="G458" s="68" t="e">
        <f>G459</f>
        <v>#REF!</v>
      </c>
    </row>
    <row r="459" spans="1:7" ht="15.75">
      <c r="A459" s="31" t="s">
        <v>442</v>
      </c>
      <c r="B459" s="42" t="s">
        <v>570</v>
      </c>
      <c r="C459" s="42" t="s">
        <v>285</v>
      </c>
      <c r="D459" s="42"/>
      <c r="E459" s="85"/>
      <c r="F459" s="2"/>
      <c r="G459" s="11" t="e">
        <f>G460</f>
        <v>#REF!</v>
      </c>
    </row>
    <row r="460" spans="1:7" ht="15.75">
      <c r="A460" s="31" t="s">
        <v>569</v>
      </c>
      <c r="B460" s="42" t="s">
        <v>570</v>
      </c>
      <c r="C460" s="42" t="s">
        <v>285</v>
      </c>
      <c r="D460" s="42" t="s">
        <v>264</v>
      </c>
      <c r="E460" s="85"/>
      <c r="F460" s="2"/>
      <c r="G460" s="11" t="e">
        <f>G465+G468+G471+G474+G477+G480+G483</f>
        <v>#REF!</v>
      </c>
    </row>
    <row r="461" spans="1:7" ht="63" hidden="1">
      <c r="A461" s="37" t="s">
        <v>571</v>
      </c>
      <c r="B461" s="21" t="s">
        <v>572</v>
      </c>
      <c r="C461" s="42" t="s">
        <v>285</v>
      </c>
      <c r="D461" s="42" t="s">
        <v>264</v>
      </c>
      <c r="E461" s="85"/>
      <c r="F461" s="2"/>
      <c r="G461" s="11">
        <f>G462</f>
        <v>0</v>
      </c>
    </row>
    <row r="462" spans="1:7" ht="47.25" hidden="1">
      <c r="A462" s="31" t="s">
        <v>182</v>
      </c>
      <c r="B462" s="21" t="s">
        <v>572</v>
      </c>
      <c r="C462" s="42" t="s">
        <v>285</v>
      </c>
      <c r="D462" s="42" t="s">
        <v>264</v>
      </c>
      <c r="E462" s="42" t="s">
        <v>183</v>
      </c>
      <c r="F462" s="2"/>
      <c r="G462" s="11">
        <f>G463</f>
        <v>0</v>
      </c>
    </row>
    <row r="463" spans="1:7" ht="47.25" hidden="1">
      <c r="A463" s="31" t="s">
        <v>184</v>
      </c>
      <c r="B463" s="21" t="s">
        <v>572</v>
      </c>
      <c r="C463" s="42" t="s">
        <v>285</v>
      </c>
      <c r="D463" s="42" t="s">
        <v>264</v>
      </c>
      <c r="E463" s="42" t="s">
        <v>185</v>
      </c>
      <c r="F463" s="2"/>
      <c r="G463" s="11"/>
    </row>
    <row r="464" spans="1:7" ht="47.25" hidden="1">
      <c r="A464" s="47" t="s">
        <v>700</v>
      </c>
      <c r="B464" s="21" t="s">
        <v>572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3" t="s">
        <v>573</v>
      </c>
      <c r="B465" s="21" t="s">
        <v>574</v>
      </c>
      <c r="C465" s="42" t="s">
        <v>285</v>
      </c>
      <c r="D465" s="42" t="s">
        <v>264</v>
      </c>
      <c r="E465" s="42"/>
      <c r="F465" s="2"/>
      <c r="G465" s="11" t="e">
        <f>G466</f>
        <v>#REF!</v>
      </c>
    </row>
    <row r="466" spans="1:7" ht="47.25">
      <c r="A466" s="33" t="s">
        <v>182</v>
      </c>
      <c r="B466" s="21" t="s">
        <v>574</v>
      </c>
      <c r="C466" s="42" t="s">
        <v>285</v>
      </c>
      <c r="D466" s="42" t="s">
        <v>264</v>
      </c>
      <c r="E466" s="42" t="s">
        <v>183</v>
      </c>
      <c r="F466" s="2"/>
      <c r="G466" s="11" t="e">
        <f>G467</f>
        <v>#REF!</v>
      </c>
    </row>
    <row r="467" spans="1:7" ht="47.25">
      <c r="A467" s="33" t="s">
        <v>184</v>
      </c>
      <c r="B467" s="21" t="s">
        <v>574</v>
      </c>
      <c r="C467" s="42" t="s">
        <v>285</v>
      </c>
      <c r="D467" s="42" t="s">
        <v>264</v>
      </c>
      <c r="E467" s="42" t="s">
        <v>185</v>
      </c>
      <c r="F467" s="2"/>
      <c r="G467" s="11" t="e">
        <f>#REF!</f>
        <v>#REF!</v>
      </c>
    </row>
    <row r="468" spans="1:7" ht="15.75">
      <c r="A468" s="123" t="s">
        <v>575</v>
      </c>
      <c r="B468" s="21" t="s">
        <v>576</v>
      </c>
      <c r="C468" s="42" t="s">
        <v>285</v>
      </c>
      <c r="D468" s="42" t="s">
        <v>264</v>
      </c>
      <c r="E468" s="42"/>
      <c r="F468" s="2"/>
      <c r="G468" s="11" t="e">
        <f>G469</f>
        <v>#REF!</v>
      </c>
    </row>
    <row r="469" spans="1:7" ht="47.25">
      <c r="A469" s="33" t="s">
        <v>182</v>
      </c>
      <c r="B469" s="21" t="s">
        <v>576</v>
      </c>
      <c r="C469" s="42" t="s">
        <v>285</v>
      </c>
      <c r="D469" s="42" t="s">
        <v>264</v>
      </c>
      <c r="E469" s="42" t="s">
        <v>183</v>
      </c>
      <c r="F469" s="2"/>
      <c r="G469" s="11" t="e">
        <f>G470</f>
        <v>#REF!</v>
      </c>
    </row>
    <row r="470" spans="1:7" ht="47.25">
      <c r="A470" s="33" t="s">
        <v>184</v>
      </c>
      <c r="B470" s="21" t="s">
        <v>576</v>
      </c>
      <c r="C470" s="42" t="s">
        <v>285</v>
      </c>
      <c r="D470" s="42" t="s">
        <v>264</v>
      </c>
      <c r="E470" s="42" t="s">
        <v>185</v>
      </c>
      <c r="F470" s="2"/>
      <c r="G470" s="11" t="e">
        <f>#REF!</f>
        <v>#REF!</v>
      </c>
    </row>
    <row r="471" spans="1:7" ht="15.75">
      <c r="A471" s="123" t="s">
        <v>577</v>
      </c>
      <c r="B471" s="21" t="s">
        <v>578</v>
      </c>
      <c r="C471" s="42" t="s">
        <v>285</v>
      </c>
      <c r="D471" s="42" t="s">
        <v>264</v>
      </c>
      <c r="E471" s="42"/>
      <c r="F471" s="2"/>
      <c r="G471" s="11" t="e">
        <f>G472</f>
        <v>#REF!</v>
      </c>
    </row>
    <row r="472" spans="1:7" ht="47.25">
      <c r="A472" s="33" t="s">
        <v>182</v>
      </c>
      <c r="B472" s="21" t="s">
        <v>578</v>
      </c>
      <c r="C472" s="42" t="s">
        <v>285</v>
      </c>
      <c r="D472" s="42" t="s">
        <v>264</v>
      </c>
      <c r="E472" s="42" t="s">
        <v>183</v>
      </c>
      <c r="F472" s="2"/>
      <c r="G472" s="11" t="e">
        <f>G473</f>
        <v>#REF!</v>
      </c>
    </row>
    <row r="473" spans="1:7" ht="47.25">
      <c r="A473" s="33" t="s">
        <v>184</v>
      </c>
      <c r="B473" s="21" t="s">
        <v>578</v>
      </c>
      <c r="C473" s="42" t="s">
        <v>285</v>
      </c>
      <c r="D473" s="42" t="s">
        <v>264</v>
      </c>
      <c r="E473" s="42" t="s">
        <v>185</v>
      </c>
      <c r="F473" s="2"/>
      <c r="G473" s="11" t="e">
        <f>#REF!</f>
        <v>#REF!</v>
      </c>
    </row>
    <row r="474" spans="1:7" ht="31.5">
      <c r="A474" s="123" t="s">
        <v>579</v>
      </c>
      <c r="B474" s="21" t="s">
        <v>580</v>
      </c>
      <c r="C474" s="42" t="s">
        <v>285</v>
      </c>
      <c r="D474" s="42" t="s">
        <v>264</v>
      </c>
      <c r="E474" s="42"/>
      <c r="F474" s="2"/>
      <c r="G474" s="11" t="e">
        <f>G475</f>
        <v>#REF!</v>
      </c>
    </row>
    <row r="475" spans="1:7" ht="47.25">
      <c r="A475" s="33" t="s">
        <v>182</v>
      </c>
      <c r="B475" s="21" t="s">
        <v>580</v>
      </c>
      <c r="C475" s="42" t="s">
        <v>285</v>
      </c>
      <c r="D475" s="42" t="s">
        <v>264</v>
      </c>
      <c r="E475" s="42" t="s">
        <v>183</v>
      </c>
      <c r="F475" s="2"/>
      <c r="G475" s="11" t="e">
        <f>G476</f>
        <v>#REF!</v>
      </c>
    </row>
    <row r="476" spans="1:7" ht="47.25">
      <c r="A476" s="33" t="s">
        <v>184</v>
      </c>
      <c r="B476" s="21" t="s">
        <v>580</v>
      </c>
      <c r="C476" s="42" t="s">
        <v>285</v>
      </c>
      <c r="D476" s="42" t="s">
        <v>264</v>
      </c>
      <c r="E476" s="42" t="s">
        <v>185</v>
      </c>
      <c r="F476" s="2"/>
      <c r="G476" s="11" t="e">
        <f>#REF!</f>
        <v>#REF!</v>
      </c>
    </row>
    <row r="477" spans="1:7" ht="15.75">
      <c r="A477" s="123" t="s">
        <v>581</v>
      </c>
      <c r="B477" s="21" t="s">
        <v>582</v>
      </c>
      <c r="C477" s="42" t="s">
        <v>285</v>
      </c>
      <c r="D477" s="42" t="s">
        <v>264</v>
      </c>
      <c r="E477" s="42"/>
      <c r="F477" s="2"/>
      <c r="G477" s="11" t="e">
        <f>G478</f>
        <v>#REF!</v>
      </c>
    </row>
    <row r="478" spans="1:7" ht="47.25">
      <c r="A478" s="33" t="s">
        <v>182</v>
      </c>
      <c r="B478" s="21" t="s">
        <v>582</v>
      </c>
      <c r="C478" s="42" t="s">
        <v>285</v>
      </c>
      <c r="D478" s="42" t="s">
        <v>264</v>
      </c>
      <c r="E478" s="42" t="s">
        <v>183</v>
      </c>
      <c r="F478" s="2"/>
      <c r="G478" s="11" t="e">
        <f>G479</f>
        <v>#REF!</v>
      </c>
    </row>
    <row r="479" spans="1:7" ht="47.25">
      <c r="A479" s="33" t="s">
        <v>184</v>
      </c>
      <c r="B479" s="21" t="s">
        <v>582</v>
      </c>
      <c r="C479" s="42" t="s">
        <v>285</v>
      </c>
      <c r="D479" s="42" t="s">
        <v>264</v>
      </c>
      <c r="E479" s="42" t="s">
        <v>185</v>
      </c>
      <c r="F479" s="2"/>
      <c r="G479" s="11" t="e">
        <f>#REF!</f>
        <v>#REF!</v>
      </c>
    </row>
    <row r="480" spans="1:7" ht="31.5" hidden="1">
      <c r="A480" s="121" t="s">
        <v>583</v>
      </c>
      <c r="B480" s="21" t="s">
        <v>584</v>
      </c>
      <c r="C480" s="42" t="s">
        <v>285</v>
      </c>
      <c r="D480" s="42" t="s">
        <v>264</v>
      </c>
      <c r="E480" s="42"/>
      <c r="F480" s="2"/>
      <c r="G480" s="11">
        <f>G481</f>
        <v>0</v>
      </c>
    </row>
    <row r="481" spans="1:7" ht="47.25" hidden="1">
      <c r="A481" s="33" t="s">
        <v>182</v>
      </c>
      <c r="B481" s="21" t="s">
        <v>584</v>
      </c>
      <c r="C481" s="42" t="s">
        <v>285</v>
      </c>
      <c r="D481" s="42" t="s">
        <v>264</v>
      </c>
      <c r="E481" s="42"/>
      <c r="F481" s="2"/>
      <c r="G481" s="11">
        <f>G482</f>
        <v>0</v>
      </c>
    </row>
    <row r="482" spans="1:7" ht="47.25" hidden="1">
      <c r="A482" s="33" t="s">
        <v>184</v>
      </c>
      <c r="B482" s="21" t="s">
        <v>584</v>
      </c>
      <c r="C482" s="42" t="s">
        <v>285</v>
      </c>
      <c r="D482" s="42" t="s">
        <v>264</v>
      </c>
      <c r="E482" s="42"/>
      <c r="F482" s="2"/>
      <c r="G482" s="11"/>
    </row>
    <row r="483" spans="1:7" ht="31.5">
      <c r="A483" s="121" t="s">
        <v>585</v>
      </c>
      <c r="B483" s="21" t="s">
        <v>586</v>
      </c>
      <c r="C483" s="42" t="s">
        <v>285</v>
      </c>
      <c r="D483" s="42" t="s">
        <v>264</v>
      </c>
      <c r="E483" s="42"/>
      <c r="F483" s="2"/>
      <c r="G483" s="11" t="e">
        <f>G484</f>
        <v>#REF!</v>
      </c>
    </row>
    <row r="484" spans="1:7" ht="47.25">
      <c r="A484" s="26" t="s">
        <v>182</v>
      </c>
      <c r="B484" s="21" t="s">
        <v>586</v>
      </c>
      <c r="C484" s="42" t="s">
        <v>285</v>
      </c>
      <c r="D484" s="42" t="s">
        <v>264</v>
      </c>
      <c r="E484" s="2">
        <v>200</v>
      </c>
      <c r="F484" s="89"/>
      <c r="G484" s="7" t="e">
        <f>G485</f>
        <v>#REF!</v>
      </c>
    </row>
    <row r="485" spans="1:7" ht="47.25">
      <c r="A485" s="26" t="s">
        <v>184</v>
      </c>
      <c r="B485" s="21" t="s">
        <v>586</v>
      </c>
      <c r="C485" s="42" t="s">
        <v>285</v>
      </c>
      <c r="D485" s="42" t="s">
        <v>264</v>
      </c>
      <c r="E485" s="2">
        <v>240</v>
      </c>
      <c r="F485" s="89"/>
      <c r="G485" s="7" t="e">
        <f>#REF!</f>
        <v>#REF!</v>
      </c>
    </row>
    <row r="486" spans="1:7" ht="47.25">
      <c r="A486" s="47" t="s">
        <v>700</v>
      </c>
      <c r="B486" s="21" t="s">
        <v>570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>
      <c r="A487" s="24" t="s">
        <v>385</v>
      </c>
      <c r="B487" s="25" t="s">
        <v>386</v>
      </c>
      <c r="C487" s="8"/>
      <c r="D487" s="8"/>
      <c r="E487" s="3"/>
      <c r="F487" s="3"/>
      <c r="G487" s="4" t="e">
        <f>G488+G499</f>
        <v>#REF!</v>
      </c>
    </row>
    <row r="488" spans="1:7" ht="15.75">
      <c r="A488" s="26" t="s">
        <v>314</v>
      </c>
      <c r="B488" s="21" t="s">
        <v>386</v>
      </c>
      <c r="C488" s="42" t="s">
        <v>315</v>
      </c>
      <c r="D488" s="42"/>
      <c r="E488" s="2"/>
      <c r="F488" s="2"/>
      <c r="G488" s="7" t="e">
        <f>G489</f>
        <v>#REF!</v>
      </c>
    </row>
    <row r="489" spans="1:7" ht="31.5">
      <c r="A489" s="26" t="s">
        <v>346</v>
      </c>
      <c r="B489" s="21" t="s">
        <v>386</v>
      </c>
      <c r="C489" s="42" t="s">
        <v>315</v>
      </c>
      <c r="D489" s="42" t="s">
        <v>270</v>
      </c>
      <c r="E489" s="2"/>
      <c r="F489" s="2"/>
      <c r="G489" s="7" t="e">
        <f>G490+G493</f>
        <v>#REF!</v>
      </c>
    </row>
    <row r="490" spans="1:7" ht="47.25">
      <c r="A490" s="26" t="s">
        <v>387</v>
      </c>
      <c r="B490" s="21" t="s">
        <v>388</v>
      </c>
      <c r="C490" s="42" t="s">
        <v>315</v>
      </c>
      <c r="D490" s="42" t="s">
        <v>270</v>
      </c>
      <c r="E490" s="2"/>
      <c r="F490" s="2"/>
      <c r="G490" s="7" t="e">
        <f>G491</f>
        <v>#REF!</v>
      </c>
    </row>
    <row r="491" spans="1:7" ht="47.25">
      <c r="A491" s="26" t="s">
        <v>182</v>
      </c>
      <c r="B491" s="21" t="s">
        <v>388</v>
      </c>
      <c r="C491" s="42" t="s">
        <v>315</v>
      </c>
      <c r="D491" s="42" t="s">
        <v>270</v>
      </c>
      <c r="E491" s="2">
        <v>200</v>
      </c>
      <c r="F491" s="2"/>
      <c r="G491" s="7" t="e">
        <f>G492</f>
        <v>#REF!</v>
      </c>
    </row>
    <row r="492" spans="1:7" ht="47.25">
      <c r="A492" s="26" t="s">
        <v>184</v>
      </c>
      <c r="B492" s="21" t="s">
        <v>388</v>
      </c>
      <c r="C492" s="42" t="s">
        <v>315</v>
      </c>
      <c r="D492" s="42" t="s">
        <v>270</v>
      </c>
      <c r="E492" s="2">
        <v>240</v>
      </c>
      <c r="F492" s="2"/>
      <c r="G492" s="7" t="e">
        <f>#REF!</f>
        <v>#REF!</v>
      </c>
    </row>
    <row r="493" spans="1:7" ht="78.75">
      <c r="A493" s="26" t="s">
        <v>528</v>
      </c>
      <c r="B493" s="21" t="s">
        <v>529</v>
      </c>
      <c r="C493" s="42" t="s">
        <v>315</v>
      </c>
      <c r="D493" s="42" t="s">
        <v>270</v>
      </c>
      <c r="E493" s="2"/>
      <c r="F493" s="2"/>
      <c r="G493" s="7" t="e">
        <f>G494+G496</f>
        <v>#REF!</v>
      </c>
    </row>
    <row r="494" spans="1:7" ht="110.25">
      <c r="A494" s="26" t="s">
        <v>178</v>
      </c>
      <c r="B494" s="21" t="s">
        <v>529</v>
      </c>
      <c r="C494" s="42" t="s">
        <v>315</v>
      </c>
      <c r="D494" s="42" t="s">
        <v>270</v>
      </c>
      <c r="E494" s="2">
        <v>100</v>
      </c>
      <c r="F494" s="2"/>
      <c r="G494" s="7" t="e">
        <f>G495</f>
        <v>#REF!</v>
      </c>
    </row>
    <row r="495" spans="1:7" ht="31.5">
      <c r="A495" s="26" t="s">
        <v>393</v>
      </c>
      <c r="B495" s="21" t="s">
        <v>529</v>
      </c>
      <c r="C495" s="42" t="s">
        <v>315</v>
      </c>
      <c r="D495" s="42" t="s">
        <v>270</v>
      </c>
      <c r="E495" s="2">
        <v>110</v>
      </c>
      <c r="F495" s="2"/>
      <c r="G495" s="7" t="e">
        <f>#REF!</f>
        <v>#REF!</v>
      </c>
    </row>
    <row r="496" spans="1:7" ht="47.25">
      <c r="A496" s="26" t="s">
        <v>182</v>
      </c>
      <c r="B496" s="21" t="s">
        <v>529</v>
      </c>
      <c r="C496" s="42" t="s">
        <v>315</v>
      </c>
      <c r="D496" s="42" t="s">
        <v>270</v>
      </c>
      <c r="E496" s="2">
        <v>200</v>
      </c>
      <c r="F496" s="2"/>
      <c r="G496" s="7" t="e">
        <f>G497</f>
        <v>#REF!</v>
      </c>
    </row>
    <row r="497" spans="1:7" ht="47.25">
      <c r="A497" s="26" t="s">
        <v>184</v>
      </c>
      <c r="B497" s="21" t="s">
        <v>529</v>
      </c>
      <c r="C497" s="42" t="s">
        <v>315</v>
      </c>
      <c r="D497" s="42" t="s">
        <v>270</v>
      </c>
      <c r="E497" s="2">
        <v>240</v>
      </c>
      <c r="F497" s="2"/>
      <c r="G497" s="7" t="e">
        <f>#REF!</f>
        <v>#REF!</v>
      </c>
    </row>
    <row r="498" spans="1:7" ht="47.25">
      <c r="A498" s="31" t="s">
        <v>455</v>
      </c>
      <c r="B498" s="21" t="s">
        <v>386</v>
      </c>
      <c r="C498" s="42" t="s">
        <v>315</v>
      </c>
      <c r="D498" s="42" t="s">
        <v>270</v>
      </c>
      <c r="E498" s="2"/>
      <c r="F498" s="2">
        <v>906</v>
      </c>
      <c r="G498" s="7" t="e">
        <f>G490+G493</f>
        <v>#REF!</v>
      </c>
    </row>
    <row r="499" spans="1:7" ht="15.75">
      <c r="A499" s="85" t="s">
        <v>349</v>
      </c>
      <c r="B499" s="21" t="s">
        <v>386</v>
      </c>
      <c r="C499" s="42" t="s">
        <v>350</v>
      </c>
      <c r="D499" s="42"/>
      <c r="E499" s="2"/>
      <c r="F499" s="2"/>
      <c r="G499" s="7" t="e">
        <f>G500</f>
        <v>#REF!</v>
      </c>
    </row>
    <row r="500" spans="1:7" ht="31.5">
      <c r="A500" s="26" t="s">
        <v>384</v>
      </c>
      <c r="B500" s="21" t="s">
        <v>386</v>
      </c>
      <c r="C500" s="42" t="s">
        <v>350</v>
      </c>
      <c r="D500" s="42" t="s">
        <v>201</v>
      </c>
      <c r="E500" s="2"/>
      <c r="F500" s="2"/>
      <c r="G500" s="7" t="e">
        <f>G501+G504+G507</f>
        <v>#REF!</v>
      </c>
    </row>
    <row r="501" spans="1:7" ht="47.25" hidden="1">
      <c r="A501" s="26" t="s">
        <v>387</v>
      </c>
      <c r="B501" s="21" t="s">
        <v>388</v>
      </c>
      <c r="C501" s="42" t="s">
        <v>350</v>
      </c>
      <c r="D501" s="42" t="s">
        <v>201</v>
      </c>
      <c r="E501" s="2"/>
      <c r="F501" s="2"/>
      <c r="G501" s="7" t="e">
        <f>G502</f>
        <v>#REF!</v>
      </c>
    </row>
    <row r="502" spans="1:7" ht="47.25" hidden="1">
      <c r="A502" s="26" t="s">
        <v>182</v>
      </c>
      <c r="B502" s="21" t="s">
        <v>388</v>
      </c>
      <c r="C502" s="42" t="s">
        <v>350</v>
      </c>
      <c r="D502" s="42" t="s">
        <v>201</v>
      </c>
      <c r="E502" s="2">
        <v>200</v>
      </c>
      <c r="F502" s="2"/>
      <c r="G502" s="7" t="e">
        <f>G503</f>
        <v>#REF!</v>
      </c>
    </row>
    <row r="503" spans="1:7" ht="47.25" hidden="1">
      <c r="A503" s="26" t="s">
        <v>184</v>
      </c>
      <c r="B503" s="21" t="s">
        <v>388</v>
      </c>
      <c r="C503" s="42" t="s">
        <v>350</v>
      </c>
      <c r="D503" s="42" t="s">
        <v>201</v>
      </c>
      <c r="E503" s="2">
        <v>240</v>
      </c>
      <c r="F503" s="2"/>
      <c r="G503" s="7" t="e">
        <f>#REF!</f>
        <v>#REF!</v>
      </c>
    </row>
    <row r="504" spans="1:7" ht="31.5">
      <c r="A504" s="26" t="s">
        <v>389</v>
      </c>
      <c r="B504" s="21" t="s">
        <v>390</v>
      </c>
      <c r="C504" s="42" t="s">
        <v>350</v>
      </c>
      <c r="D504" s="42" t="s">
        <v>201</v>
      </c>
      <c r="E504" s="2"/>
      <c r="F504" s="2"/>
      <c r="G504" s="7" t="e">
        <f>G505</f>
        <v>#REF!</v>
      </c>
    </row>
    <row r="505" spans="1:7" ht="47.25">
      <c r="A505" s="26" t="s">
        <v>182</v>
      </c>
      <c r="B505" s="21" t="s">
        <v>390</v>
      </c>
      <c r="C505" s="42" t="s">
        <v>350</v>
      </c>
      <c r="D505" s="42" t="s">
        <v>201</v>
      </c>
      <c r="E505" s="2">
        <v>200</v>
      </c>
      <c r="F505" s="2"/>
      <c r="G505" s="7" t="e">
        <f>G506</f>
        <v>#REF!</v>
      </c>
    </row>
    <row r="506" spans="1:7" ht="47.25">
      <c r="A506" s="26" t="s">
        <v>184</v>
      </c>
      <c r="B506" s="21" t="s">
        <v>390</v>
      </c>
      <c r="C506" s="42" t="s">
        <v>350</v>
      </c>
      <c r="D506" s="42" t="s">
        <v>201</v>
      </c>
      <c r="E506" s="2">
        <v>240</v>
      </c>
      <c r="F506" s="2"/>
      <c r="G506" s="7" t="e">
        <f>#REF!</f>
        <v>#REF!</v>
      </c>
    </row>
    <row r="507" spans="1:7" ht="47.25">
      <c r="A507" s="26" t="s">
        <v>757</v>
      </c>
      <c r="B507" s="21" t="s">
        <v>758</v>
      </c>
      <c r="C507" s="42" t="s">
        <v>350</v>
      </c>
      <c r="D507" s="42" t="s">
        <v>201</v>
      </c>
      <c r="E507" s="2"/>
      <c r="F507" s="2"/>
      <c r="G507" s="7" t="e">
        <f>G508</f>
        <v>#REF!</v>
      </c>
    </row>
    <row r="508" spans="1:7" ht="47.25">
      <c r="A508" s="26" t="s">
        <v>182</v>
      </c>
      <c r="B508" s="21" t="s">
        <v>758</v>
      </c>
      <c r="C508" s="42" t="s">
        <v>350</v>
      </c>
      <c r="D508" s="42" t="s">
        <v>201</v>
      </c>
      <c r="E508" s="2">
        <v>200</v>
      </c>
      <c r="F508" s="2"/>
      <c r="G508" s="7" t="e">
        <f>G509</f>
        <v>#REF!</v>
      </c>
    </row>
    <row r="509" spans="1:7" ht="47.25">
      <c r="A509" s="26" t="s">
        <v>184</v>
      </c>
      <c r="B509" s="21" t="s">
        <v>758</v>
      </c>
      <c r="C509" s="42" t="s">
        <v>350</v>
      </c>
      <c r="D509" s="42" t="s">
        <v>201</v>
      </c>
      <c r="E509" s="2">
        <v>240</v>
      </c>
      <c r="F509" s="2"/>
      <c r="G509" s="7" t="e">
        <f>#REF!</f>
        <v>#REF!</v>
      </c>
    </row>
    <row r="510" spans="1:7" ht="63">
      <c r="A510" s="47" t="s">
        <v>312</v>
      </c>
      <c r="B510" s="21" t="s">
        <v>386</v>
      </c>
      <c r="C510" s="42" t="s">
        <v>350</v>
      </c>
      <c r="D510" s="42" t="s">
        <v>201</v>
      </c>
      <c r="E510" s="2"/>
      <c r="F510" s="2">
        <v>903</v>
      </c>
      <c r="G510" s="7" t="e">
        <f>G499</f>
        <v>#REF!</v>
      </c>
    </row>
    <row r="511" spans="1:7" ht="78.75">
      <c r="A511" s="43" t="s">
        <v>797</v>
      </c>
      <c r="B511" s="25" t="s">
        <v>795</v>
      </c>
      <c r="C511" s="8"/>
      <c r="D511" s="8"/>
      <c r="E511" s="3"/>
      <c r="F511" s="3"/>
      <c r="G511" s="4" t="e">
        <f>G512+G521</f>
        <v>#REF!</v>
      </c>
    </row>
    <row r="512" spans="1:9" s="148" customFormat="1" ht="15.75">
      <c r="A512" s="31" t="s">
        <v>168</v>
      </c>
      <c r="B512" s="21" t="s">
        <v>795</v>
      </c>
      <c r="C512" s="42" t="s">
        <v>169</v>
      </c>
      <c r="D512" s="42"/>
      <c r="E512" s="2"/>
      <c r="F512" s="2"/>
      <c r="G512" s="7" t="e">
        <f>G513</f>
        <v>#REF!</v>
      </c>
      <c r="I512" s="149"/>
    </row>
    <row r="513" spans="1:9" s="148" customFormat="1" ht="31.5">
      <c r="A513" s="31" t="s">
        <v>190</v>
      </c>
      <c r="B513" s="21" t="s">
        <v>795</v>
      </c>
      <c r="C513" s="42" t="s">
        <v>169</v>
      </c>
      <c r="D513" s="42" t="s">
        <v>191</v>
      </c>
      <c r="E513" s="2"/>
      <c r="F513" s="2"/>
      <c r="G513" s="7" t="e">
        <f>G514+G517</f>
        <v>#REF!</v>
      </c>
      <c r="I513" s="149"/>
    </row>
    <row r="514" spans="1:7" ht="47.25">
      <c r="A514" s="33" t="s">
        <v>208</v>
      </c>
      <c r="B514" s="21" t="s">
        <v>803</v>
      </c>
      <c r="C514" s="42" t="s">
        <v>169</v>
      </c>
      <c r="D514" s="42" t="s">
        <v>191</v>
      </c>
      <c r="E514" s="2"/>
      <c r="F514" s="2"/>
      <c r="G514" s="7" t="e">
        <f>G515</f>
        <v>#REF!</v>
      </c>
    </row>
    <row r="515" spans="1:7" ht="47.25">
      <c r="A515" s="26" t="s">
        <v>182</v>
      </c>
      <c r="B515" s="21" t="s">
        <v>803</v>
      </c>
      <c r="C515" s="42" t="s">
        <v>169</v>
      </c>
      <c r="D515" s="42" t="s">
        <v>191</v>
      </c>
      <c r="E515" s="2">
        <v>200</v>
      </c>
      <c r="F515" s="2"/>
      <c r="G515" s="7" t="e">
        <f>G516</f>
        <v>#REF!</v>
      </c>
    </row>
    <row r="516" spans="1:7" ht="47.25">
      <c r="A516" s="26" t="s">
        <v>184</v>
      </c>
      <c r="B516" s="21" t="s">
        <v>803</v>
      </c>
      <c r="C516" s="42" t="s">
        <v>169</v>
      </c>
      <c r="D516" s="42" t="s">
        <v>191</v>
      </c>
      <c r="E516" s="2">
        <v>240</v>
      </c>
      <c r="F516" s="2"/>
      <c r="G516" s="7" t="e">
        <f>#REF!</f>
        <v>#REF!</v>
      </c>
    </row>
    <row r="517" spans="1:7" ht="66" customHeight="1" hidden="1">
      <c r="A517" s="31"/>
      <c r="B517" s="21" t="s">
        <v>796</v>
      </c>
      <c r="C517" s="42" t="s">
        <v>169</v>
      </c>
      <c r="D517" s="42" t="s">
        <v>191</v>
      </c>
      <c r="E517" s="2"/>
      <c r="F517" s="2"/>
      <c r="G517" s="7" t="e">
        <f>G518</f>
        <v>#REF!</v>
      </c>
    </row>
    <row r="518" spans="1:7" ht="47.25" hidden="1">
      <c r="A518" s="26" t="s">
        <v>182</v>
      </c>
      <c r="B518" s="21" t="s">
        <v>796</v>
      </c>
      <c r="C518" s="42" t="s">
        <v>169</v>
      </c>
      <c r="D518" s="42" t="s">
        <v>191</v>
      </c>
      <c r="E518" s="2">
        <v>200</v>
      </c>
      <c r="F518" s="2"/>
      <c r="G518" s="7" t="e">
        <f>G519</f>
        <v>#REF!</v>
      </c>
    </row>
    <row r="519" spans="1:7" ht="47.25" hidden="1">
      <c r="A519" s="26" t="s">
        <v>184</v>
      </c>
      <c r="B519" s="21" t="s">
        <v>796</v>
      </c>
      <c r="C519" s="42" t="s">
        <v>169</v>
      </c>
      <c r="D519" s="42" t="s">
        <v>191</v>
      </c>
      <c r="E519" s="2">
        <v>240</v>
      </c>
      <c r="F519" s="2"/>
      <c r="G519" s="7" t="e">
        <f>#REF!</f>
        <v>#REF!</v>
      </c>
    </row>
    <row r="520" spans="1:7" ht="31.5">
      <c r="A520" s="31" t="s">
        <v>199</v>
      </c>
      <c r="B520" s="21" t="s">
        <v>795</v>
      </c>
      <c r="C520" s="42" t="s">
        <v>169</v>
      </c>
      <c r="D520" s="42" t="s">
        <v>191</v>
      </c>
      <c r="E520" s="2"/>
      <c r="F520" s="2">
        <v>902</v>
      </c>
      <c r="G520" s="7" t="e">
        <f>G511</f>
        <v>#REF!</v>
      </c>
    </row>
    <row r="521" spans="1:9" s="148" customFormat="1" ht="15.75">
      <c r="A521" s="26" t="s">
        <v>349</v>
      </c>
      <c r="B521" s="21" t="s">
        <v>795</v>
      </c>
      <c r="C521" s="42" t="s">
        <v>350</v>
      </c>
      <c r="D521" s="42"/>
      <c r="E521" s="2"/>
      <c r="F521" s="2"/>
      <c r="G521" s="7" t="e">
        <f>G522</f>
        <v>#REF!</v>
      </c>
      <c r="I521" s="149"/>
    </row>
    <row r="522" spans="1:7" ht="31.5">
      <c r="A522" s="43" t="s">
        <v>384</v>
      </c>
      <c r="B522" s="21" t="s">
        <v>795</v>
      </c>
      <c r="C522" s="42" t="s">
        <v>350</v>
      </c>
      <c r="D522" s="42" t="s">
        <v>201</v>
      </c>
      <c r="E522" s="2"/>
      <c r="F522" s="2"/>
      <c r="G522" s="7" t="e">
        <f>G523</f>
        <v>#REF!</v>
      </c>
    </row>
    <row r="523" spans="1:7" ht="47.25">
      <c r="A523" s="33" t="s">
        <v>208</v>
      </c>
      <c r="B523" s="21" t="s">
        <v>803</v>
      </c>
      <c r="C523" s="42" t="s">
        <v>350</v>
      </c>
      <c r="D523" s="42" t="s">
        <v>201</v>
      </c>
      <c r="E523" s="2"/>
      <c r="F523" s="2"/>
      <c r="G523" s="7" t="e">
        <f>G524</f>
        <v>#REF!</v>
      </c>
    </row>
    <row r="524" spans="1:7" ht="47.25">
      <c r="A524" s="26" t="s">
        <v>182</v>
      </c>
      <c r="B524" s="21" t="s">
        <v>803</v>
      </c>
      <c r="C524" s="42" t="s">
        <v>350</v>
      </c>
      <c r="D524" s="42" t="s">
        <v>201</v>
      </c>
      <c r="E524" s="2">
        <v>200</v>
      </c>
      <c r="F524" s="2"/>
      <c r="G524" s="7" t="e">
        <f>G525</f>
        <v>#REF!</v>
      </c>
    </row>
    <row r="525" spans="1:7" ht="47.25">
      <c r="A525" s="26" t="s">
        <v>184</v>
      </c>
      <c r="B525" s="21" t="s">
        <v>803</v>
      </c>
      <c r="C525" s="42" t="s">
        <v>350</v>
      </c>
      <c r="D525" s="42" t="s">
        <v>201</v>
      </c>
      <c r="E525" s="2">
        <v>240</v>
      </c>
      <c r="F525" s="2"/>
      <c r="G525" s="7" t="e">
        <f>#REF!</f>
        <v>#REF!</v>
      </c>
    </row>
    <row r="526" spans="1:7" ht="63">
      <c r="A526" s="47" t="s">
        <v>312</v>
      </c>
      <c r="B526" s="21" t="s">
        <v>795</v>
      </c>
      <c r="C526" s="42" t="s">
        <v>350</v>
      </c>
      <c r="D526" s="42" t="s">
        <v>201</v>
      </c>
      <c r="E526" s="2"/>
      <c r="F526" s="2">
        <v>903</v>
      </c>
      <c r="G526" s="7" t="e">
        <f>G522</f>
        <v>#REF!</v>
      </c>
    </row>
    <row r="527" spans="1:7" ht="78.75">
      <c r="A527" s="24" t="s">
        <v>799</v>
      </c>
      <c r="B527" s="25" t="s">
        <v>801</v>
      </c>
      <c r="C527" s="8"/>
      <c r="D527" s="8"/>
      <c r="E527" s="3"/>
      <c r="F527" s="3"/>
      <c r="G527" s="4" t="e">
        <f>G528</f>
        <v>#REF!</v>
      </c>
    </row>
    <row r="528" spans="1:7" ht="15.75">
      <c r="A528" s="26" t="s">
        <v>442</v>
      </c>
      <c r="B528" s="21" t="s">
        <v>801</v>
      </c>
      <c r="C528" s="42" t="s">
        <v>285</v>
      </c>
      <c r="D528" s="42"/>
      <c r="E528" s="2"/>
      <c r="F528" s="2"/>
      <c r="G528" s="7" t="e">
        <f>G529</f>
        <v>#REF!</v>
      </c>
    </row>
    <row r="529" spans="1:7" ht="15.75">
      <c r="A529" s="26" t="s">
        <v>593</v>
      </c>
      <c r="B529" s="21" t="s">
        <v>801</v>
      </c>
      <c r="C529" s="42" t="s">
        <v>285</v>
      </c>
      <c r="D529" s="42" t="s">
        <v>266</v>
      </c>
      <c r="E529" s="2"/>
      <c r="F529" s="2"/>
      <c r="G529" s="7" t="e">
        <f>G530</f>
        <v>#REF!</v>
      </c>
    </row>
    <row r="530" spans="1:7" ht="31.5">
      <c r="A530" s="153" t="s">
        <v>800</v>
      </c>
      <c r="B530" s="21" t="s">
        <v>802</v>
      </c>
      <c r="C530" s="42" t="s">
        <v>285</v>
      </c>
      <c r="D530" s="42" t="s">
        <v>266</v>
      </c>
      <c r="E530" s="2"/>
      <c r="F530" s="2"/>
      <c r="G530" s="7" t="e">
        <f>G531</f>
        <v>#REF!</v>
      </c>
    </row>
    <row r="531" spans="1:7" ht="47.25">
      <c r="A531" s="26" t="s">
        <v>182</v>
      </c>
      <c r="B531" s="21" t="s">
        <v>802</v>
      </c>
      <c r="C531" s="42" t="s">
        <v>285</v>
      </c>
      <c r="D531" s="42" t="s">
        <v>266</v>
      </c>
      <c r="E531" s="2">
        <v>200</v>
      </c>
      <c r="F531" s="2"/>
      <c r="G531" s="7" t="e">
        <f>G532</f>
        <v>#REF!</v>
      </c>
    </row>
    <row r="532" spans="1:7" ht="47.25">
      <c r="A532" s="26" t="s">
        <v>184</v>
      </c>
      <c r="B532" s="21" t="s">
        <v>802</v>
      </c>
      <c r="C532" s="42" t="s">
        <v>285</v>
      </c>
      <c r="D532" s="42" t="s">
        <v>266</v>
      </c>
      <c r="E532" s="2">
        <v>240</v>
      </c>
      <c r="F532" s="2"/>
      <c r="G532" s="7" t="e">
        <f>#REF!</f>
        <v>#REF!</v>
      </c>
    </row>
    <row r="533" spans="1:7" ht="47.25">
      <c r="A533" s="47" t="s">
        <v>700</v>
      </c>
      <c r="B533" s="21" t="s">
        <v>801</v>
      </c>
      <c r="C533" s="42" t="s">
        <v>285</v>
      </c>
      <c r="D533" s="42" t="s">
        <v>266</v>
      </c>
      <c r="E533" s="2"/>
      <c r="F533" s="2">
        <v>908</v>
      </c>
      <c r="G533" s="7" t="e">
        <f>G527</f>
        <v>#REF!</v>
      </c>
    </row>
    <row r="534" spans="1:7" ht="15.75">
      <c r="A534" s="84" t="s">
        <v>734</v>
      </c>
      <c r="B534" s="84"/>
      <c r="C534" s="84"/>
      <c r="D534" s="90"/>
      <c r="E534" s="90"/>
      <c r="F534" s="90"/>
      <c r="G534" s="146" t="e">
        <f>G10+G19+G102+G217+G224+G242+G249+G271+G326+G409+G419+G451+G458+G487+G511+G527</f>
        <v>#REF!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60" workbookViewId="0" topLeftCell="A1">
      <selection activeCell="H1" sqref="H1:H2"/>
    </sheetView>
  </sheetViews>
  <sheetFormatPr defaultColWidth="9.140625" defaultRowHeight="15"/>
  <cols>
    <col min="1" max="1" width="33.28125" style="0" customWidth="1"/>
    <col min="2" max="2" width="7.7109375" style="0" customWidth="1"/>
    <col min="3" max="3" width="4.421875" style="0" customWidth="1"/>
    <col min="4" max="4" width="8.00390625" style="0" customWidth="1"/>
    <col min="5" max="5" width="15.8515625" style="0" customWidth="1"/>
    <col min="7" max="7" width="12.28125" style="0" customWidth="1"/>
    <col min="8" max="8" width="12.57421875" style="0" customWidth="1"/>
    <col min="9" max="9" width="11.7109375" style="0" customWidth="1"/>
  </cols>
  <sheetData>
    <row r="1" spans="1:8" ht="18.75" customHeight="1">
      <c r="A1" s="410"/>
      <c r="B1" s="410"/>
      <c r="C1" s="410"/>
      <c r="D1" s="13"/>
      <c r="G1" s="73"/>
      <c r="H1" s="379" t="s">
        <v>693</v>
      </c>
    </row>
    <row r="2" spans="1:8" ht="18.75" customHeight="1">
      <c r="A2" s="410"/>
      <c r="B2" s="410"/>
      <c r="C2" s="410"/>
      <c r="D2" s="13"/>
      <c r="G2" s="73"/>
      <c r="H2" s="379" t="s">
        <v>1</v>
      </c>
    </row>
    <row r="3" spans="1:9" ht="18.75" customHeight="1">
      <c r="A3" s="327"/>
      <c r="B3" s="327"/>
      <c r="C3" s="327"/>
      <c r="D3" s="13"/>
      <c r="G3" s="73"/>
      <c r="I3" s="330"/>
    </row>
    <row r="4" spans="1:7" ht="15.75">
      <c r="A4" s="13"/>
      <c r="B4" s="13"/>
      <c r="C4" s="13"/>
      <c r="D4" s="13"/>
      <c r="E4" s="13"/>
      <c r="F4" s="13"/>
      <c r="G4" s="73"/>
    </row>
    <row r="5" spans="1:9" ht="44.25" customHeight="1">
      <c r="A5" s="414" t="s">
        <v>1064</v>
      </c>
      <c r="B5" s="414"/>
      <c r="C5" s="414"/>
      <c r="D5" s="414"/>
      <c r="E5" s="414"/>
      <c r="F5" s="414"/>
      <c r="G5" s="414"/>
      <c r="H5" s="414"/>
      <c r="I5" s="414"/>
    </row>
    <row r="6" spans="1:7" ht="16.5">
      <c r="A6" s="250"/>
      <c r="B6" s="250"/>
      <c r="C6" s="250"/>
      <c r="D6" s="250"/>
      <c r="E6" s="250"/>
      <c r="F6" s="250"/>
      <c r="G6" s="250"/>
    </row>
    <row r="7" spans="1:8" ht="15.75">
      <c r="A7" s="13"/>
      <c r="B7" s="13"/>
      <c r="C7" s="13"/>
      <c r="D7" s="13"/>
      <c r="E7" s="91"/>
      <c r="F7" s="91"/>
      <c r="H7" s="77"/>
    </row>
    <row r="8" spans="1:9" ht="47.25">
      <c r="A8" s="92" t="s">
        <v>645</v>
      </c>
      <c r="B8" s="92" t="s">
        <v>698</v>
      </c>
      <c r="C8" s="92" t="s">
        <v>695</v>
      </c>
      <c r="D8" s="92" t="s">
        <v>696</v>
      </c>
      <c r="E8" s="92" t="s">
        <v>694</v>
      </c>
      <c r="F8" s="92" t="s">
        <v>697</v>
      </c>
      <c r="G8" s="78" t="s">
        <v>1046</v>
      </c>
      <c r="H8" s="78" t="s">
        <v>1071</v>
      </c>
      <c r="I8" s="78" t="s">
        <v>1069</v>
      </c>
    </row>
    <row r="9" spans="1:9" ht="95.25" customHeight="1" hidden="1">
      <c r="A9" s="408" t="s">
        <v>735</v>
      </c>
      <c r="B9" s="408"/>
      <c r="C9" s="408"/>
      <c r="D9" s="408"/>
      <c r="E9" s="408"/>
      <c r="F9" s="408"/>
      <c r="G9" s="93">
        <f>G11</f>
        <v>0</v>
      </c>
      <c r="H9" s="93">
        <f>H11</f>
        <v>0</v>
      </c>
      <c r="I9" s="93">
        <f>I11</f>
        <v>0</v>
      </c>
    </row>
    <row r="10" spans="1:9" ht="78.75" hidden="1">
      <c r="A10" s="5" t="s">
        <v>736</v>
      </c>
      <c r="B10" s="5">
        <v>903</v>
      </c>
      <c r="C10" s="5"/>
      <c r="D10" s="5"/>
      <c r="E10" s="5"/>
      <c r="F10" s="5"/>
      <c r="G10" s="93">
        <f aca="true" t="shared" si="0" ref="G10:I11">G11</f>
        <v>0</v>
      </c>
      <c r="H10" s="93">
        <f t="shared" si="0"/>
        <v>0</v>
      </c>
      <c r="I10" s="93">
        <f t="shared" si="0"/>
        <v>0</v>
      </c>
    </row>
    <row r="11" spans="1:9" ht="15.75" hidden="1">
      <c r="A11" s="47" t="s">
        <v>294</v>
      </c>
      <c r="B11" s="6">
        <v>903</v>
      </c>
      <c r="C11" s="42" t="s">
        <v>295</v>
      </c>
      <c r="D11" s="42"/>
      <c r="E11" s="42"/>
      <c r="F11" s="42"/>
      <c r="G11" s="94">
        <f t="shared" si="0"/>
        <v>0</v>
      </c>
      <c r="H11" s="94">
        <f t="shared" si="0"/>
        <v>0</v>
      </c>
      <c r="I11" s="94">
        <f t="shared" si="0"/>
        <v>0</v>
      </c>
    </row>
    <row r="12" spans="1:9" ht="15.75" hidden="1">
      <c r="A12" s="31" t="s">
        <v>172</v>
      </c>
      <c r="B12" s="6">
        <v>903</v>
      </c>
      <c r="C12" s="42" t="s">
        <v>295</v>
      </c>
      <c r="D12" s="42" t="s">
        <v>266</v>
      </c>
      <c r="E12" s="42" t="s">
        <v>173</v>
      </c>
      <c r="F12" s="42"/>
      <c r="G12" s="94">
        <f>G14</f>
        <v>0</v>
      </c>
      <c r="H12" s="94">
        <f>H14</f>
        <v>0</v>
      </c>
      <c r="I12" s="94">
        <f>I14</f>
        <v>0</v>
      </c>
    </row>
    <row r="13" spans="1:9" ht="31.5" hidden="1">
      <c r="A13" s="31" t="s">
        <v>192</v>
      </c>
      <c r="B13" s="6">
        <v>903</v>
      </c>
      <c r="C13" s="42" t="s">
        <v>295</v>
      </c>
      <c r="D13" s="42" t="s">
        <v>266</v>
      </c>
      <c r="E13" s="42" t="s">
        <v>193</v>
      </c>
      <c r="F13" s="42"/>
      <c r="G13" s="94">
        <f aca="true" t="shared" si="1" ref="G13:I15">G14</f>
        <v>0</v>
      </c>
      <c r="H13" s="94">
        <f t="shared" si="1"/>
        <v>0</v>
      </c>
      <c r="I13" s="94">
        <f t="shared" si="1"/>
        <v>0</v>
      </c>
    </row>
    <row r="14" spans="1:9" ht="31.5" hidden="1">
      <c r="A14" s="31" t="s">
        <v>252</v>
      </c>
      <c r="B14" s="6">
        <v>903</v>
      </c>
      <c r="C14" s="42" t="s">
        <v>295</v>
      </c>
      <c r="D14" s="42" t="s">
        <v>266</v>
      </c>
      <c r="E14" s="42" t="s">
        <v>253</v>
      </c>
      <c r="F14" s="42"/>
      <c r="G14" s="94">
        <f t="shared" si="1"/>
        <v>0</v>
      </c>
      <c r="H14" s="94">
        <f t="shared" si="1"/>
        <v>0</v>
      </c>
      <c r="I14" s="94">
        <f t="shared" si="1"/>
        <v>0</v>
      </c>
    </row>
    <row r="15" spans="1:9" ht="31.5" hidden="1">
      <c r="A15" s="31" t="s">
        <v>299</v>
      </c>
      <c r="B15" s="6">
        <v>903</v>
      </c>
      <c r="C15" s="42" t="s">
        <v>295</v>
      </c>
      <c r="D15" s="42" t="s">
        <v>266</v>
      </c>
      <c r="E15" s="42" t="s">
        <v>253</v>
      </c>
      <c r="F15" s="42" t="s">
        <v>300</v>
      </c>
      <c r="G15" s="94">
        <f t="shared" si="1"/>
        <v>0</v>
      </c>
      <c r="H15" s="94">
        <f t="shared" si="1"/>
        <v>0</v>
      </c>
      <c r="I15" s="94">
        <f t="shared" si="1"/>
        <v>0</v>
      </c>
    </row>
    <row r="16" spans="1:9" ht="47.25" hidden="1">
      <c r="A16" s="31" t="s">
        <v>399</v>
      </c>
      <c r="B16" s="6">
        <v>903</v>
      </c>
      <c r="C16" s="42" t="s">
        <v>295</v>
      </c>
      <c r="D16" s="42" t="s">
        <v>266</v>
      </c>
      <c r="E16" s="42" t="s">
        <v>253</v>
      </c>
      <c r="F16" s="42" t="s">
        <v>400</v>
      </c>
      <c r="G16" s="94"/>
      <c r="H16" s="94"/>
      <c r="I16" s="94"/>
    </row>
    <row r="17" spans="1:9" ht="64.5" customHeight="1" hidden="1">
      <c r="A17" s="411" t="s">
        <v>914</v>
      </c>
      <c r="B17" s="412"/>
      <c r="C17" s="412"/>
      <c r="D17" s="412"/>
      <c r="E17" s="412"/>
      <c r="F17" s="413"/>
      <c r="G17" s="93">
        <f aca="true" t="shared" si="2" ref="G17:I24">G18</f>
        <v>9133.1</v>
      </c>
      <c r="H17" s="93">
        <f t="shared" si="2"/>
        <v>9133.1</v>
      </c>
      <c r="I17" s="93">
        <f t="shared" si="2"/>
        <v>100</v>
      </c>
    </row>
    <row r="18" spans="1:9" ht="50.25" customHeight="1" hidden="1">
      <c r="A18" s="230" t="s">
        <v>199</v>
      </c>
      <c r="B18" s="230">
        <v>902</v>
      </c>
      <c r="C18" s="230"/>
      <c r="D18" s="230"/>
      <c r="E18" s="230"/>
      <c r="F18" s="230"/>
      <c r="G18" s="93">
        <f t="shared" si="2"/>
        <v>9133.1</v>
      </c>
      <c r="H18" s="93">
        <f t="shared" si="2"/>
        <v>9133.1</v>
      </c>
      <c r="I18" s="93">
        <f t="shared" si="2"/>
        <v>100</v>
      </c>
    </row>
    <row r="19" spans="1:9" ht="15.75" hidden="1">
      <c r="A19" s="24" t="s">
        <v>294</v>
      </c>
      <c r="B19" s="20">
        <v>902</v>
      </c>
      <c r="C19" s="25" t="s">
        <v>295</v>
      </c>
      <c r="D19" s="25"/>
      <c r="E19" s="25"/>
      <c r="F19" s="25"/>
      <c r="G19" s="93">
        <f t="shared" si="2"/>
        <v>9133.1</v>
      </c>
      <c r="H19" s="93">
        <f t="shared" si="2"/>
        <v>9133.1</v>
      </c>
      <c r="I19" s="93">
        <f t="shared" si="2"/>
        <v>100</v>
      </c>
    </row>
    <row r="20" spans="1:9" ht="15.75" hidden="1">
      <c r="A20" s="24" t="s">
        <v>296</v>
      </c>
      <c r="B20" s="20">
        <v>902</v>
      </c>
      <c r="C20" s="25" t="s">
        <v>295</v>
      </c>
      <c r="D20" s="25" t="s">
        <v>169</v>
      </c>
      <c r="E20" s="25"/>
      <c r="F20" s="25"/>
      <c r="G20" s="93">
        <f t="shared" si="2"/>
        <v>9133.1</v>
      </c>
      <c r="H20" s="93">
        <f t="shared" si="2"/>
        <v>9133.1</v>
      </c>
      <c r="I20" s="93">
        <f t="shared" si="2"/>
        <v>100</v>
      </c>
    </row>
    <row r="21" spans="1:9" ht="15.75" hidden="1">
      <c r="A21" s="26" t="s">
        <v>172</v>
      </c>
      <c r="B21" s="17">
        <v>902</v>
      </c>
      <c r="C21" s="21" t="s">
        <v>295</v>
      </c>
      <c r="D21" s="21" t="s">
        <v>169</v>
      </c>
      <c r="E21" s="21" t="s">
        <v>173</v>
      </c>
      <c r="F21" s="21"/>
      <c r="G21" s="94">
        <f t="shared" si="2"/>
        <v>9133.1</v>
      </c>
      <c r="H21" s="94">
        <f t="shared" si="2"/>
        <v>9133.1</v>
      </c>
      <c r="I21" s="94">
        <f t="shared" si="2"/>
        <v>100</v>
      </c>
    </row>
    <row r="22" spans="1:9" ht="31.5" hidden="1">
      <c r="A22" s="26" t="s">
        <v>192</v>
      </c>
      <c r="B22" s="17">
        <v>902</v>
      </c>
      <c r="C22" s="21" t="s">
        <v>295</v>
      </c>
      <c r="D22" s="21" t="s">
        <v>169</v>
      </c>
      <c r="E22" s="21" t="s">
        <v>193</v>
      </c>
      <c r="F22" s="21"/>
      <c r="G22" s="94">
        <f t="shared" si="2"/>
        <v>9133.1</v>
      </c>
      <c r="H22" s="94">
        <f t="shared" si="2"/>
        <v>9133.1</v>
      </c>
      <c r="I22" s="94">
        <f t="shared" si="2"/>
        <v>100</v>
      </c>
    </row>
    <row r="23" spans="1:9" ht="31.5" hidden="1">
      <c r="A23" s="26" t="s">
        <v>297</v>
      </c>
      <c r="B23" s="17">
        <v>902</v>
      </c>
      <c r="C23" s="21" t="s">
        <v>295</v>
      </c>
      <c r="D23" s="21" t="s">
        <v>169</v>
      </c>
      <c r="E23" s="21" t="s">
        <v>298</v>
      </c>
      <c r="F23" s="21"/>
      <c r="G23" s="94">
        <f t="shared" si="2"/>
        <v>9133.1</v>
      </c>
      <c r="H23" s="94">
        <f t="shared" si="2"/>
        <v>9133.1</v>
      </c>
      <c r="I23" s="94">
        <f t="shared" si="2"/>
        <v>100</v>
      </c>
    </row>
    <row r="24" spans="1:9" ht="31.5" hidden="1">
      <c r="A24" s="26" t="s">
        <v>299</v>
      </c>
      <c r="B24" s="17">
        <v>902</v>
      </c>
      <c r="C24" s="21" t="s">
        <v>295</v>
      </c>
      <c r="D24" s="21" t="s">
        <v>169</v>
      </c>
      <c r="E24" s="21" t="s">
        <v>298</v>
      </c>
      <c r="F24" s="21" t="s">
        <v>300</v>
      </c>
      <c r="G24" s="94">
        <f t="shared" si="2"/>
        <v>9133.1</v>
      </c>
      <c r="H24" s="94">
        <f t="shared" si="2"/>
        <v>9133.1</v>
      </c>
      <c r="I24" s="94">
        <f t="shared" si="2"/>
        <v>100</v>
      </c>
    </row>
    <row r="25" spans="1:9" ht="63" hidden="1">
      <c r="A25" s="26" t="s">
        <v>301</v>
      </c>
      <c r="B25" s="17">
        <v>902</v>
      </c>
      <c r="C25" s="21" t="s">
        <v>295</v>
      </c>
      <c r="D25" s="21" t="s">
        <v>169</v>
      </c>
      <c r="E25" s="21" t="s">
        <v>298</v>
      </c>
      <c r="F25" s="21" t="s">
        <v>400</v>
      </c>
      <c r="G25" s="94">
        <f>'Прил.№4 ведомств.'!G224</f>
        <v>9133.1</v>
      </c>
      <c r="H25" s="94">
        <f>'Прил.№4 ведомств.'!H224</f>
        <v>9133.1</v>
      </c>
      <c r="I25" s="94">
        <f>'Прил.№4 ведомств.'!I224</f>
        <v>100</v>
      </c>
    </row>
    <row r="26" spans="1:9" ht="59.25" customHeight="1">
      <c r="A26" s="409" t="s">
        <v>737</v>
      </c>
      <c r="B26" s="409"/>
      <c r="C26" s="409"/>
      <c r="D26" s="409"/>
      <c r="E26" s="409"/>
      <c r="F26" s="409"/>
      <c r="G26" s="93">
        <f>G28</f>
        <v>1811.9</v>
      </c>
      <c r="H26" s="93">
        <f>H28</f>
        <v>1650.9</v>
      </c>
      <c r="I26" s="93">
        <f>H26/G26*100</f>
        <v>91.11429990617583</v>
      </c>
    </row>
    <row r="27" spans="1:9" ht="78.75">
      <c r="A27" s="5" t="s">
        <v>736</v>
      </c>
      <c r="B27" s="5">
        <v>903</v>
      </c>
      <c r="C27" s="5"/>
      <c r="D27" s="5"/>
      <c r="E27" s="5"/>
      <c r="F27" s="5"/>
      <c r="G27" s="93">
        <f aca="true" t="shared" si="3" ref="G27:H29">G28</f>
        <v>1811.9</v>
      </c>
      <c r="H27" s="93">
        <f t="shared" si="3"/>
        <v>1650.9</v>
      </c>
      <c r="I27" s="93">
        <f aca="true" t="shared" si="4" ref="I27:I47">H27/G27*100</f>
        <v>91.11429990617583</v>
      </c>
    </row>
    <row r="28" spans="1:9" ht="15.75">
      <c r="A28" s="95" t="s">
        <v>294</v>
      </c>
      <c r="B28" s="10" t="s">
        <v>704</v>
      </c>
      <c r="C28" s="10" t="s">
        <v>295</v>
      </c>
      <c r="D28" s="10"/>
      <c r="E28" s="10"/>
      <c r="F28" s="10"/>
      <c r="G28" s="96">
        <f t="shared" si="3"/>
        <v>1811.9</v>
      </c>
      <c r="H28" s="96">
        <f t="shared" si="3"/>
        <v>1650.9</v>
      </c>
      <c r="I28" s="94">
        <f t="shared" si="4"/>
        <v>91.11429990617583</v>
      </c>
    </row>
    <row r="29" spans="1:9" ht="31.5">
      <c r="A29" s="31" t="s">
        <v>303</v>
      </c>
      <c r="B29" s="6">
        <v>903</v>
      </c>
      <c r="C29" s="42" t="s">
        <v>295</v>
      </c>
      <c r="D29" s="42" t="s">
        <v>266</v>
      </c>
      <c r="E29" s="42"/>
      <c r="F29" s="42"/>
      <c r="G29" s="94">
        <f t="shared" si="3"/>
        <v>1811.9</v>
      </c>
      <c r="H29" s="94">
        <f t="shared" si="3"/>
        <v>1650.9</v>
      </c>
      <c r="I29" s="94">
        <f t="shared" si="4"/>
        <v>91.11429990617583</v>
      </c>
    </row>
    <row r="30" spans="1:9" ht="78.75">
      <c r="A30" s="31" t="s">
        <v>738</v>
      </c>
      <c r="B30" s="6">
        <v>903</v>
      </c>
      <c r="C30" s="42" t="s">
        <v>295</v>
      </c>
      <c r="D30" s="42" t="s">
        <v>266</v>
      </c>
      <c r="E30" s="42" t="s">
        <v>395</v>
      </c>
      <c r="F30" s="42"/>
      <c r="G30" s="94">
        <f>G35+G31+G39+G43</f>
        <v>1811.9</v>
      </c>
      <c r="H30" s="94">
        <f>H35+H31+H39+H43</f>
        <v>1650.9</v>
      </c>
      <c r="I30" s="94">
        <f t="shared" si="4"/>
        <v>91.11429990617583</v>
      </c>
    </row>
    <row r="31" spans="1:9" ht="47.25">
      <c r="A31" s="31" t="s">
        <v>396</v>
      </c>
      <c r="B31" s="6">
        <v>903</v>
      </c>
      <c r="C31" s="42" t="s">
        <v>295</v>
      </c>
      <c r="D31" s="42" t="s">
        <v>266</v>
      </c>
      <c r="E31" s="42" t="s">
        <v>397</v>
      </c>
      <c r="F31" s="42"/>
      <c r="G31" s="94">
        <f>G33</f>
        <v>25</v>
      </c>
      <c r="H31" s="94">
        <f>H33</f>
        <v>25</v>
      </c>
      <c r="I31" s="94">
        <f t="shared" si="4"/>
        <v>100</v>
      </c>
    </row>
    <row r="32" spans="1:9" ht="47.25">
      <c r="A32" s="31" t="s">
        <v>208</v>
      </c>
      <c r="B32" s="6">
        <v>903</v>
      </c>
      <c r="C32" s="42" t="s">
        <v>295</v>
      </c>
      <c r="D32" s="42" t="s">
        <v>266</v>
      </c>
      <c r="E32" s="42" t="s">
        <v>398</v>
      </c>
      <c r="F32" s="42"/>
      <c r="G32" s="94">
        <f>G33</f>
        <v>25</v>
      </c>
      <c r="H32" s="94">
        <f>H33</f>
        <v>25</v>
      </c>
      <c r="I32" s="94"/>
    </row>
    <row r="33" spans="1:9" ht="31.5">
      <c r="A33" s="31" t="s">
        <v>299</v>
      </c>
      <c r="B33" s="6">
        <v>903</v>
      </c>
      <c r="C33" s="42" t="s">
        <v>295</v>
      </c>
      <c r="D33" s="42" t="s">
        <v>266</v>
      </c>
      <c r="E33" s="42" t="s">
        <v>398</v>
      </c>
      <c r="F33" s="42" t="s">
        <v>300</v>
      </c>
      <c r="G33" s="94">
        <f>G34</f>
        <v>25</v>
      </c>
      <c r="H33" s="94">
        <f>H34</f>
        <v>25</v>
      </c>
      <c r="I33" s="94"/>
    </row>
    <row r="34" spans="1:9" ht="47.25">
      <c r="A34" s="31" t="s">
        <v>399</v>
      </c>
      <c r="B34" s="6">
        <v>903</v>
      </c>
      <c r="C34" s="42" t="s">
        <v>295</v>
      </c>
      <c r="D34" s="42" t="s">
        <v>266</v>
      </c>
      <c r="E34" s="42" t="s">
        <v>398</v>
      </c>
      <c r="F34" s="42" t="s">
        <v>400</v>
      </c>
      <c r="G34" s="94">
        <f>'Прил.№4 ведомств.'!G464</f>
        <v>25</v>
      </c>
      <c r="H34" s="94">
        <f>'Прил.№4 ведомств.'!H464</f>
        <v>25</v>
      </c>
      <c r="I34" s="94"/>
    </row>
    <row r="35" spans="1:9" ht="63">
      <c r="A35" s="47" t="s">
        <v>706</v>
      </c>
      <c r="B35" s="6">
        <v>903</v>
      </c>
      <c r="C35" s="42" t="s">
        <v>295</v>
      </c>
      <c r="D35" s="42" t="s">
        <v>266</v>
      </c>
      <c r="E35" s="42" t="s">
        <v>407</v>
      </c>
      <c r="F35" s="42"/>
      <c r="G35" s="94">
        <f aca="true" t="shared" si="5" ref="G35:H37">G36</f>
        <v>420</v>
      </c>
      <c r="H35" s="94">
        <f t="shared" si="5"/>
        <v>400</v>
      </c>
      <c r="I35" s="94">
        <f t="shared" si="4"/>
        <v>95.23809523809523</v>
      </c>
    </row>
    <row r="36" spans="1:9" ht="47.25">
      <c r="A36" s="31" t="s">
        <v>208</v>
      </c>
      <c r="B36" s="6">
        <v>903</v>
      </c>
      <c r="C36" s="42" t="s">
        <v>295</v>
      </c>
      <c r="D36" s="42" t="s">
        <v>266</v>
      </c>
      <c r="E36" s="42" t="s">
        <v>408</v>
      </c>
      <c r="F36" s="42"/>
      <c r="G36" s="94">
        <f t="shared" si="5"/>
        <v>420</v>
      </c>
      <c r="H36" s="94">
        <f t="shared" si="5"/>
        <v>400</v>
      </c>
      <c r="I36" s="94"/>
    </row>
    <row r="37" spans="1:9" ht="31.5">
      <c r="A37" s="31" t="s">
        <v>299</v>
      </c>
      <c r="B37" s="6">
        <v>903</v>
      </c>
      <c r="C37" s="42" t="s">
        <v>295</v>
      </c>
      <c r="D37" s="42" t="s">
        <v>266</v>
      </c>
      <c r="E37" s="42" t="s">
        <v>408</v>
      </c>
      <c r="F37" s="42" t="s">
        <v>300</v>
      </c>
      <c r="G37" s="94">
        <f t="shared" si="5"/>
        <v>420</v>
      </c>
      <c r="H37" s="94">
        <f t="shared" si="5"/>
        <v>400</v>
      </c>
      <c r="I37" s="94"/>
    </row>
    <row r="38" spans="1:9" ht="47.25">
      <c r="A38" s="31" t="s">
        <v>399</v>
      </c>
      <c r="B38" s="97">
        <v>903</v>
      </c>
      <c r="C38" s="42" t="s">
        <v>295</v>
      </c>
      <c r="D38" s="42" t="s">
        <v>266</v>
      </c>
      <c r="E38" s="42" t="s">
        <v>408</v>
      </c>
      <c r="F38" s="98" t="s">
        <v>400</v>
      </c>
      <c r="G38" s="94">
        <f>'Прил.№4 ведомств.'!G475</f>
        <v>420</v>
      </c>
      <c r="H38" s="94">
        <f>'Прил.№4 ведомств.'!H475</f>
        <v>400</v>
      </c>
      <c r="I38" s="94"/>
    </row>
    <row r="39" spans="1:9" ht="31.5">
      <c r="A39" s="47" t="s">
        <v>708</v>
      </c>
      <c r="B39" s="6">
        <v>903</v>
      </c>
      <c r="C39" s="42" t="s">
        <v>295</v>
      </c>
      <c r="D39" s="42" t="s">
        <v>266</v>
      </c>
      <c r="E39" s="42" t="s">
        <v>410</v>
      </c>
      <c r="F39" s="42"/>
      <c r="G39" s="86">
        <f aca="true" t="shared" si="6" ref="G39:H41">G40</f>
        <v>1095</v>
      </c>
      <c r="H39" s="86">
        <f t="shared" si="6"/>
        <v>954</v>
      </c>
      <c r="I39" s="94">
        <f t="shared" si="4"/>
        <v>87.12328767123287</v>
      </c>
    </row>
    <row r="40" spans="1:9" ht="47.25">
      <c r="A40" s="31" t="s">
        <v>208</v>
      </c>
      <c r="B40" s="6">
        <v>903</v>
      </c>
      <c r="C40" s="99" t="s">
        <v>295</v>
      </c>
      <c r="D40" s="99" t="s">
        <v>266</v>
      </c>
      <c r="E40" s="42" t="s">
        <v>411</v>
      </c>
      <c r="F40" s="99"/>
      <c r="G40" s="86">
        <f t="shared" si="6"/>
        <v>1095</v>
      </c>
      <c r="H40" s="86">
        <f t="shared" si="6"/>
        <v>954</v>
      </c>
      <c r="I40" s="94"/>
    </row>
    <row r="41" spans="1:9" ht="31.5">
      <c r="A41" s="31" t="s">
        <v>299</v>
      </c>
      <c r="B41" s="6">
        <v>903</v>
      </c>
      <c r="C41" s="42" t="s">
        <v>295</v>
      </c>
      <c r="D41" s="42" t="s">
        <v>266</v>
      </c>
      <c r="E41" s="42" t="s">
        <v>411</v>
      </c>
      <c r="F41" s="42" t="s">
        <v>300</v>
      </c>
      <c r="G41" s="86">
        <f t="shared" si="6"/>
        <v>1095</v>
      </c>
      <c r="H41" s="86">
        <f t="shared" si="6"/>
        <v>954</v>
      </c>
      <c r="I41" s="94"/>
    </row>
    <row r="42" spans="1:9" ht="47.25">
      <c r="A42" s="31" t="s">
        <v>399</v>
      </c>
      <c r="B42" s="6">
        <v>903</v>
      </c>
      <c r="C42" s="42" t="s">
        <v>295</v>
      </c>
      <c r="D42" s="42" t="s">
        <v>266</v>
      </c>
      <c r="E42" s="42" t="s">
        <v>411</v>
      </c>
      <c r="F42" s="42" t="s">
        <v>400</v>
      </c>
      <c r="G42" s="86">
        <f>'Прил.№4 ведомств.'!G481</f>
        <v>1095</v>
      </c>
      <c r="H42" s="86">
        <f>'Прил.№4 ведомств.'!H481</f>
        <v>954</v>
      </c>
      <c r="I42" s="94"/>
    </row>
    <row r="43" spans="1:9" ht="47.25">
      <c r="A43" s="31" t="s">
        <v>412</v>
      </c>
      <c r="B43" s="66">
        <v>903</v>
      </c>
      <c r="C43" s="99" t="s">
        <v>295</v>
      </c>
      <c r="D43" s="99" t="s">
        <v>266</v>
      </c>
      <c r="E43" s="99" t="s">
        <v>413</v>
      </c>
      <c r="F43" s="99"/>
      <c r="G43" s="94">
        <f aca="true" t="shared" si="7" ref="G43:H45">G44</f>
        <v>271.9</v>
      </c>
      <c r="H43" s="94">
        <f t="shared" si="7"/>
        <v>271.9</v>
      </c>
      <c r="I43" s="94">
        <f t="shared" si="4"/>
        <v>100</v>
      </c>
    </row>
    <row r="44" spans="1:9" ht="47.25">
      <c r="A44" s="31" t="s">
        <v>208</v>
      </c>
      <c r="B44" s="6">
        <v>903</v>
      </c>
      <c r="C44" s="99" t="s">
        <v>295</v>
      </c>
      <c r="D44" s="99" t="s">
        <v>266</v>
      </c>
      <c r="E44" s="99" t="s">
        <v>414</v>
      </c>
      <c r="F44" s="99"/>
      <c r="G44" s="94">
        <f t="shared" si="7"/>
        <v>271.9</v>
      </c>
      <c r="H44" s="94">
        <f t="shared" si="7"/>
        <v>271.9</v>
      </c>
      <c r="I44" s="94"/>
    </row>
    <row r="45" spans="1:9" ht="31.5">
      <c r="A45" s="31" t="s">
        <v>299</v>
      </c>
      <c r="B45" s="6">
        <v>903</v>
      </c>
      <c r="C45" s="99" t="s">
        <v>295</v>
      </c>
      <c r="D45" s="99" t="s">
        <v>266</v>
      </c>
      <c r="E45" s="99" t="s">
        <v>414</v>
      </c>
      <c r="F45" s="99" t="s">
        <v>300</v>
      </c>
      <c r="G45" s="94">
        <f t="shared" si="7"/>
        <v>271.9</v>
      </c>
      <c r="H45" s="94">
        <f t="shared" si="7"/>
        <v>271.9</v>
      </c>
      <c r="I45" s="94"/>
    </row>
    <row r="46" spans="1:9" ht="47.25">
      <c r="A46" s="31" t="s">
        <v>399</v>
      </c>
      <c r="B46" s="6">
        <v>903</v>
      </c>
      <c r="C46" s="99" t="s">
        <v>295</v>
      </c>
      <c r="D46" s="99" t="s">
        <v>266</v>
      </c>
      <c r="E46" s="99" t="s">
        <v>414</v>
      </c>
      <c r="F46" s="99" t="s">
        <v>400</v>
      </c>
      <c r="G46" s="100">
        <f>'Прил.№4 ведомств.'!G485</f>
        <v>271.9</v>
      </c>
      <c r="H46" s="100">
        <f>'Прил.№4 ведомств.'!H485</f>
        <v>271.9</v>
      </c>
      <c r="I46" s="94"/>
    </row>
    <row r="47" spans="1:9" ht="15.75">
      <c r="A47" s="43" t="s">
        <v>734</v>
      </c>
      <c r="B47" s="43"/>
      <c r="C47" s="101"/>
      <c r="D47" s="101"/>
      <c r="E47" s="101"/>
      <c r="F47" s="101"/>
      <c r="G47" s="296">
        <f>G26</f>
        <v>1811.9</v>
      </c>
      <c r="H47" s="296">
        <f>H26</f>
        <v>1650.9</v>
      </c>
      <c r="I47" s="93">
        <f t="shared" si="4"/>
        <v>91.11429990617583</v>
      </c>
    </row>
  </sheetData>
  <mergeCells count="5">
    <mergeCell ref="A9:F9"/>
    <mergeCell ref="A26:F26"/>
    <mergeCell ref="A1:C2"/>
    <mergeCell ref="A17:F17"/>
    <mergeCell ref="A5:I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93" zoomScaleSheetLayoutView="93" workbookViewId="0" topLeftCell="A1">
      <selection activeCell="A5" sqref="A5:K5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12.00390625" style="0" customWidth="1"/>
    <col min="11" max="11" width="13.8515625" style="0" customWidth="1"/>
    <col min="12" max="12" width="16.57421875" style="0" hidden="1" customWidth="1"/>
  </cols>
  <sheetData>
    <row r="1" spans="1:10" ht="18.75">
      <c r="A1" s="13"/>
      <c r="J1" s="379" t="s">
        <v>1042</v>
      </c>
    </row>
    <row r="2" spans="1:10" ht="18.75">
      <c r="A2" s="13"/>
      <c r="B2" s="13"/>
      <c r="J2" s="379" t="s">
        <v>1</v>
      </c>
    </row>
    <row r="3" spans="1:11" ht="18.75">
      <c r="A3" s="13"/>
      <c r="B3" s="13"/>
      <c r="C3" s="13"/>
      <c r="J3" s="261"/>
      <c r="K3" s="261"/>
    </row>
    <row r="4" spans="1:3" ht="15.75">
      <c r="A4" s="13"/>
      <c r="B4" s="13"/>
      <c r="C4" s="13"/>
    </row>
    <row r="5" spans="1:11" ht="18.75">
      <c r="A5" s="390" t="s">
        <v>1065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8.75">
      <c r="A6" s="390" t="s">
        <v>1066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3" ht="15.75">
      <c r="A7" s="102"/>
      <c r="B7" s="102"/>
      <c r="C7" s="102"/>
    </row>
    <row r="8" spans="1:12" ht="15.75">
      <c r="A8" s="13"/>
      <c r="B8" s="13"/>
      <c r="J8" s="103"/>
      <c r="K8" s="103"/>
      <c r="L8" s="103"/>
    </row>
    <row r="9" spans="1:12" ht="78.75">
      <c r="A9" s="92" t="s">
        <v>739</v>
      </c>
      <c r="B9" s="92" t="s">
        <v>740</v>
      </c>
      <c r="C9" s="92" t="s">
        <v>875</v>
      </c>
      <c r="D9" s="78" t="s">
        <v>839</v>
      </c>
      <c r="E9" s="78" t="s">
        <v>840</v>
      </c>
      <c r="F9" s="78" t="s">
        <v>962</v>
      </c>
      <c r="G9" s="213" t="s">
        <v>867</v>
      </c>
      <c r="H9" s="213" t="s">
        <v>868</v>
      </c>
      <c r="I9" s="213" t="s">
        <v>869</v>
      </c>
      <c r="J9" s="212" t="s">
        <v>1046</v>
      </c>
      <c r="K9" s="328" t="s">
        <v>1043</v>
      </c>
      <c r="L9" s="212" t="s">
        <v>1067</v>
      </c>
    </row>
    <row r="10" spans="1:12" ht="15.75">
      <c r="A10" s="92">
        <v>1</v>
      </c>
      <c r="B10" s="92">
        <v>2</v>
      </c>
      <c r="C10" s="92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  <c r="K10" s="78">
        <v>4</v>
      </c>
      <c r="L10" s="78">
        <v>5</v>
      </c>
    </row>
    <row r="11" spans="1:12" ht="33">
      <c r="A11" s="104" t="s">
        <v>741</v>
      </c>
      <c r="B11" s="105" t="s">
        <v>742</v>
      </c>
      <c r="C11" s="106">
        <f>C12-C14</f>
        <v>0</v>
      </c>
      <c r="D11" s="106">
        <f>D12-D14</f>
        <v>2034.1</v>
      </c>
      <c r="E11" s="106">
        <f>E12-E14</f>
        <v>0</v>
      </c>
      <c r="F11" s="224">
        <f aca="true" t="shared" si="0" ref="F11:F16">C11</f>
        <v>0</v>
      </c>
      <c r="G11" s="106">
        <f>G12-G14</f>
        <v>0</v>
      </c>
      <c r="H11" s="106">
        <f>H12-H14</f>
        <v>0</v>
      </c>
      <c r="I11" s="106">
        <f>I12-I14</f>
        <v>0</v>
      </c>
      <c r="J11" s="106">
        <f>J12-J14</f>
        <v>0</v>
      </c>
      <c r="K11" s="106">
        <f>K12-K14</f>
        <v>-219.90000000000146</v>
      </c>
      <c r="L11" s="106"/>
    </row>
    <row r="12" spans="1:12" ht="31.5">
      <c r="A12" s="107" t="s">
        <v>743</v>
      </c>
      <c r="B12" s="108" t="s">
        <v>744</v>
      </c>
      <c r="C12" s="68">
        <f>C13</f>
        <v>59703</v>
      </c>
      <c r="D12" s="68">
        <f>D13</f>
        <v>2034.1</v>
      </c>
      <c r="E12" s="68">
        <f>E13</f>
        <v>57668.9</v>
      </c>
      <c r="F12" s="224">
        <f t="shared" si="0"/>
        <v>59703</v>
      </c>
      <c r="G12" s="223">
        <f>G13</f>
        <v>0</v>
      </c>
      <c r="H12" s="223">
        <f>H13</f>
        <v>0</v>
      </c>
      <c r="I12" s="223">
        <f>I13</f>
        <v>0</v>
      </c>
      <c r="J12" s="222">
        <f>J13</f>
        <v>59703</v>
      </c>
      <c r="K12" s="222">
        <f>K13</f>
        <v>59703</v>
      </c>
      <c r="L12" s="222"/>
    </row>
    <row r="13" spans="1:12" ht="31.5">
      <c r="A13" s="109" t="s">
        <v>745</v>
      </c>
      <c r="B13" s="110" t="s">
        <v>746</v>
      </c>
      <c r="C13" s="111">
        <v>59703</v>
      </c>
      <c r="D13" s="111">
        <v>2034.1</v>
      </c>
      <c r="E13" s="111">
        <f>C13-D13</f>
        <v>57668.9</v>
      </c>
      <c r="F13" s="222">
        <f t="shared" si="0"/>
        <v>59703</v>
      </c>
      <c r="G13" s="223">
        <v>0</v>
      </c>
      <c r="H13" s="223">
        <v>0</v>
      </c>
      <c r="I13" s="223">
        <v>0</v>
      </c>
      <c r="J13" s="260">
        <v>59703</v>
      </c>
      <c r="K13" s="260">
        <v>59703</v>
      </c>
      <c r="L13" s="260"/>
    </row>
    <row r="14" spans="1:12" ht="31.5">
      <c r="A14" s="107" t="s">
        <v>747</v>
      </c>
      <c r="B14" s="108" t="s">
        <v>748</v>
      </c>
      <c r="C14" s="68">
        <f>C15</f>
        <v>59703</v>
      </c>
      <c r="D14" s="68">
        <f>D15</f>
        <v>0</v>
      </c>
      <c r="E14" s="68">
        <f>E15</f>
        <v>57668.9</v>
      </c>
      <c r="F14" s="224">
        <f t="shared" si="0"/>
        <v>59703</v>
      </c>
      <c r="G14" s="106">
        <f>G15</f>
        <v>0</v>
      </c>
      <c r="H14" s="106">
        <f>H15</f>
        <v>0</v>
      </c>
      <c r="I14" s="106">
        <f>I15</f>
        <v>0</v>
      </c>
      <c r="J14" s="106">
        <f>J15</f>
        <v>59703</v>
      </c>
      <c r="K14" s="106">
        <f>K15</f>
        <v>59922.9</v>
      </c>
      <c r="L14" s="106"/>
    </row>
    <row r="15" spans="1:12" ht="31.5">
      <c r="A15" s="109" t="s">
        <v>749</v>
      </c>
      <c r="B15" s="110" t="s">
        <v>750</v>
      </c>
      <c r="C15" s="111">
        <f>C12+C21</f>
        <v>59703</v>
      </c>
      <c r="D15" s="111"/>
      <c r="E15" s="111">
        <f>E12+E21</f>
        <v>57668.9</v>
      </c>
      <c r="F15" s="222">
        <f t="shared" si="0"/>
        <v>59703</v>
      </c>
      <c r="G15" s="223">
        <v>0</v>
      </c>
      <c r="H15" s="223">
        <v>0</v>
      </c>
      <c r="I15" s="223">
        <v>0</v>
      </c>
      <c r="J15" s="260">
        <f>J13+J21</f>
        <v>59703</v>
      </c>
      <c r="K15" s="260">
        <v>59922.9</v>
      </c>
      <c r="L15" s="260"/>
    </row>
    <row r="16" spans="1:12" ht="16.5">
      <c r="A16" s="107" t="s">
        <v>734</v>
      </c>
      <c r="B16" s="110"/>
      <c r="C16" s="4">
        <f>C13-C15</f>
        <v>0</v>
      </c>
      <c r="D16" s="4">
        <f>D13-D15</f>
        <v>2034.1</v>
      </c>
      <c r="E16" s="4">
        <f>E13-E15</f>
        <v>0</v>
      </c>
      <c r="F16" s="224">
        <f t="shared" si="0"/>
        <v>0</v>
      </c>
      <c r="G16" s="221">
        <f>G13-G15</f>
        <v>0</v>
      </c>
      <c r="H16" s="221">
        <f>H13-H15</f>
        <v>0</v>
      </c>
      <c r="I16" s="221">
        <f>I13-I15</f>
        <v>0</v>
      </c>
      <c r="J16" s="221">
        <f>J13-J15</f>
        <v>0</v>
      </c>
      <c r="K16" s="221">
        <f>K13-K15</f>
        <v>-219.90000000000146</v>
      </c>
      <c r="L16" s="329">
        <v>0</v>
      </c>
    </row>
    <row r="19" spans="3:6" ht="15">
      <c r="C19" s="23"/>
      <c r="E19" s="23"/>
      <c r="F19" s="23"/>
    </row>
    <row r="20" spans="3:6" ht="15">
      <c r="C20" s="23"/>
      <c r="E20" s="23"/>
      <c r="F20" s="23"/>
    </row>
    <row r="21" spans="3:6" ht="15">
      <c r="C21" s="23"/>
      <c r="D21" s="23"/>
      <c r="E21" s="23"/>
      <c r="F21" s="23"/>
    </row>
  </sheetData>
  <mergeCells count="2">
    <mergeCell ref="A5:K5"/>
    <mergeCell ref="A6:K6"/>
  </mergeCells>
  <printOptions/>
  <pageMargins left="1.220472440944882" right="0.2362204724409449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2019-03-19T03:39:45Z</dcterms:modified>
  <cp:category/>
  <cp:version/>
  <cp:contentType/>
  <cp:contentStatus/>
</cp:coreProperties>
</file>